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harts/chart2.xml" ContentType="application/vnd.openxmlformats-officedocument.drawingml.chart+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ml.chartshapes+xml"/>
  <Override PartName="/xl/charts/chart4.xml" ContentType="application/vnd.openxmlformats-officedocument.drawingml.chart+xml"/>
  <Override PartName="/xl/drawings/drawing9.xml" ContentType="application/vnd.openxmlformats-officedocument.drawingml.chartshapes+xml"/>
  <Override PartName="/xl/charts/chart5.xml" ContentType="application/vnd.openxmlformats-officedocument.drawingml.chart+xml"/>
  <Override PartName="/xl/drawings/drawing10.xml" ContentType="application/vnd.openxmlformats-officedocument.drawingml.chartshape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harts/chart6.xml" ContentType="application/vnd.openxmlformats-officedocument.drawingml.chart+xml"/>
  <Override PartName="/xl/drawings/drawing14.xml" ContentType="application/vnd.openxmlformats-officedocument.drawingml.chartshapes+xml"/>
  <Override PartName="/xl/charts/chart7.xml" ContentType="application/vnd.openxmlformats-officedocument.drawingml.chart+xml"/>
  <Override PartName="/xl/drawings/drawing15.xml" ContentType="application/vnd.openxmlformats-officedocument.drawingml.chartshapes+xml"/>
  <Override PartName="/xl/charts/chart8.xml" ContentType="application/vnd.openxmlformats-officedocument.drawingml.chart+xml"/>
  <Override PartName="/xl/drawings/drawing16.xml" ContentType="application/vnd.openxmlformats-officedocument.drawingml.chartshapes+xml"/>
  <Override PartName="/xl/drawings/drawing17.xml" ContentType="application/vnd.openxmlformats-officedocument.drawing+xml"/>
  <Override PartName="/xl/charts/chart9.xml" ContentType="application/vnd.openxmlformats-officedocument.drawingml.chart+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drawings/drawing22.xml" ContentType="application/vnd.openxmlformats-officedocument.drawing+xml"/>
  <Override PartName="/xl/charts/chart12.xml" ContentType="application/vnd.openxmlformats-officedocument.drawingml.chart+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harts/chart13.xml" ContentType="application/vnd.openxmlformats-officedocument.drawingml.chart+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charts/chart14.xml" ContentType="application/vnd.openxmlformats-officedocument.drawingml.chart+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drawings/drawing35.xml" ContentType="application/vnd.openxmlformats-officedocument.drawing+xml"/>
  <Override PartName="/xl/drawings/drawing36.xml" ContentType="application/vnd.openxmlformats-officedocument.drawing+xml"/>
  <Override PartName="/xl/charts/chart17.xml" ContentType="application/vnd.openxmlformats-officedocument.drawingml.chart+xml"/>
  <Override PartName="/xl/drawings/drawing37.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8.xml" ContentType="application/vnd.openxmlformats-officedocument.drawingml.chartshapes+xml"/>
  <Override PartName="/xl/drawings/drawing39.xml" ContentType="application/vnd.openxmlformats-officedocument.drawing+xml"/>
  <Override PartName="/xl/charts/chart20.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0.xml" ContentType="application/vnd.openxmlformats-officedocument.drawingml.chartshapes+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charts/chart21.xml" ContentType="application/vnd.openxmlformats-officedocument.drawingml.chart+xml"/>
  <Override PartName="/xl/drawings/drawing44.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charts/chart24.xml" ContentType="application/vnd.openxmlformats-officedocument.drawingml.chart+xml"/>
  <Override PartName="/xl/charts/chart25.xml" ContentType="application/vnd.openxmlformats-officedocument.drawingml.chart+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charts/chart26.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3.xml" ContentType="application/vnd.openxmlformats-officedocument.drawingml.chartshapes+xml"/>
  <Override PartName="/xl/drawings/drawing5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X:\ユーザ作業用フォルダ\安全まちづくり\15 交通安全\★常用\★大阪市の交通白書\令和７年大阪市の交通事故（統計資料）\"/>
    </mc:Choice>
  </mc:AlternateContent>
  <xr:revisionPtr revIDLastSave="0" documentId="13_ncr:1_{59A720BA-02A2-4FA4-91AC-661B3A23AA8D}" xr6:coauthVersionLast="47" xr6:coauthVersionMax="47" xr10:uidLastSave="{00000000-0000-0000-0000-000000000000}"/>
  <bookViews>
    <workbookView xWindow="-108" yWindow="-108" windowWidth="23256" windowHeight="12456" tabRatio="857" firstSheet="36" activeTab="40" xr2:uid="{79E244CF-102F-4C0F-90E2-DC32262690D8}"/>
  </bookViews>
  <sheets>
    <sheet name="1ページ（状況）" sheetId="1" r:id="rId1"/>
    <sheet name="2ページ（年別推移） " sheetId="2" r:id="rId2"/>
    <sheet name="3ページ（４５年との比較）" sheetId="3" r:id="rId3"/>
    <sheet name="4ページ（人口推移）" sheetId="4" r:id="rId4"/>
    <sheet name="5ページ(月別）" sheetId="5" r:id="rId5"/>
    <sheet name="６ページ（行政区別）" sheetId="6" r:id="rId6"/>
    <sheet name="７ページ（道路種別）" sheetId="7" r:id="rId7"/>
    <sheet name="８ページ（幹線道路名）" sheetId="8" r:id="rId8"/>
    <sheet name="９ページ（路線別概略図）" sheetId="9" r:id="rId9"/>
    <sheet name="10ページ（道路種別月率）" sheetId="10" r:id="rId10"/>
    <sheet name="11ページ（時間別）" sheetId="11" r:id="rId11"/>
    <sheet name="12ページ（時間道路別）" sheetId="12" r:id="rId12"/>
    <sheet name="13ページ類型別（対前年比・状態別）" sheetId="13" r:id="rId13"/>
    <sheet name="14ページ類型別（信号別）" sheetId="14" r:id="rId14"/>
    <sheet name="15ページ（法令違反別）" sheetId="15" r:id="rId15"/>
    <sheet name="16ページ死亡事故の推移 " sheetId="16" r:id="rId16"/>
    <sheet name="17ページ高齢者（推移）" sheetId="17" r:id="rId17"/>
    <sheet name="１８ページ高齢者（行政区別）" sheetId="18" r:id="rId18"/>
    <sheet name="１９ページ 高齢者(法令違反別)" sheetId="19" r:id="rId19"/>
    <sheet name="２０ページこども（推移）" sheetId="20" r:id="rId20"/>
    <sheet name="２１ページこども（年齢別）" sheetId="21" r:id="rId21"/>
    <sheet name="２２ページこども（行政区別）" sheetId="22" r:id="rId22"/>
    <sheet name="２３ページ子ども（法令違反別）" sheetId="23" r:id="rId23"/>
    <sheet name="２４ページ若年者（推移）" sheetId="24" r:id="rId24"/>
    <sheet name="２５ページ若年者（年齢別）" sheetId="25" r:id="rId25"/>
    <sheet name="２６ページ若年者（行政区別） " sheetId="26" r:id="rId26"/>
    <sheet name="２７ページ若年者（法令違反別）" sheetId="27" r:id="rId27"/>
    <sheet name="２８ページ歩行者（推移） " sheetId="28" r:id="rId28"/>
    <sheet name="２９ページ歩行者(類型･月別）" sheetId="29" r:id="rId29"/>
    <sheet name="３０ページ歩行者(行政区･状態）" sheetId="30" r:id="rId30"/>
    <sheet name="３１ページ歩行者(時間別･状態）" sheetId="31" r:id="rId31"/>
    <sheet name="３２ページ自転車（推移）" sheetId="32" r:id="rId32"/>
    <sheet name="３３ページ自転車対自転車" sheetId="33" r:id="rId33"/>
    <sheet name="３４ページ自転車(事故類型別）" sheetId="34" r:id="rId34"/>
    <sheet name="３５ページ自転車(行政区･類型）" sheetId="35" r:id="rId35"/>
    <sheet name="３６ぺージ自転車(時間別･類型）" sheetId="36" r:id="rId36"/>
    <sheet name="37ページ自動二輪(推移）" sheetId="37" r:id="rId37"/>
    <sheet name="３８ページ自動二輪車(類型別）" sheetId="38" r:id="rId38"/>
    <sheet name="３９ページ自動二輪車（区別、類型別）" sheetId="39" r:id="rId39"/>
    <sheet name="４０ページ自動二輪車(時間、類型別）" sheetId="40" r:id="rId40"/>
    <sheet name="４１原付(推移）" sheetId="41" r:id="rId41"/>
    <sheet name="４２原付(類型別)" sheetId="42" r:id="rId42"/>
    <sheet name="４３原付(行政区）" sheetId="43" r:id="rId43"/>
    <sheet name="４４原付(時間別）" sheetId="44" r:id="rId44"/>
    <sheet name="４５ページ（飲酒運転）" sheetId="47" r:id="rId45"/>
    <sheet name="４６ページ大都市の交通事故発生状況" sheetId="46" r:id="rId46"/>
  </sheets>
  <externalReferences>
    <externalReference r:id="rId47"/>
  </externalReferences>
  <definedNames>
    <definedName name="_xlnm.Print_Area" localSheetId="9">'10ページ（道路種別月率）'!$A$1:$N$43</definedName>
    <definedName name="_xlnm.Print_Area" localSheetId="10">'11ページ（時間別）'!$A$1:$M$48</definedName>
    <definedName name="_xlnm.Print_Area" localSheetId="11">'12ページ（時間道路別）'!$A$1:$N$61</definedName>
    <definedName name="_xlnm.Print_Area" localSheetId="12">'13ページ類型別（対前年比・状態別）'!$A$1:$I$55</definedName>
    <definedName name="_xlnm.Print_Area" localSheetId="13">'14ページ類型別（信号別）'!$A$1:$K$25</definedName>
    <definedName name="_xlnm.Print_Area" localSheetId="14">'15ページ（法令違反別）'!$A$1:$H$47</definedName>
    <definedName name="_xlnm.Print_Area" localSheetId="15">'16ページ死亡事故の推移 '!$A$1:$I$55</definedName>
    <definedName name="_xlnm.Print_Area" localSheetId="16">'17ページ高齢者（推移）'!$A$1:$R$57</definedName>
    <definedName name="_xlnm.Print_Area" localSheetId="17">'１８ページ高齢者（行政区別）'!$A$1:$S$34</definedName>
    <definedName name="_xlnm.Print_Area" localSheetId="19">'２０ページこども（推移）'!$A$1:$O$41</definedName>
    <definedName name="_xlnm.Print_Area" localSheetId="20">'２１ページこども（年齢別）'!$A$1:$P$57</definedName>
    <definedName name="_xlnm.Print_Area" localSheetId="23">'２４ページ若年者（推移）'!$A$1:$L$54</definedName>
    <definedName name="_xlnm.Print_Area" localSheetId="24">'２５ページ若年者（年齢別）'!$A$1:$P$39</definedName>
    <definedName name="_xlnm.Print_Area" localSheetId="25">'２６ページ若年者（行政区別） '!$A$1:$S$33</definedName>
    <definedName name="_xlnm.Print_Area" localSheetId="27">'２８ページ歩行者（推移） '!$A$1:$O$43</definedName>
    <definedName name="_xlnm.Print_Area" localSheetId="28">'２９ページ歩行者(類型･月別）'!$A$1:$P$48</definedName>
    <definedName name="_xlnm.Print_Area" localSheetId="1">'2ページ（年別推移） '!$A$1:$N$66</definedName>
    <definedName name="_xlnm.Print_Area" localSheetId="29">'３０ページ歩行者(行政区･状態）'!$A$1:$Q$33</definedName>
    <definedName name="_xlnm.Print_Area" localSheetId="31">'３２ページ自転車（推移）'!$A$1:$P$54</definedName>
    <definedName name="_xlnm.Print_Area" localSheetId="32">'３３ページ自転車対自転車'!$A$1:$M$50</definedName>
    <definedName name="_xlnm.Print_Area" localSheetId="33">'３４ページ自転車(事故類型別）'!$A$1:$G$27</definedName>
    <definedName name="_xlnm.Print_Area" localSheetId="34">'３５ページ自転車(行政区･類型）'!$A$1:$Q$34</definedName>
    <definedName name="_xlnm.Print_Area" localSheetId="35">'３６ぺージ自転車(時間別･類型）'!$A$1:$R$58</definedName>
    <definedName name="_xlnm.Print_Area" localSheetId="36">'37ページ自動二輪(推移）'!$A$1:$O$53</definedName>
    <definedName name="_xlnm.Print_Area" localSheetId="37">'３８ページ自動二輪車(類型別）'!$A$1:$G$29</definedName>
    <definedName name="_xlnm.Print_Area" localSheetId="38">'３９ページ自動二輪車（区別、類型別）'!$A$1:$Q$34</definedName>
    <definedName name="_xlnm.Print_Area" localSheetId="2">'3ページ（４５年との比較）'!$A$1:$K$46</definedName>
    <definedName name="_xlnm.Print_Area" localSheetId="39">'４０ページ自動二輪車(時間、類型別）'!$A$1:$R$36</definedName>
    <definedName name="_xlnm.Print_Area" localSheetId="40">'４１原付(推移）'!$A$1:$O$48</definedName>
    <definedName name="_xlnm.Print_Area" localSheetId="41">'４２原付(類型別)'!$A$1:$G$29</definedName>
    <definedName name="_xlnm.Print_Area" localSheetId="43">'４４原付(時間別）'!$A$1:$R$37</definedName>
    <definedName name="_xlnm.Print_Area" localSheetId="44">'４５ページ（飲酒運転）'!$A$1:$O$74</definedName>
    <definedName name="_xlnm.Print_Area" localSheetId="45">'４６ページ大都市の交通事故発生状況'!$A$1:$I$87</definedName>
    <definedName name="_xlnm.Print_Area" localSheetId="3">'4ページ（人口推移）'!$A$1:$F$65</definedName>
    <definedName name="_xlnm.Print_Area" localSheetId="4">'5ページ(月別）'!$A$1:$Q$39</definedName>
    <definedName name="_xlnm.Print_Area" localSheetId="5">'６ページ（行政区別）'!$A$1:$O$47</definedName>
    <definedName name="_xlnm.Print_Area" localSheetId="6">'７ページ（道路種別）'!$A$1:$I$55</definedName>
    <definedName name="_xlnm.Print_Area" localSheetId="7">'８ページ（幹線道路名）'!$A$1:$N$46</definedName>
    <definedName name="_xlnm.Print_Area" localSheetId="8">'９ページ（路線別概略図）'!$A$1:$BQ$86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 i="46" l="1"/>
  <c r="AB6" i="24"/>
  <c r="Z69" i="16"/>
  <c r="Y69" i="16"/>
  <c r="Z60" i="16"/>
  <c r="Y60" i="16"/>
  <c r="N39" i="10"/>
  <c r="N35" i="10"/>
  <c r="N31" i="10"/>
  <c r="N27" i="10"/>
  <c r="O10" i="47" l="1"/>
  <c r="O11" i="41"/>
  <c r="O12" i="37"/>
  <c r="O11" i="32"/>
  <c r="O11" i="28"/>
  <c r="L25" i="24"/>
  <c r="L11" i="24"/>
  <c r="N10" i="20"/>
  <c r="B7" i="18"/>
  <c r="C7" i="18"/>
  <c r="D7" i="18"/>
  <c r="B8" i="18"/>
  <c r="C8" i="18"/>
  <c r="D8" i="18"/>
  <c r="B9" i="18"/>
  <c r="C9" i="18"/>
  <c r="D9" i="18"/>
  <c r="B10" i="18"/>
  <c r="C10" i="18"/>
  <c r="D10" i="18"/>
  <c r="B11" i="18"/>
  <c r="C11" i="18"/>
  <c r="D11" i="18"/>
  <c r="B12" i="18"/>
  <c r="C12" i="18"/>
  <c r="D12" i="18"/>
  <c r="B13" i="18"/>
  <c r="C13" i="18"/>
  <c r="D13" i="18"/>
  <c r="B14" i="18"/>
  <c r="C14" i="18"/>
  <c r="D14" i="18"/>
  <c r="B15" i="18"/>
  <c r="C15" i="18"/>
  <c r="D15" i="18"/>
  <c r="B16" i="18"/>
  <c r="C16" i="18"/>
  <c r="D16" i="18"/>
  <c r="B17" i="18"/>
  <c r="C17" i="18"/>
  <c r="D17" i="18"/>
  <c r="B18" i="18"/>
  <c r="C18" i="18"/>
  <c r="D18" i="18"/>
  <c r="B19" i="18"/>
  <c r="C19" i="18"/>
  <c r="D19" i="18"/>
  <c r="B20" i="18"/>
  <c r="C20" i="18"/>
  <c r="D20" i="18"/>
  <c r="B21" i="18"/>
  <c r="C21" i="18"/>
  <c r="D21" i="18"/>
  <c r="B22" i="18"/>
  <c r="C22" i="18"/>
  <c r="D22" i="18"/>
  <c r="B23" i="18"/>
  <c r="C23" i="18"/>
  <c r="D23" i="18"/>
  <c r="B24" i="18"/>
  <c r="C24" i="18"/>
  <c r="D24" i="18"/>
  <c r="B25" i="18"/>
  <c r="C25" i="18"/>
  <c r="D25" i="18"/>
  <c r="B26" i="18"/>
  <c r="C26" i="18"/>
  <c r="D26" i="18"/>
  <c r="B27" i="18"/>
  <c r="C27" i="18"/>
  <c r="D27" i="18"/>
  <c r="B28" i="18"/>
  <c r="C28" i="18"/>
  <c r="D28" i="18"/>
  <c r="B29" i="18"/>
  <c r="C29" i="18"/>
  <c r="D29" i="18"/>
  <c r="B30" i="18"/>
  <c r="C30" i="18"/>
  <c r="D30" i="18"/>
  <c r="Q10" i="17"/>
  <c r="K48" i="1" l="1"/>
  <c r="L48" i="1"/>
  <c r="K37" i="1"/>
  <c r="L37" i="1"/>
  <c r="AE32" i="20"/>
  <c r="AE31" i="20"/>
  <c r="O11" i="13"/>
  <c r="O10" i="13"/>
  <c r="O9" i="13"/>
  <c r="O8" i="13"/>
  <c r="N11" i="13"/>
  <c r="N10" i="13"/>
  <c r="N9" i="13"/>
  <c r="N8" i="13"/>
  <c r="M11" i="13"/>
  <c r="M10" i="13"/>
  <c r="M9" i="13"/>
  <c r="M8" i="13"/>
  <c r="L11" i="13"/>
  <c r="L10" i="13"/>
  <c r="L9" i="13"/>
  <c r="L8" i="13"/>
  <c r="I25" i="13"/>
  <c r="H25" i="13"/>
  <c r="G25" i="13"/>
  <c r="F25" i="13"/>
  <c r="R9" i="8"/>
  <c r="S9" i="8"/>
  <c r="T9" i="8"/>
  <c r="Q9" i="8"/>
  <c r="R8" i="8"/>
  <c r="S8" i="8"/>
  <c r="T8" i="8"/>
  <c r="Q8" i="8"/>
  <c r="R7" i="8"/>
  <c r="S7" i="8"/>
  <c r="T7" i="8"/>
  <c r="Q7" i="8"/>
  <c r="R6" i="8"/>
  <c r="S6" i="8"/>
  <c r="T6" i="8"/>
  <c r="Q6" i="8"/>
  <c r="R5" i="8"/>
  <c r="S5" i="8"/>
  <c r="T5" i="8"/>
  <c r="Q5" i="8"/>
  <c r="P11" i="13" l="1"/>
  <c r="T10" i="8"/>
  <c r="S10" i="8"/>
  <c r="P10" i="13"/>
  <c r="P9" i="13"/>
  <c r="P8" i="13"/>
  <c r="R10" i="8"/>
  <c r="Q10" i="8"/>
  <c r="N10" i="47" l="1"/>
  <c r="N11" i="41"/>
  <c r="N12" i="37"/>
  <c r="N11" i="32" l="1"/>
  <c r="H19" i="28"/>
  <c r="J19" i="28"/>
  <c r="L19" i="28"/>
  <c r="N19" i="28"/>
  <c r="N11" i="28"/>
  <c r="K11" i="24"/>
  <c r="M10" i="20"/>
  <c r="P10" i="17"/>
  <c r="E10" i="17"/>
  <c r="F10" i="17"/>
  <c r="G10" i="17"/>
  <c r="H10" i="17"/>
  <c r="I10" i="17"/>
  <c r="J10" i="17"/>
  <c r="K10" i="17"/>
  <c r="L10" i="17"/>
  <c r="M10" i="17"/>
  <c r="F42" i="15"/>
  <c r="G42" i="15"/>
  <c r="H42" i="15"/>
  <c r="E42" i="15"/>
  <c r="F32" i="15"/>
  <c r="G32" i="15"/>
  <c r="H32" i="15"/>
  <c r="E32" i="15"/>
  <c r="I12" i="11" l="1"/>
  <c r="I10" i="11"/>
  <c r="I8" i="11"/>
  <c r="I6" i="11"/>
  <c r="F12" i="11"/>
  <c r="F10" i="11"/>
  <c r="F8" i="11"/>
  <c r="F6" i="11"/>
  <c r="M26" i="10"/>
  <c r="M27" i="10" s="1"/>
  <c r="M30" i="10"/>
  <c r="M31" i="10" s="1"/>
  <c r="M34" i="10"/>
  <c r="M35" i="10" s="1"/>
  <c r="M38" i="10"/>
  <c r="M39" i="10" s="1"/>
  <c r="E26" i="10"/>
  <c r="E27" i="10" s="1"/>
  <c r="F26" i="10"/>
  <c r="F27" i="10" s="1"/>
  <c r="G26" i="10"/>
  <c r="G27" i="10" s="1"/>
  <c r="H26" i="10"/>
  <c r="H27" i="10" s="1"/>
  <c r="I26" i="10"/>
  <c r="I27" i="10" s="1"/>
  <c r="J26" i="10"/>
  <c r="J27" i="10" s="1"/>
  <c r="K26" i="10"/>
  <c r="K27" i="10" s="1"/>
  <c r="E30" i="10"/>
  <c r="F30" i="10"/>
  <c r="G30" i="10"/>
  <c r="G31" i="10" s="1"/>
  <c r="H30" i="10"/>
  <c r="H31" i="10" s="1"/>
  <c r="I30" i="10"/>
  <c r="I31" i="10" s="1"/>
  <c r="J30" i="10"/>
  <c r="J31" i="10" s="1"/>
  <c r="K30" i="10"/>
  <c r="K31" i="10" s="1"/>
  <c r="E31" i="10"/>
  <c r="F31" i="10"/>
  <c r="E34" i="10"/>
  <c r="F34" i="10"/>
  <c r="G34" i="10"/>
  <c r="H34" i="10"/>
  <c r="H35" i="10" s="1"/>
  <c r="I34" i="10"/>
  <c r="I35" i="10" s="1"/>
  <c r="J34" i="10"/>
  <c r="J35" i="10" s="1"/>
  <c r="K34" i="10"/>
  <c r="K35" i="10" s="1"/>
  <c r="E35" i="10"/>
  <c r="F35" i="10"/>
  <c r="G35" i="10"/>
  <c r="G38" i="10"/>
  <c r="G39" i="10" s="1"/>
  <c r="H38" i="10"/>
  <c r="H39" i="10" s="1"/>
  <c r="I38" i="10"/>
  <c r="J38" i="10"/>
  <c r="J39" i="10" s="1"/>
  <c r="K38" i="10"/>
  <c r="K39" i="10" s="1"/>
  <c r="I39" i="10"/>
  <c r="L38" i="10"/>
  <c r="L34" i="10"/>
  <c r="D34" i="10"/>
  <c r="L30" i="10"/>
  <c r="L26" i="10"/>
  <c r="Q46" i="8"/>
  <c r="P46" i="8"/>
  <c r="Q42" i="8"/>
  <c r="P42" i="8"/>
  <c r="Q38" i="8"/>
  <c r="P38" i="8"/>
  <c r="Q34" i="8"/>
  <c r="P34" i="8"/>
  <c r="Q27" i="5"/>
  <c r="R38" i="8" l="1"/>
  <c r="L44" i="8" s="1"/>
  <c r="R34" i="8"/>
  <c r="K44" i="8" s="1"/>
  <c r="R42" i="8"/>
  <c r="M44" i="8" s="1"/>
  <c r="R46" i="8"/>
  <c r="N44" i="8" s="1"/>
  <c r="H84" i="46"/>
  <c r="F84" i="46"/>
  <c r="G84" i="46" s="1"/>
  <c r="H83" i="46"/>
  <c r="F83" i="46"/>
  <c r="G83" i="46" s="1"/>
  <c r="H82" i="46"/>
  <c r="F82" i="46"/>
  <c r="G82" i="46" s="1"/>
  <c r="H81" i="46"/>
  <c r="F81" i="46"/>
  <c r="G81" i="46" s="1"/>
  <c r="H80" i="46"/>
  <c r="F80" i="46"/>
  <c r="G80" i="46" s="1"/>
  <c r="H79" i="46"/>
  <c r="F79" i="46"/>
  <c r="G79" i="46" s="1"/>
  <c r="H78" i="46"/>
  <c r="F78" i="46"/>
  <c r="G78" i="46" s="1"/>
  <c r="H77" i="46"/>
  <c r="F77" i="46"/>
  <c r="G77" i="46" s="1"/>
  <c r="H76" i="46"/>
  <c r="F76" i="46"/>
  <c r="G76" i="46" s="1"/>
  <c r="H75" i="46"/>
  <c r="F75" i="46"/>
  <c r="G75" i="46" s="1"/>
  <c r="H74" i="46"/>
  <c r="F74" i="46"/>
  <c r="G74" i="46" s="1"/>
  <c r="H73" i="46"/>
  <c r="F73" i="46"/>
  <c r="G73" i="46" s="1"/>
  <c r="H72" i="46"/>
  <c r="F72" i="46"/>
  <c r="G72" i="46" s="1"/>
  <c r="H71" i="46"/>
  <c r="F71" i="46"/>
  <c r="G71" i="46" s="1"/>
  <c r="H70" i="46"/>
  <c r="F70" i="46"/>
  <c r="G70" i="46" s="1"/>
  <c r="H69" i="46"/>
  <c r="F69" i="46"/>
  <c r="G69" i="46" s="1"/>
  <c r="H68" i="46"/>
  <c r="F68" i="46"/>
  <c r="G68" i="46" s="1"/>
  <c r="H67" i="46"/>
  <c r="F67" i="46"/>
  <c r="G67" i="46" s="1"/>
  <c r="H66" i="46"/>
  <c r="F66" i="46"/>
  <c r="G66" i="46" s="1"/>
  <c r="H65" i="46"/>
  <c r="F65" i="46"/>
  <c r="G65" i="46" s="1"/>
  <c r="H64" i="46"/>
  <c r="F64" i="46"/>
  <c r="G64" i="46" s="1"/>
  <c r="H63" i="46"/>
  <c r="F63" i="46"/>
  <c r="G63" i="46" s="1"/>
  <c r="H62" i="46"/>
  <c r="F62" i="46"/>
  <c r="G62" i="46" s="1"/>
  <c r="H61" i="46"/>
  <c r="F61" i="46"/>
  <c r="G61" i="46" s="1"/>
  <c r="H60" i="46"/>
  <c r="F60" i="46"/>
  <c r="G60" i="46" s="1"/>
  <c r="H59" i="46"/>
  <c r="F59" i="46"/>
  <c r="G59" i="46" s="1"/>
  <c r="H58" i="46"/>
  <c r="F58" i="46"/>
  <c r="G58" i="46" s="1"/>
  <c r="H57" i="46"/>
  <c r="F57" i="46"/>
  <c r="G57" i="46" s="1"/>
  <c r="H56" i="46"/>
  <c r="F56" i="46"/>
  <c r="G56" i="46" s="1"/>
  <c r="H55" i="46"/>
  <c r="F55" i="46"/>
  <c r="G55" i="46" s="1"/>
  <c r="H54" i="46"/>
  <c r="F54" i="46"/>
  <c r="G54" i="46" s="1"/>
  <c r="H53" i="46"/>
  <c r="F53" i="46"/>
  <c r="G53" i="46" s="1"/>
  <c r="H52" i="46"/>
  <c r="F52" i="46"/>
  <c r="G52" i="46" s="1"/>
  <c r="H51" i="46"/>
  <c r="F51" i="46"/>
  <c r="G51" i="46" s="1"/>
  <c r="H50" i="46"/>
  <c r="F50" i="46"/>
  <c r="G50" i="46" s="1"/>
  <c r="H49" i="46"/>
  <c r="F49" i="46"/>
  <c r="G49" i="46" s="1"/>
  <c r="H48" i="46"/>
  <c r="F48" i="46"/>
  <c r="G48" i="46" s="1"/>
  <c r="H47" i="46"/>
  <c r="F47" i="46"/>
  <c r="G47" i="46" s="1"/>
  <c r="H46" i="46"/>
  <c r="F46" i="46"/>
  <c r="G46" i="46" s="1"/>
  <c r="H45" i="46"/>
  <c r="F45" i="46"/>
  <c r="G45" i="46" s="1"/>
  <c r="H44" i="46"/>
  <c r="F44" i="46"/>
  <c r="G44" i="46" s="1"/>
  <c r="H43" i="46"/>
  <c r="F43" i="46"/>
  <c r="G43" i="46" s="1"/>
  <c r="H42" i="46"/>
  <c r="F42" i="46"/>
  <c r="G42" i="46" s="1"/>
  <c r="H41" i="46"/>
  <c r="F41" i="46"/>
  <c r="G41" i="46" s="1"/>
  <c r="H40" i="46"/>
  <c r="F40" i="46"/>
  <c r="G40" i="46" s="1"/>
  <c r="H39" i="46"/>
  <c r="F39" i="46"/>
  <c r="G39" i="46" s="1"/>
  <c r="H38" i="46"/>
  <c r="F38" i="46"/>
  <c r="G38" i="46" s="1"/>
  <c r="H37" i="46"/>
  <c r="F37" i="46"/>
  <c r="G37" i="46" s="1"/>
  <c r="H36" i="46"/>
  <c r="F36" i="46"/>
  <c r="G36" i="46" s="1"/>
  <c r="H35" i="46"/>
  <c r="F35" i="46"/>
  <c r="G35" i="46" s="1"/>
  <c r="H34" i="46"/>
  <c r="F34" i="46"/>
  <c r="G34" i="46" s="1"/>
  <c r="H33" i="46"/>
  <c r="F33" i="46"/>
  <c r="G33" i="46" s="1"/>
  <c r="H32" i="46"/>
  <c r="F32" i="46"/>
  <c r="G32" i="46" s="1"/>
  <c r="H31" i="46"/>
  <c r="F31" i="46"/>
  <c r="G31" i="46" s="1"/>
  <c r="H30" i="46"/>
  <c r="F30" i="46"/>
  <c r="G30" i="46" s="1"/>
  <c r="H29" i="46"/>
  <c r="F29" i="46"/>
  <c r="G29" i="46" s="1"/>
  <c r="H28" i="46"/>
  <c r="F28" i="46"/>
  <c r="G28" i="46" s="1"/>
  <c r="H27" i="46"/>
  <c r="F27" i="46"/>
  <c r="G27" i="46" s="1"/>
  <c r="H26" i="46"/>
  <c r="F26" i="46"/>
  <c r="G26" i="46" s="1"/>
  <c r="H25" i="46"/>
  <c r="F25" i="46"/>
  <c r="G25" i="46" s="1"/>
  <c r="H24" i="46"/>
  <c r="F24" i="46"/>
  <c r="G24" i="46" s="1"/>
  <c r="H23" i="46"/>
  <c r="F23" i="46"/>
  <c r="G23" i="46" s="1"/>
  <c r="H22" i="46"/>
  <c r="F22" i="46"/>
  <c r="G22" i="46" s="1"/>
  <c r="H21" i="46"/>
  <c r="F21" i="46"/>
  <c r="G21" i="46" s="1"/>
  <c r="H20" i="46"/>
  <c r="F20" i="46"/>
  <c r="G20" i="46" s="1"/>
  <c r="H19" i="46"/>
  <c r="F19" i="46"/>
  <c r="G19" i="46" s="1"/>
  <c r="H18" i="46"/>
  <c r="F18" i="46"/>
  <c r="G18" i="46" s="1"/>
  <c r="H17" i="46"/>
  <c r="F17" i="46"/>
  <c r="G17" i="46" s="1"/>
  <c r="H16" i="46"/>
  <c r="F16" i="46"/>
  <c r="G16" i="46" s="1"/>
  <c r="H15" i="46"/>
  <c r="F15" i="46"/>
  <c r="G15" i="46" s="1"/>
  <c r="H14" i="46"/>
  <c r="F14" i="46"/>
  <c r="G14" i="46" s="1"/>
  <c r="H13" i="46"/>
  <c r="F13" i="46"/>
  <c r="G13" i="46" s="1"/>
  <c r="H12" i="46"/>
  <c r="F12" i="46"/>
  <c r="G12" i="46" s="1"/>
  <c r="H11" i="46"/>
  <c r="F11" i="46"/>
  <c r="G11" i="46" s="1"/>
  <c r="H10" i="46"/>
  <c r="F10" i="46"/>
  <c r="G10" i="46" s="1"/>
  <c r="H9" i="46"/>
  <c r="F9" i="46"/>
  <c r="G9" i="46" s="1"/>
  <c r="H8" i="46"/>
  <c r="F8" i="46"/>
  <c r="G8" i="46" s="1"/>
  <c r="H7" i="46"/>
  <c r="G7" i="46"/>
  <c r="H6" i="46"/>
  <c r="F6" i="46"/>
  <c r="G6" i="46" s="1"/>
  <c r="H5" i="46"/>
  <c r="F5" i="46"/>
  <c r="G5" i="46" s="1"/>
  <c r="J33" i="31" l="1"/>
  <c r="J32" i="31" s="1"/>
  <c r="I33" i="31"/>
  <c r="H33" i="31"/>
  <c r="H32" i="31" s="1"/>
  <c r="J31" i="31"/>
  <c r="I31" i="31"/>
  <c r="I32" i="31" s="1"/>
  <c r="H31" i="31"/>
  <c r="C9" i="22"/>
  <c r="O51" i="21"/>
  <c r="K6" i="14"/>
  <c r="J6" i="14"/>
  <c r="I6" i="14"/>
  <c r="H6" i="14"/>
  <c r="G6" i="14"/>
  <c r="F6" i="14"/>
  <c r="R6" i="6"/>
  <c r="R7" i="6"/>
  <c r="R8" i="6"/>
  <c r="R9" i="6"/>
  <c r="R10" i="6"/>
  <c r="R11" i="6"/>
  <c r="R12" i="6"/>
  <c r="R13" i="6"/>
  <c r="R14" i="6"/>
  <c r="R15" i="6"/>
  <c r="R16" i="6"/>
  <c r="R17" i="6"/>
  <c r="R18" i="6"/>
  <c r="R19" i="6"/>
  <c r="R20" i="6"/>
  <c r="R21" i="6"/>
  <c r="R22" i="6"/>
  <c r="R23" i="6"/>
  <c r="R24" i="6"/>
  <c r="R25" i="6"/>
  <c r="R26" i="6"/>
  <c r="R27" i="6"/>
  <c r="R28" i="6"/>
  <c r="R29" i="6"/>
  <c r="M10" i="47"/>
  <c r="C10" i="47"/>
  <c r="D10" i="47"/>
  <c r="E10" i="47"/>
  <c r="F10" i="47"/>
  <c r="G10" i="47"/>
  <c r="H10" i="47"/>
  <c r="I10" i="47"/>
  <c r="J10" i="47"/>
  <c r="K10" i="47"/>
  <c r="L10" i="47"/>
  <c r="O19" i="47"/>
  <c r="O20" i="47"/>
  <c r="O21" i="47"/>
  <c r="O22" i="47"/>
  <c r="D53" i="47"/>
  <c r="F53" i="47"/>
  <c r="H53" i="47"/>
  <c r="J53" i="47"/>
  <c r="D55" i="47"/>
  <c r="F55" i="47"/>
  <c r="H55" i="47"/>
  <c r="J55" i="47"/>
  <c r="E6" i="14" l="1"/>
  <c r="H54" i="47"/>
  <c r="D6" i="14"/>
  <c r="J54" i="47"/>
  <c r="F54" i="47"/>
  <c r="D54" i="47"/>
  <c r="R33" i="44"/>
  <c r="Q33" i="44"/>
  <c r="P33" i="44"/>
  <c r="N33" i="44"/>
  <c r="M33" i="44"/>
  <c r="L33" i="44"/>
  <c r="J33" i="44"/>
  <c r="I33" i="44"/>
  <c r="H33" i="44"/>
  <c r="F33" i="44"/>
  <c r="E33" i="44"/>
  <c r="D33" i="44"/>
  <c r="R31" i="44"/>
  <c r="Q31" i="44"/>
  <c r="P31" i="44"/>
  <c r="N31" i="44"/>
  <c r="M31" i="44"/>
  <c r="M32" i="44" s="1"/>
  <c r="L31" i="44"/>
  <c r="L32" i="44" s="1"/>
  <c r="J31" i="44"/>
  <c r="I31" i="44"/>
  <c r="H31" i="44"/>
  <c r="F31" i="44"/>
  <c r="E31" i="44"/>
  <c r="D31" i="44"/>
  <c r="O30" i="44"/>
  <c r="K30" i="44"/>
  <c r="G30" i="44"/>
  <c r="C30" i="44"/>
  <c r="O29" i="44"/>
  <c r="K29" i="44"/>
  <c r="G29" i="44"/>
  <c r="C29" i="44"/>
  <c r="O28" i="44"/>
  <c r="K28" i="44"/>
  <c r="G28" i="44"/>
  <c r="C28" i="44"/>
  <c r="O27" i="44"/>
  <c r="K27" i="44"/>
  <c r="G27" i="44"/>
  <c r="C27" i="44"/>
  <c r="O26" i="44"/>
  <c r="K26" i="44"/>
  <c r="G26" i="44"/>
  <c r="C26" i="44"/>
  <c r="O25" i="44"/>
  <c r="K25" i="44"/>
  <c r="G25" i="44"/>
  <c r="C25" i="44"/>
  <c r="O24" i="44"/>
  <c r="K24" i="44"/>
  <c r="G24" i="44"/>
  <c r="C24" i="44"/>
  <c r="O23" i="44"/>
  <c r="K23" i="44"/>
  <c r="G23" i="44"/>
  <c r="C23" i="44"/>
  <c r="O22" i="44"/>
  <c r="K22" i="44"/>
  <c r="G22" i="44"/>
  <c r="C22" i="44"/>
  <c r="O21" i="44"/>
  <c r="K21" i="44"/>
  <c r="G21" i="44"/>
  <c r="C21" i="44"/>
  <c r="O20" i="44"/>
  <c r="K20" i="44"/>
  <c r="G20" i="44"/>
  <c r="C20" i="44"/>
  <c r="O19" i="44"/>
  <c r="K19" i="44"/>
  <c r="G19" i="44"/>
  <c r="C19" i="44"/>
  <c r="O18" i="44"/>
  <c r="K18" i="44"/>
  <c r="G18" i="44"/>
  <c r="C18" i="44"/>
  <c r="O17" i="44"/>
  <c r="K17" i="44"/>
  <c r="G17" i="44"/>
  <c r="C17" i="44"/>
  <c r="O16" i="44"/>
  <c r="K16" i="44"/>
  <c r="G16" i="44"/>
  <c r="C16" i="44"/>
  <c r="O15" i="44"/>
  <c r="K15" i="44"/>
  <c r="G15" i="44"/>
  <c r="C15" i="44"/>
  <c r="O14" i="44"/>
  <c r="K14" i="44"/>
  <c r="G14" i="44"/>
  <c r="C14" i="44"/>
  <c r="O13" i="44"/>
  <c r="K13" i="44"/>
  <c r="G13" i="44"/>
  <c r="C13" i="44"/>
  <c r="O12" i="44"/>
  <c r="K12" i="44"/>
  <c r="G12" i="44"/>
  <c r="C12" i="44"/>
  <c r="O11" i="44"/>
  <c r="K11" i="44"/>
  <c r="G11" i="44"/>
  <c r="C11" i="44"/>
  <c r="O10" i="44"/>
  <c r="K10" i="44"/>
  <c r="G10" i="44"/>
  <c r="C10" i="44"/>
  <c r="O9" i="44"/>
  <c r="K9" i="44"/>
  <c r="G9" i="44"/>
  <c r="C9" i="44"/>
  <c r="O8" i="44"/>
  <c r="K8" i="44"/>
  <c r="G8" i="44"/>
  <c r="C8" i="44"/>
  <c r="O7" i="44"/>
  <c r="K7" i="44"/>
  <c r="G7" i="44"/>
  <c r="C7" i="44"/>
  <c r="Q31" i="43"/>
  <c r="P31" i="43"/>
  <c r="O31" i="43"/>
  <c r="M31" i="43"/>
  <c r="L31" i="43"/>
  <c r="K31" i="43"/>
  <c r="I31" i="43"/>
  <c r="H31" i="43"/>
  <c r="G31" i="43"/>
  <c r="E31" i="43"/>
  <c r="D31" i="43"/>
  <c r="C31" i="43"/>
  <c r="N30" i="43"/>
  <c r="J30" i="43"/>
  <c r="F30" i="43"/>
  <c r="B30" i="43"/>
  <c r="N29" i="43"/>
  <c r="J29" i="43"/>
  <c r="F29" i="43"/>
  <c r="B29" i="43"/>
  <c r="N28" i="43"/>
  <c r="J28" i="43"/>
  <c r="F28" i="43"/>
  <c r="B28" i="43"/>
  <c r="N27" i="43"/>
  <c r="J27" i="43"/>
  <c r="F27" i="43"/>
  <c r="B27" i="43"/>
  <c r="N26" i="43"/>
  <c r="J26" i="43"/>
  <c r="F26" i="43"/>
  <c r="B26" i="43"/>
  <c r="N25" i="43"/>
  <c r="J25" i="43"/>
  <c r="F25" i="43"/>
  <c r="B25" i="43"/>
  <c r="N24" i="43"/>
  <c r="J24" i="43"/>
  <c r="F24" i="43"/>
  <c r="B24" i="43"/>
  <c r="N23" i="43"/>
  <c r="J23" i="43"/>
  <c r="F23" i="43"/>
  <c r="B23" i="43"/>
  <c r="N22" i="43"/>
  <c r="J22" i="43"/>
  <c r="F22" i="43"/>
  <c r="B22" i="43"/>
  <c r="N21" i="43"/>
  <c r="J21" i="43"/>
  <c r="F21" i="43"/>
  <c r="B21" i="43"/>
  <c r="N20" i="43"/>
  <c r="J20" i="43"/>
  <c r="F20" i="43"/>
  <c r="B20" i="43"/>
  <c r="N19" i="43"/>
  <c r="J19" i="43"/>
  <c r="F19" i="43"/>
  <c r="B19" i="43"/>
  <c r="N18" i="43"/>
  <c r="J18" i="43"/>
  <c r="F18" i="43"/>
  <c r="B18" i="43"/>
  <c r="N17" i="43"/>
  <c r="J17" i="43"/>
  <c r="F17" i="43"/>
  <c r="B17" i="43"/>
  <c r="N16" i="43"/>
  <c r="J16" i="43"/>
  <c r="F16" i="43"/>
  <c r="B16" i="43"/>
  <c r="N15" i="43"/>
  <c r="J15" i="43"/>
  <c r="F15" i="43"/>
  <c r="B15" i="43"/>
  <c r="N14" i="43"/>
  <c r="J14" i="43"/>
  <c r="F14" i="43"/>
  <c r="B14" i="43"/>
  <c r="N13" i="43"/>
  <c r="J13" i="43"/>
  <c r="F13" i="43"/>
  <c r="B13" i="43"/>
  <c r="N12" i="43"/>
  <c r="J12" i="43"/>
  <c r="F12" i="43"/>
  <c r="B12" i="43"/>
  <c r="N11" i="43"/>
  <c r="J11" i="43"/>
  <c r="F11" i="43"/>
  <c r="B11" i="43"/>
  <c r="N10" i="43"/>
  <c r="J10" i="43"/>
  <c r="F10" i="43"/>
  <c r="B10" i="43"/>
  <c r="N9" i="43"/>
  <c r="J9" i="43"/>
  <c r="F9" i="43"/>
  <c r="B9" i="43"/>
  <c r="N8" i="43"/>
  <c r="J8" i="43"/>
  <c r="F8" i="43"/>
  <c r="B8" i="43"/>
  <c r="N7" i="43"/>
  <c r="J7" i="43"/>
  <c r="F7" i="43"/>
  <c r="B7" i="43"/>
  <c r="G5" i="42"/>
  <c r="F5" i="42"/>
  <c r="E5" i="42"/>
  <c r="D5" i="42"/>
  <c r="O21" i="41"/>
  <c r="O20" i="41"/>
  <c r="O19" i="41"/>
  <c r="O18" i="41"/>
  <c r="M11" i="41"/>
  <c r="L11" i="41"/>
  <c r="K11" i="41"/>
  <c r="J11" i="41"/>
  <c r="I11" i="41"/>
  <c r="H11" i="41"/>
  <c r="G11" i="41"/>
  <c r="F11" i="41"/>
  <c r="E11" i="41"/>
  <c r="D11" i="41"/>
  <c r="C11" i="41"/>
  <c r="R33" i="40"/>
  <c r="Q33" i="40"/>
  <c r="P33" i="40"/>
  <c r="N33" i="40"/>
  <c r="M33" i="40"/>
  <c r="L33" i="40"/>
  <c r="J33" i="40"/>
  <c r="I33" i="40"/>
  <c r="H33" i="40"/>
  <c r="F33" i="40"/>
  <c r="E33" i="40"/>
  <c r="D33" i="40"/>
  <c r="R31" i="40"/>
  <c r="R32" i="40" s="1"/>
  <c r="Q31" i="40"/>
  <c r="Q32" i="40" s="1"/>
  <c r="P31" i="40"/>
  <c r="P32" i="40" s="1"/>
  <c r="N31" i="40"/>
  <c r="M31" i="40"/>
  <c r="M32" i="40" s="1"/>
  <c r="L31" i="40"/>
  <c r="L32" i="40" s="1"/>
  <c r="J31" i="40"/>
  <c r="I31" i="40"/>
  <c r="I32" i="40" s="1"/>
  <c r="H31" i="40"/>
  <c r="F31" i="40"/>
  <c r="F32" i="40" s="1"/>
  <c r="E31" i="40"/>
  <c r="E32" i="40" s="1"/>
  <c r="D31" i="40"/>
  <c r="D32" i="40" s="1"/>
  <c r="O30" i="40"/>
  <c r="K30" i="40"/>
  <c r="G30" i="40"/>
  <c r="C30" i="40"/>
  <c r="O29" i="40"/>
  <c r="K29" i="40"/>
  <c r="G29" i="40"/>
  <c r="C29" i="40"/>
  <c r="O28" i="40"/>
  <c r="K28" i="40"/>
  <c r="G28" i="40"/>
  <c r="C28" i="40"/>
  <c r="O27" i="40"/>
  <c r="K27" i="40"/>
  <c r="G27" i="40"/>
  <c r="C27" i="40"/>
  <c r="O26" i="40"/>
  <c r="K26" i="40"/>
  <c r="G26" i="40"/>
  <c r="C26" i="40"/>
  <c r="O25" i="40"/>
  <c r="K25" i="40"/>
  <c r="G25" i="40"/>
  <c r="C25" i="40"/>
  <c r="O24" i="40"/>
  <c r="K24" i="40"/>
  <c r="G24" i="40"/>
  <c r="C24" i="40"/>
  <c r="O23" i="40"/>
  <c r="K23" i="40"/>
  <c r="G23" i="40"/>
  <c r="C23" i="40"/>
  <c r="O22" i="40"/>
  <c r="K22" i="40"/>
  <c r="G22" i="40"/>
  <c r="C22" i="40"/>
  <c r="O21" i="40"/>
  <c r="K21" i="40"/>
  <c r="G21" i="40"/>
  <c r="C21" i="40"/>
  <c r="O20" i="40"/>
  <c r="K20" i="40"/>
  <c r="G20" i="40"/>
  <c r="C20" i="40"/>
  <c r="O19" i="40"/>
  <c r="K19" i="40"/>
  <c r="G19" i="40"/>
  <c r="C19" i="40"/>
  <c r="O18" i="40"/>
  <c r="K18" i="40"/>
  <c r="G18" i="40"/>
  <c r="C18" i="40"/>
  <c r="O17" i="40"/>
  <c r="K17" i="40"/>
  <c r="G17" i="40"/>
  <c r="C17" i="40"/>
  <c r="O16" i="40"/>
  <c r="K16" i="40"/>
  <c r="G16" i="40"/>
  <c r="C16" i="40"/>
  <c r="O15" i="40"/>
  <c r="K15" i="40"/>
  <c r="G15" i="40"/>
  <c r="C15" i="40"/>
  <c r="O14" i="40"/>
  <c r="K14" i="40"/>
  <c r="G14" i="40"/>
  <c r="C14" i="40"/>
  <c r="O13" i="40"/>
  <c r="K13" i="40"/>
  <c r="G13" i="40"/>
  <c r="C13" i="40"/>
  <c r="O12" i="40"/>
  <c r="K12" i="40"/>
  <c r="G12" i="40"/>
  <c r="C12" i="40"/>
  <c r="O11" i="40"/>
  <c r="K11" i="40"/>
  <c r="G11" i="40"/>
  <c r="C11" i="40"/>
  <c r="O10" i="40"/>
  <c r="K10" i="40"/>
  <c r="G10" i="40"/>
  <c r="C10" i="40"/>
  <c r="O9" i="40"/>
  <c r="K9" i="40"/>
  <c r="G9" i="40"/>
  <c r="C9" i="40"/>
  <c r="O8" i="40"/>
  <c r="K8" i="40"/>
  <c r="G8" i="40"/>
  <c r="C8" i="40"/>
  <c r="O7" i="40"/>
  <c r="K7" i="40"/>
  <c r="G7" i="40"/>
  <c r="C7" i="40"/>
  <c r="Q31" i="39"/>
  <c r="P31" i="39"/>
  <c r="O31" i="39"/>
  <c r="M31" i="39"/>
  <c r="L31" i="39"/>
  <c r="K31" i="39"/>
  <c r="I31" i="39"/>
  <c r="H31" i="39"/>
  <c r="G31" i="39"/>
  <c r="E31" i="39"/>
  <c r="D31" i="39"/>
  <c r="C31" i="39"/>
  <c r="N30" i="39"/>
  <c r="J30" i="39"/>
  <c r="F30" i="39"/>
  <c r="B30" i="39"/>
  <c r="N29" i="39"/>
  <c r="J29" i="39"/>
  <c r="F29" i="39"/>
  <c r="B29" i="39"/>
  <c r="N28" i="39"/>
  <c r="J28" i="39"/>
  <c r="F28" i="39"/>
  <c r="B28" i="39"/>
  <c r="N27" i="39"/>
  <c r="J27" i="39"/>
  <c r="F27" i="39"/>
  <c r="B27" i="39"/>
  <c r="N26" i="39"/>
  <c r="J26" i="39"/>
  <c r="F26" i="39"/>
  <c r="B26" i="39"/>
  <c r="N25" i="39"/>
  <c r="J25" i="39"/>
  <c r="F25" i="39"/>
  <c r="B25" i="39"/>
  <c r="N24" i="39"/>
  <c r="J24" i="39"/>
  <c r="F24" i="39"/>
  <c r="B24" i="39"/>
  <c r="N23" i="39"/>
  <c r="J23" i="39"/>
  <c r="F23" i="39"/>
  <c r="B23" i="39"/>
  <c r="N22" i="39"/>
  <c r="J22" i="39"/>
  <c r="F22" i="39"/>
  <c r="B22" i="39"/>
  <c r="N21" i="39"/>
  <c r="J21" i="39"/>
  <c r="F21" i="39"/>
  <c r="B21" i="39"/>
  <c r="N20" i="39"/>
  <c r="J20" i="39"/>
  <c r="F20" i="39"/>
  <c r="B20" i="39"/>
  <c r="N19" i="39"/>
  <c r="J19" i="39"/>
  <c r="F19" i="39"/>
  <c r="B19" i="39"/>
  <c r="N18" i="39"/>
  <c r="J18" i="39"/>
  <c r="F18" i="39"/>
  <c r="B18" i="39"/>
  <c r="N17" i="39"/>
  <c r="J17" i="39"/>
  <c r="F17" i="39"/>
  <c r="B17" i="39"/>
  <c r="N16" i="39"/>
  <c r="J16" i="39"/>
  <c r="F16" i="39"/>
  <c r="B16" i="39"/>
  <c r="N15" i="39"/>
  <c r="J15" i="39"/>
  <c r="F15" i="39"/>
  <c r="B15" i="39"/>
  <c r="N14" i="39"/>
  <c r="J14" i="39"/>
  <c r="F14" i="39"/>
  <c r="B14" i="39"/>
  <c r="N13" i="39"/>
  <c r="J13" i="39"/>
  <c r="F13" i="39"/>
  <c r="B13" i="39"/>
  <c r="N12" i="39"/>
  <c r="J12" i="39"/>
  <c r="F12" i="39"/>
  <c r="B12" i="39"/>
  <c r="N11" i="39"/>
  <c r="J11" i="39"/>
  <c r="F11" i="39"/>
  <c r="B11" i="39"/>
  <c r="N10" i="39"/>
  <c r="J10" i="39"/>
  <c r="F10" i="39"/>
  <c r="B10" i="39"/>
  <c r="N9" i="39"/>
  <c r="J9" i="39"/>
  <c r="F9" i="39"/>
  <c r="B9" i="39"/>
  <c r="N8" i="39"/>
  <c r="J8" i="39"/>
  <c r="F8" i="39"/>
  <c r="B8" i="39"/>
  <c r="N7" i="39"/>
  <c r="J7" i="39"/>
  <c r="F7" i="39"/>
  <c r="B7" i="39"/>
  <c r="G6" i="38"/>
  <c r="F6" i="38"/>
  <c r="E6" i="38"/>
  <c r="D6" i="38"/>
  <c r="O23" i="37"/>
  <c r="O22" i="37"/>
  <c r="O21" i="37"/>
  <c r="O20" i="37"/>
  <c r="M12" i="37"/>
  <c r="L12" i="37"/>
  <c r="K12" i="37"/>
  <c r="J12" i="37"/>
  <c r="I12" i="37"/>
  <c r="H12" i="37"/>
  <c r="G12" i="37"/>
  <c r="F12" i="37"/>
  <c r="E12" i="37"/>
  <c r="D12" i="37"/>
  <c r="C12" i="37"/>
  <c r="R33" i="36"/>
  <c r="Q33" i="36"/>
  <c r="P33" i="36"/>
  <c r="N33" i="36"/>
  <c r="M33" i="36"/>
  <c r="L33" i="36"/>
  <c r="J33" i="36"/>
  <c r="I33" i="36"/>
  <c r="H33" i="36"/>
  <c r="F33" i="36"/>
  <c r="E33" i="36"/>
  <c r="D33" i="36"/>
  <c r="R31" i="36"/>
  <c r="Q31" i="36"/>
  <c r="P31" i="36"/>
  <c r="N31" i="36"/>
  <c r="N32" i="36" s="1"/>
  <c r="M31" i="36"/>
  <c r="M32" i="36" s="1"/>
  <c r="L31" i="36"/>
  <c r="J31" i="36"/>
  <c r="J32" i="36" s="1"/>
  <c r="I31" i="36"/>
  <c r="H31" i="36"/>
  <c r="F31" i="36"/>
  <c r="E31" i="36"/>
  <c r="D31" i="36"/>
  <c r="D32" i="36" s="1"/>
  <c r="O30" i="36"/>
  <c r="K30" i="36"/>
  <c r="G30" i="36"/>
  <c r="C30" i="36"/>
  <c r="O29" i="36"/>
  <c r="K29" i="36"/>
  <c r="G29" i="36"/>
  <c r="C29" i="36"/>
  <c r="O28" i="36"/>
  <c r="K28" i="36"/>
  <c r="G28" i="36"/>
  <c r="C28" i="36"/>
  <c r="O27" i="36"/>
  <c r="K27" i="36"/>
  <c r="G27" i="36"/>
  <c r="C27" i="36"/>
  <c r="O26" i="36"/>
  <c r="K26" i="36"/>
  <c r="G26" i="36"/>
  <c r="C26" i="36"/>
  <c r="O25" i="36"/>
  <c r="K25" i="36"/>
  <c r="G25" i="36"/>
  <c r="C25" i="36"/>
  <c r="O24" i="36"/>
  <c r="K24" i="36"/>
  <c r="G24" i="36"/>
  <c r="C24" i="36"/>
  <c r="O23" i="36"/>
  <c r="K23" i="36"/>
  <c r="G23" i="36"/>
  <c r="C23" i="36"/>
  <c r="O22" i="36"/>
  <c r="K22" i="36"/>
  <c r="G22" i="36"/>
  <c r="C22" i="36"/>
  <c r="O21" i="36"/>
  <c r="K21" i="36"/>
  <c r="G21" i="36"/>
  <c r="C21" i="36"/>
  <c r="O20" i="36"/>
  <c r="K20" i="36"/>
  <c r="G20" i="36"/>
  <c r="C20" i="36"/>
  <c r="O19" i="36"/>
  <c r="K19" i="36"/>
  <c r="G19" i="36"/>
  <c r="C19" i="36"/>
  <c r="O18" i="36"/>
  <c r="K18" i="36"/>
  <c r="G18" i="36"/>
  <c r="C18" i="36"/>
  <c r="O17" i="36"/>
  <c r="K17" i="36"/>
  <c r="G17" i="36"/>
  <c r="C17" i="36"/>
  <c r="O16" i="36"/>
  <c r="K16" i="36"/>
  <c r="G16" i="36"/>
  <c r="C16" i="36"/>
  <c r="O15" i="36"/>
  <c r="K15" i="36"/>
  <c r="G15" i="36"/>
  <c r="C15" i="36"/>
  <c r="O14" i="36"/>
  <c r="K14" i="36"/>
  <c r="G14" i="36"/>
  <c r="C14" i="36"/>
  <c r="O13" i="36"/>
  <c r="K13" i="36"/>
  <c r="G13" i="36"/>
  <c r="C13" i="36"/>
  <c r="O12" i="36"/>
  <c r="K12" i="36"/>
  <c r="G12" i="36"/>
  <c r="C12" i="36"/>
  <c r="O11" i="36"/>
  <c r="K11" i="36"/>
  <c r="G11" i="36"/>
  <c r="C11" i="36"/>
  <c r="O10" i="36"/>
  <c r="K10" i="36"/>
  <c r="G10" i="36"/>
  <c r="C10" i="36"/>
  <c r="O9" i="36"/>
  <c r="K9" i="36"/>
  <c r="G9" i="36"/>
  <c r="C9" i="36"/>
  <c r="O8" i="36"/>
  <c r="K8" i="36"/>
  <c r="G8" i="36"/>
  <c r="C8" i="36"/>
  <c r="O7" i="36"/>
  <c r="K7" i="36"/>
  <c r="G7" i="36"/>
  <c r="C7" i="36"/>
  <c r="Q31" i="35"/>
  <c r="P31" i="35"/>
  <c r="O31" i="35"/>
  <c r="M31" i="35"/>
  <c r="L31" i="35"/>
  <c r="K31" i="35"/>
  <c r="I31" i="35"/>
  <c r="H31" i="35"/>
  <c r="G31" i="35"/>
  <c r="E31" i="35"/>
  <c r="D31" i="35"/>
  <c r="C31" i="35"/>
  <c r="N30" i="35"/>
  <c r="J30" i="35"/>
  <c r="F30" i="35"/>
  <c r="B30" i="35"/>
  <c r="N29" i="35"/>
  <c r="J29" i="35"/>
  <c r="F29" i="35"/>
  <c r="B29" i="35"/>
  <c r="N28" i="35"/>
  <c r="J28" i="35"/>
  <c r="F28" i="35"/>
  <c r="B28" i="35"/>
  <c r="N27" i="35"/>
  <c r="J27" i="35"/>
  <c r="F27" i="35"/>
  <c r="B27" i="35"/>
  <c r="N26" i="35"/>
  <c r="J26" i="35"/>
  <c r="F26" i="35"/>
  <c r="B26" i="35"/>
  <c r="N25" i="35"/>
  <c r="J25" i="35"/>
  <c r="F25" i="35"/>
  <c r="B25" i="35"/>
  <c r="N24" i="35"/>
  <c r="J24" i="35"/>
  <c r="F24" i="35"/>
  <c r="B24" i="35"/>
  <c r="N23" i="35"/>
  <c r="J23" i="35"/>
  <c r="F23" i="35"/>
  <c r="B23" i="35"/>
  <c r="N22" i="35"/>
  <c r="J22" i="35"/>
  <c r="F22" i="35"/>
  <c r="B22" i="35"/>
  <c r="N21" i="35"/>
  <c r="J21" i="35"/>
  <c r="F21" i="35"/>
  <c r="B21" i="35"/>
  <c r="N20" i="35"/>
  <c r="J20" i="35"/>
  <c r="F20" i="35"/>
  <c r="B20" i="35"/>
  <c r="N19" i="35"/>
  <c r="J19" i="35"/>
  <c r="F19" i="35"/>
  <c r="B19" i="35"/>
  <c r="N18" i="35"/>
  <c r="J18" i="35"/>
  <c r="F18" i="35"/>
  <c r="B18" i="35"/>
  <c r="N17" i="35"/>
  <c r="J17" i="35"/>
  <c r="F17" i="35"/>
  <c r="B17" i="35"/>
  <c r="N16" i="35"/>
  <c r="J16" i="35"/>
  <c r="F16" i="35"/>
  <c r="B16" i="35"/>
  <c r="N15" i="35"/>
  <c r="J15" i="35"/>
  <c r="F15" i="35"/>
  <c r="B15" i="35"/>
  <c r="N14" i="35"/>
  <c r="J14" i="35"/>
  <c r="F14" i="35"/>
  <c r="B14" i="35"/>
  <c r="N13" i="35"/>
  <c r="J13" i="35"/>
  <c r="F13" i="35"/>
  <c r="B13" i="35"/>
  <c r="N12" i="35"/>
  <c r="J12" i="35"/>
  <c r="F12" i="35"/>
  <c r="B12" i="35"/>
  <c r="N11" i="35"/>
  <c r="J11" i="35"/>
  <c r="F11" i="35"/>
  <c r="B11" i="35"/>
  <c r="N10" i="35"/>
  <c r="J10" i="35"/>
  <c r="F10" i="35"/>
  <c r="B10" i="35"/>
  <c r="N9" i="35"/>
  <c r="J9" i="35"/>
  <c r="F9" i="35"/>
  <c r="B9" i="35"/>
  <c r="N8" i="35"/>
  <c r="J8" i="35"/>
  <c r="F8" i="35"/>
  <c r="B8" i="35"/>
  <c r="N7" i="35"/>
  <c r="J7" i="35"/>
  <c r="F7" i="35"/>
  <c r="B7" i="35"/>
  <c r="G4" i="34"/>
  <c r="F4" i="34"/>
  <c r="E4" i="34"/>
  <c r="D4" i="34"/>
  <c r="O22" i="32"/>
  <c r="O21" i="32"/>
  <c r="O20" i="32"/>
  <c r="O19" i="32"/>
  <c r="M11" i="32"/>
  <c r="L11" i="32"/>
  <c r="K11" i="32"/>
  <c r="J11" i="32"/>
  <c r="I11" i="32"/>
  <c r="H11" i="32"/>
  <c r="G11" i="32"/>
  <c r="F11" i="32"/>
  <c r="E11" i="32"/>
  <c r="D11" i="32"/>
  <c r="C11" i="32"/>
  <c r="R33" i="31"/>
  <c r="Q33" i="31"/>
  <c r="P33" i="31"/>
  <c r="N33" i="31"/>
  <c r="M33" i="31"/>
  <c r="L33" i="31"/>
  <c r="F33" i="31"/>
  <c r="E33" i="31"/>
  <c r="D33" i="31"/>
  <c r="R31" i="31"/>
  <c r="R32" i="31" s="1"/>
  <c r="Q31" i="31"/>
  <c r="P31" i="31"/>
  <c r="N31" i="31"/>
  <c r="M31" i="31"/>
  <c r="L31" i="31"/>
  <c r="F31" i="31"/>
  <c r="E31" i="31"/>
  <c r="D31" i="31"/>
  <c r="O30" i="31"/>
  <c r="K30" i="31"/>
  <c r="G30" i="31"/>
  <c r="C30" i="31"/>
  <c r="O29" i="31"/>
  <c r="K29" i="31"/>
  <c r="G29" i="31"/>
  <c r="C29" i="31"/>
  <c r="O28" i="31"/>
  <c r="K28" i="31"/>
  <c r="G28" i="31"/>
  <c r="C28" i="31"/>
  <c r="O27" i="31"/>
  <c r="K27" i="31"/>
  <c r="G27" i="31"/>
  <c r="C27" i="31"/>
  <c r="O26" i="31"/>
  <c r="K26" i="31"/>
  <c r="G26" i="31"/>
  <c r="C26" i="31"/>
  <c r="O25" i="31"/>
  <c r="K25" i="31"/>
  <c r="G25" i="31"/>
  <c r="C25" i="31"/>
  <c r="O24" i="31"/>
  <c r="K24" i="31"/>
  <c r="G24" i="31"/>
  <c r="C24" i="31"/>
  <c r="O23" i="31"/>
  <c r="K23" i="31"/>
  <c r="G23" i="31"/>
  <c r="C23" i="31"/>
  <c r="O22" i="31"/>
  <c r="K22" i="31"/>
  <c r="G22" i="31"/>
  <c r="C22" i="31"/>
  <c r="O21" i="31"/>
  <c r="K21" i="31"/>
  <c r="G21" i="31"/>
  <c r="C21" i="31"/>
  <c r="O20" i="31"/>
  <c r="K20" i="31"/>
  <c r="G20" i="31"/>
  <c r="C20" i="31"/>
  <c r="O19" i="31"/>
  <c r="K19" i="31"/>
  <c r="G19" i="31"/>
  <c r="C19" i="31"/>
  <c r="O18" i="31"/>
  <c r="K18" i="31"/>
  <c r="G18" i="31"/>
  <c r="C18" i="31"/>
  <c r="O17" i="31"/>
  <c r="K17" i="31"/>
  <c r="G17" i="31"/>
  <c r="C17" i="31"/>
  <c r="O16" i="31"/>
  <c r="K16" i="31"/>
  <c r="G16" i="31"/>
  <c r="C16" i="31"/>
  <c r="O15" i="31"/>
  <c r="K15" i="31"/>
  <c r="G15" i="31"/>
  <c r="C15" i="31"/>
  <c r="O14" i="31"/>
  <c r="K14" i="31"/>
  <c r="G14" i="31"/>
  <c r="C14" i="31"/>
  <c r="O13" i="31"/>
  <c r="K13" i="31"/>
  <c r="G13" i="31"/>
  <c r="C13" i="31"/>
  <c r="C31" i="31" s="1"/>
  <c r="O12" i="31"/>
  <c r="K12" i="31"/>
  <c r="G12" i="31"/>
  <c r="C12" i="31"/>
  <c r="O11" i="31"/>
  <c r="K11" i="31"/>
  <c r="G11" i="31"/>
  <c r="C11" i="31"/>
  <c r="O10" i="31"/>
  <c r="K10" i="31"/>
  <c r="G10" i="31"/>
  <c r="C10" i="31"/>
  <c r="O9" i="31"/>
  <c r="K9" i="31"/>
  <c r="G9" i="31"/>
  <c r="C9" i="31"/>
  <c r="O8" i="31"/>
  <c r="K8" i="31"/>
  <c r="G8" i="31"/>
  <c r="C8" i="31"/>
  <c r="O7" i="31"/>
  <c r="K7" i="31"/>
  <c r="G7" i="31"/>
  <c r="C7" i="31"/>
  <c r="Q31" i="30"/>
  <c r="P31" i="30"/>
  <c r="O31" i="30"/>
  <c r="M31" i="30"/>
  <c r="L31" i="30"/>
  <c r="K31" i="30"/>
  <c r="I31" i="30"/>
  <c r="H31" i="30"/>
  <c r="G31" i="30"/>
  <c r="E31" i="30"/>
  <c r="D31" i="30"/>
  <c r="C31" i="30"/>
  <c r="N30" i="30"/>
  <c r="J30" i="30"/>
  <c r="F30" i="30"/>
  <c r="B30" i="30"/>
  <c r="N29" i="30"/>
  <c r="J29" i="30"/>
  <c r="F29" i="30"/>
  <c r="B29" i="30"/>
  <c r="N28" i="30"/>
  <c r="J28" i="30"/>
  <c r="F28" i="30"/>
  <c r="B28" i="30"/>
  <c r="N27" i="30"/>
  <c r="J27" i="30"/>
  <c r="F27" i="30"/>
  <c r="B27" i="30"/>
  <c r="N26" i="30"/>
  <c r="J26" i="30"/>
  <c r="F26" i="30"/>
  <c r="B26" i="30"/>
  <c r="N25" i="30"/>
  <c r="J25" i="30"/>
  <c r="F25" i="30"/>
  <c r="B25" i="30"/>
  <c r="N24" i="30"/>
  <c r="J24" i="30"/>
  <c r="F24" i="30"/>
  <c r="B24" i="30"/>
  <c r="N23" i="30"/>
  <c r="J23" i="30"/>
  <c r="F23" i="30"/>
  <c r="B23" i="30"/>
  <c r="N22" i="30"/>
  <c r="J22" i="30"/>
  <c r="F22" i="30"/>
  <c r="B22" i="30"/>
  <c r="N21" i="30"/>
  <c r="J21" i="30"/>
  <c r="F21" i="30"/>
  <c r="B21" i="30"/>
  <c r="N20" i="30"/>
  <c r="J20" i="30"/>
  <c r="F20" i="30"/>
  <c r="B20" i="30"/>
  <c r="N19" i="30"/>
  <c r="J19" i="30"/>
  <c r="F19" i="30"/>
  <c r="B19" i="30"/>
  <c r="N18" i="30"/>
  <c r="J18" i="30"/>
  <c r="F18" i="30"/>
  <c r="B18" i="30"/>
  <c r="N17" i="30"/>
  <c r="J17" i="30"/>
  <c r="F17" i="30"/>
  <c r="B17" i="30"/>
  <c r="N16" i="30"/>
  <c r="J16" i="30"/>
  <c r="F16" i="30"/>
  <c r="B16" i="30"/>
  <c r="N15" i="30"/>
  <c r="J15" i="30"/>
  <c r="F15" i="30"/>
  <c r="B15" i="30"/>
  <c r="N14" i="30"/>
  <c r="J14" i="30"/>
  <c r="F14" i="30"/>
  <c r="B14" i="30"/>
  <c r="N13" i="30"/>
  <c r="J13" i="30"/>
  <c r="F13" i="30"/>
  <c r="B13" i="30"/>
  <c r="N12" i="30"/>
  <c r="J12" i="30"/>
  <c r="F12" i="30"/>
  <c r="B12" i="30"/>
  <c r="N11" i="30"/>
  <c r="J11" i="30"/>
  <c r="F11" i="30"/>
  <c r="B11" i="30"/>
  <c r="N10" i="30"/>
  <c r="J10" i="30"/>
  <c r="F10" i="30"/>
  <c r="B10" i="30"/>
  <c r="N9" i="30"/>
  <c r="J9" i="30"/>
  <c r="F9" i="30"/>
  <c r="B9" i="30"/>
  <c r="N8" i="30"/>
  <c r="J8" i="30"/>
  <c r="F8" i="30"/>
  <c r="B8" i="30"/>
  <c r="N7" i="30"/>
  <c r="J7" i="30"/>
  <c r="F7" i="30"/>
  <c r="B7" i="30"/>
  <c r="O7" i="29"/>
  <c r="O6" i="29"/>
  <c r="O5" i="29"/>
  <c r="O4" i="29"/>
  <c r="M11" i="28"/>
  <c r="L11" i="28"/>
  <c r="K11" i="28"/>
  <c r="J11" i="28"/>
  <c r="I11" i="28"/>
  <c r="H11" i="28"/>
  <c r="G11" i="28"/>
  <c r="F11" i="28"/>
  <c r="E11" i="28"/>
  <c r="D11" i="28"/>
  <c r="C11" i="28"/>
  <c r="G28" i="27"/>
  <c r="F28" i="27"/>
  <c r="E28" i="27"/>
  <c r="D28" i="27"/>
  <c r="S31" i="26"/>
  <c r="R31" i="26"/>
  <c r="Q31" i="26"/>
  <c r="P31" i="26"/>
  <c r="O31" i="26"/>
  <c r="N31" i="26"/>
  <c r="M31" i="26"/>
  <c r="L31" i="26"/>
  <c r="K31" i="26"/>
  <c r="J31" i="26"/>
  <c r="I31" i="26"/>
  <c r="H31" i="26"/>
  <c r="G31" i="26"/>
  <c r="F31" i="26"/>
  <c r="E31" i="26"/>
  <c r="D30" i="26"/>
  <c r="C30" i="26"/>
  <c r="B30" i="26"/>
  <c r="D29" i="26"/>
  <c r="C29" i="26"/>
  <c r="B29" i="26"/>
  <c r="D28" i="26"/>
  <c r="C28" i="26"/>
  <c r="B28" i="26"/>
  <c r="D27" i="26"/>
  <c r="C27" i="26"/>
  <c r="B27" i="26"/>
  <c r="D26" i="26"/>
  <c r="C26" i="26"/>
  <c r="B26" i="26"/>
  <c r="D25" i="26"/>
  <c r="C25" i="26"/>
  <c r="B25" i="26"/>
  <c r="D24" i="26"/>
  <c r="C24" i="26"/>
  <c r="B24" i="26"/>
  <c r="D23" i="26"/>
  <c r="C23" i="26"/>
  <c r="B23" i="26"/>
  <c r="D22" i="26"/>
  <c r="C22" i="26"/>
  <c r="B22" i="26"/>
  <c r="D21" i="26"/>
  <c r="C21" i="26"/>
  <c r="B21" i="26"/>
  <c r="D20" i="26"/>
  <c r="C20" i="26"/>
  <c r="B20" i="26"/>
  <c r="D19" i="26"/>
  <c r="C19" i="26"/>
  <c r="B19" i="26"/>
  <c r="D18" i="26"/>
  <c r="C18" i="26"/>
  <c r="B18" i="26"/>
  <c r="D17" i="26"/>
  <c r="C17" i="26"/>
  <c r="B17" i="26"/>
  <c r="D16" i="26"/>
  <c r="C16" i="26"/>
  <c r="B16" i="26"/>
  <c r="D15" i="26"/>
  <c r="C15" i="26"/>
  <c r="B15" i="26"/>
  <c r="D14" i="26"/>
  <c r="C14" i="26"/>
  <c r="B14" i="26"/>
  <c r="D13" i="26"/>
  <c r="C13" i="26"/>
  <c r="B13" i="26"/>
  <c r="D12" i="26"/>
  <c r="C12" i="26"/>
  <c r="B12" i="26"/>
  <c r="D11" i="26"/>
  <c r="C11" i="26"/>
  <c r="B11" i="26"/>
  <c r="D10" i="26"/>
  <c r="C10" i="26"/>
  <c r="B10" i="26"/>
  <c r="D9" i="26"/>
  <c r="C9" i="26"/>
  <c r="B9" i="26"/>
  <c r="D8" i="26"/>
  <c r="C8" i="26"/>
  <c r="B8" i="26"/>
  <c r="D7" i="26"/>
  <c r="C7" i="26"/>
  <c r="B7" i="26"/>
  <c r="P37" i="25"/>
  <c r="P36" i="25"/>
  <c r="P35" i="25"/>
  <c r="O34" i="25"/>
  <c r="N34" i="25"/>
  <c r="M34" i="25"/>
  <c r="L34" i="25"/>
  <c r="K34" i="25"/>
  <c r="J34" i="25"/>
  <c r="I34" i="25"/>
  <c r="H34" i="25"/>
  <c r="G34" i="25"/>
  <c r="F34" i="25"/>
  <c r="E34" i="25"/>
  <c r="D34" i="25"/>
  <c r="O33" i="25"/>
  <c r="N33" i="25"/>
  <c r="M33" i="25"/>
  <c r="L33" i="25"/>
  <c r="K33" i="25"/>
  <c r="J33" i="25"/>
  <c r="I33" i="25"/>
  <c r="H33" i="25"/>
  <c r="G33" i="25"/>
  <c r="F33" i="25"/>
  <c r="E33" i="25"/>
  <c r="D33" i="25"/>
  <c r="O32" i="25"/>
  <c r="N32" i="25"/>
  <c r="M32" i="25"/>
  <c r="L32" i="25"/>
  <c r="K32" i="25"/>
  <c r="J32" i="25"/>
  <c r="I32" i="25"/>
  <c r="H32" i="25"/>
  <c r="G32" i="25"/>
  <c r="F32" i="25"/>
  <c r="E32" i="25"/>
  <c r="D32" i="25"/>
  <c r="P31" i="25"/>
  <c r="P30" i="25"/>
  <c r="P29" i="25"/>
  <c r="P28" i="25"/>
  <c r="P27" i="25"/>
  <c r="P26" i="25"/>
  <c r="P25" i="25"/>
  <c r="P24" i="25"/>
  <c r="P23" i="25"/>
  <c r="P22" i="25"/>
  <c r="P21" i="25"/>
  <c r="P20" i="25"/>
  <c r="P19" i="25"/>
  <c r="P18" i="25"/>
  <c r="P17" i="25"/>
  <c r="P16" i="25"/>
  <c r="P15" i="25"/>
  <c r="P14" i="25"/>
  <c r="P13" i="25"/>
  <c r="P12" i="25"/>
  <c r="P11" i="25"/>
  <c r="P10" i="25"/>
  <c r="P9" i="25"/>
  <c r="P8" i="25"/>
  <c r="P7" i="25"/>
  <c r="P6" i="25"/>
  <c r="P5" i="25"/>
  <c r="J25" i="24"/>
  <c r="I25" i="24"/>
  <c r="H25" i="24"/>
  <c r="G25" i="24"/>
  <c r="F25" i="24"/>
  <c r="E25" i="24"/>
  <c r="D25" i="24"/>
  <c r="C25" i="24"/>
  <c r="J11" i="24"/>
  <c r="I11" i="24"/>
  <c r="H11" i="24"/>
  <c r="G11" i="24"/>
  <c r="F11" i="24"/>
  <c r="E11" i="24"/>
  <c r="D11" i="24"/>
  <c r="C11" i="24"/>
  <c r="AB7" i="24"/>
  <c r="G29" i="23"/>
  <c r="F29" i="23"/>
  <c r="E29" i="23"/>
  <c r="D29" i="23"/>
  <c r="S31" i="22"/>
  <c r="R31" i="22"/>
  <c r="Q31" i="22"/>
  <c r="P31" i="22"/>
  <c r="O31" i="22"/>
  <c r="N31" i="22"/>
  <c r="M31" i="22"/>
  <c r="L31" i="22"/>
  <c r="K31" i="22"/>
  <c r="J31" i="22"/>
  <c r="I31" i="22"/>
  <c r="H31" i="22"/>
  <c r="G31" i="22"/>
  <c r="F31" i="22"/>
  <c r="E31" i="22"/>
  <c r="D30" i="22"/>
  <c r="C30" i="22"/>
  <c r="B30" i="22"/>
  <c r="D29" i="22"/>
  <c r="C29" i="22"/>
  <c r="B29" i="22"/>
  <c r="D28" i="22"/>
  <c r="C28" i="22"/>
  <c r="B28" i="22"/>
  <c r="D27" i="22"/>
  <c r="C27" i="22"/>
  <c r="B27" i="22"/>
  <c r="D26" i="22"/>
  <c r="C26" i="22"/>
  <c r="B26" i="22"/>
  <c r="D25" i="22"/>
  <c r="C25" i="22"/>
  <c r="B25" i="22"/>
  <c r="D24" i="22"/>
  <c r="C24" i="22"/>
  <c r="B24" i="22"/>
  <c r="D23" i="22"/>
  <c r="C23" i="22"/>
  <c r="B23" i="22"/>
  <c r="D22" i="22"/>
  <c r="C22" i="22"/>
  <c r="B22" i="22"/>
  <c r="D21" i="22"/>
  <c r="C21" i="22"/>
  <c r="B21" i="22"/>
  <c r="D20" i="22"/>
  <c r="C20" i="22"/>
  <c r="B20" i="22"/>
  <c r="D19" i="22"/>
  <c r="C19" i="22"/>
  <c r="B19" i="22"/>
  <c r="D18" i="22"/>
  <c r="C18" i="22"/>
  <c r="B18" i="22"/>
  <c r="D17" i="22"/>
  <c r="C17" i="22"/>
  <c r="B17" i="22"/>
  <c r="D16" i="22"/>
  <c r="C16" i="22"/>
  <c r="B16" i="22"/>
  <c r="D15" i="22"/>
  <c r="C15" i="22"/>
  <c r="B15" i="22"/>
  <c r="D14" i="22"/>
  <c r="C14" i="22"/>
  <c r="B14" i="22"/>
  <c r="D13" i="22"/>
  <c r="C13" i="22"/>
  <c r="B13" i="22"/>
  <c r="D12" i="22"/>
  <c r="C12" i="22"/>
  <c r="B12" i="22"/>
  <c r="D11" i="22"/>
  <c r="C11" i="22"/>
  <c r="B11" i="22"/>
  <c r="D10" i="22"/>
  <c r="C10" i="22"/>
  <c r="B10" i="22"/>
  <c r="D9" i="22"/>
  <c r="B9" i="22"/>
  <c r="D8" i="22"/>
  <c r="C8" i="22"/>
  <c r="B8" i="22"/>
  <c r="D7" i="22"/>
  <c r="C7" i="22"/>
  <c r="B7" i="22"/>
  <c r="P55" i="21"/>
  <c r="P54" i="21"/>
  <c r="P53" i="21"/>
  <c r="O52" i="21"/>
  <c r="N52" i="21"/>
  <c r="M52" i="21"/>
  <c r="L52" i="21"/>
  <c r="K52" i="21"/>
  <c r="J52" i="21"/>
  <c r="I52" i="21"/>
  <c r="H52" i="21"/>
  <c r="G52" i="21"/>
  <c r="F52" i="21"/>
  <c r="E52" i="21"/>
  <c r="D52" i="21"/>
  <c r="N51" i="21"/>
  <c r="M51" i="21"/>
  <c r="L51" i="21"/>
  <c r="K51" i="21"/>
  <c r="J51" i="21"/>
  <c r="I51" i="21"/>
  <c r="H51" i="21"/>
  <c r="G51" i="21"/>
  <c r="F51" i="21"/>
  <c r="E51" i="21"/>
  <c r="D51" i="21"/>
  <c r="O50" i="21"/>
  <c r="N50" i="21"/>
  <c r="M50" i="21"/>
  <c r="L50" i="21"/>
  <c r="K50" i="21"/>
  <c r="J50" i="21"/>
  <c r="I50" i="21"/>
  <c r="H50" i="21"/>
  <c r="G50" i="21"/>
  <c r="F50" i="21"/>
  <c r="E50" i="21"/>
  <c r="D50" i="21"/>
  <c r="P49" i="21"/>
  <c r="P48" i="21"/>
  <c r="P47" i="21"/>
  <c r="P46" i="21"/>
  <c r="P45" i="21"/>
  <c r="P44" i="21"/>
  <c r="P43" i="21"/>
  <c r="P42" i="21"/>
  <c r="P41" i="21"/>
  <c r="P40" i="21"/>
  <c r="P39" i="21"/>
  <c r="P38" i="21"/>
  <c r="P37" i="21"/>
  <c r="P36" i="21"/>
  <c r="P35" i="21"/>
  <c r="P34" i="21"/>
  <c r="P33" i="21"/>
  <c r="P32" i="21"/>
  <c r="P31" i="21"/>
  <c r="P30" i="21"/>
  <c r="P29" i="21"/>
  <c r="P28" i="21"/>
  <c r="P27" i="21"/>
  <c r="P26" i="21"/>
  <c r="P25" i="21"/>
  <c r="P24" i="21"/>
  <c r="P23" i="21"/>
  <c r="P22" i="21"/>
  <c r="P21" i="21"/>
  <c r="P20" i="21"/>
  <c r="P19" i="21"/>
  <c r="P18" i="21"/>
  <c r="P17" i="21"/>
  <c r="P16" i="21"/>
  <c r="P15" i="21"/>
  <c r="P14" i="21"/>
  <c r="P13" i="21"/>
  <c r="P12" i="21"/>
  <c r="P11" i="21"/>
  <c r="P10" i="21"/>
  <c r="P9" i="21"/>
  <c r="P8" i="21"/>
  <c r="P7" i="21"/>
  <c r="P6" i="21"/>
  <c r="P5" i="21"/>
  <c r="AQ15" i="20"/>
  <c r="AP15" i="20"/>
  <c r="AO15" i="20"/>
  <c r="AN15" i="20"/>
  <c r="AM15" i="20"/>
  <c r="AL15" i="20"/>
  <c r="AK15" i="20"/>
  <c r="AJ15" i="20"/>
  <c r="AI15" i="20"/>
  <c r="AH15" i="20"/>
  <c r="AG15" i="20"/>
  <c r="AF15" i="20"/>
  <c r="AR15" i="20" s="1"/>
  <c r="AQ14" i="20"/>
  <c r="AP14" i="20"/>
  <c r="AO14" i="20"/>
  <c r="AN14" i="20"/>
  <c r="AM14" i="20"/>
  <c r="AL14" i="20"/>
  <c r="AK14" i="20"/>
  <c r="AJ14" i="20"/>
  <c r="AI14" i="20"/>
  <c r="AH14" i="20"/>
  <c r="AG14" i="20"/>
  <c r="AF14" i="20"/>
  <c r="AR14" i="20" s="1"/>
  <c r="AQ13" i="20"/>
  <c r="AP13" i="20"/>
  <c r="AO13" i="20"/>
  <c r="AN13" i="20"/>
  <c r="AM13" i="20"/>
  <c r="AL13" i="20"/>
  <c r="AK13" i="20"/>
  <c r="AJ13" i="20"/>
  <c r="AI13" i="20"/>
  <c r="AH13" i="20"/>
  <c r="AG13" i="20"/>
  <c r="AF13" i="20"/>
  <c r="AR13" i="20" s="1"/>
  <c r="AQ11" i="20"/>
  <c r="AP11" i="20"/>
  <c r="AO11" i="20"/>
  <c r="AN11" i="20"/>
  <c r="AM11" i="20"/>
  <c r="AL11" i="20"/>
  <c r="AK11" i="20"/>
  <c r="AJ11" i="20"/>
  <c r="AI11" i="20"/>
  <c r="AH11" i="20"/>
  <c r="AG11" i="20"/>
  <c r="AF11" i="20"/>
  <c r="AR11" i="20" s="1"/>
  <c r="AP10" i="20"/>
  <c r="AO10" i="20"/>
  <c r="AN10" i="20"/>
  <c r="AM10" i="20"/>
  <c r="AL10" i="20"/>
  <c r="AK10" i="20"/>
  <c r="AJ10" i="20"/>
  <c r="AI10" i="20"/>
  <c r="AH10" i="20"/>
  <c r="AG10" i="20"/>
  <c r="AF10" i="20"/>
  <c r="AE10" i="20"/>
  <c r="AQ10" i="20" s="1"/>
  <c r="AP9" i="20"/>
  <c r="AO9" i="20"/>
  <c r="AN9" i="20"/>
  <c r="AM9" i="20"/>
  <c r="AL9" i="20"/>
  <c r="AK9" i="20"/>
  <c r="AJ9" i="20"/>
  <c r="AI9" i="20"/>
  <c r="AH9" i="20"/>
  <c r="AG9" i="20"/>
  <c r="AF9" i="20"/>
  <c r="AE9" i="20"/>
  <c r="AQ9" i="20" s="1"/>
  <c r="AP8" i="20"/>
  <c r="AO8" i="20"/>
  <c r="AN8" i="20"/>
  <c r="AM8" i="20"/>
  <c r="AL8" i="20"/>
  <c r="AK8" i="20"/>
  <c r="AJ8" i="20"/>
  <c r="AI8" i="20"/>
  <c r="AH8" i="20"/>
  <c r="AG8" i="20"/>
  <c r="AF8" i="20"/>
  <c r="AE8" i="20"/>
  <c r="AQ8" i="20" s="1"/>
  <c r="AP7" i="20"/>
  <c r="AO7" i="20"/>
  <c r="AN7" i="20"/>
  <c r="AM7" i="20"/>
  <c r="AL7" i="20"/>
  <c r="AK7" i="20"/>
  <c r="AJ7" i="20"/>
  <c r="AI7" i="20"/>
  <c r="AH7" i="20"/>
  <c r="AG7" i="20"/>
  <c r="AF7" i="20"/>
  <c r="AE7" i="20"/>
  <c r="AQ7" i="20" s="1"/>
  <c r="L10" i="20"/>
  <c r="K10" i="20"/>
  <c r="J10" i="20"/>
  <c r="I10" i="20"/>
  <c r="H10" i="20"/>
  <c r="G10" i="20"/>
  <c r="F10" i="20"/>
  <c r="E10" i="20"/>
  <c r="D10" i="20"/>
  <c r="C10" i="20"/>
  <c r="AP6" i="20"/>
  <c r="AO6" i="20"/>
  <c r="AN6" i="20"/>
  <c r="AM6" i="20"/>
  <c r="AL6" i="20"/>
  <c r="AK6" i="20"/>
  <c r="AJ6" i="20"/>
  <c r="AI6" i="20"/>
  <c r="AH6" i="20"/>
  <c r="AG6" i="20"/>
  <c r="AF6" i="20"/>
  <c r="AE6" i="20"/>
  <c r="AQ6" i="20" s="1"/>
  <c r="G27" i="19"/>
  <c r="F27" i="19"/>
  <c r="E27" i="19"/>
  <c r="D27" i="19"/>
  <c r="S31" i="18"/>
  <c r="R31" i="18"/>
  <c r="Q31" i="18"/>
  <c r="P31" i="18"/>
  <c r="O31" i="18"/>
  <c r="N31" i="18"/>
  <c r="M31" i="18"/>
  <c r="L31" i="18"/>
  <c r="K31" i="18"/>
  <c r="J31" i="18"/>
  <c r="I31" i="18"/>
  <c r="H31" i="18"/>
  <c r="G31" i="18"/>
  <c r="F31" i="18"/>
  <c r="E31" i="18"/>
  <c r="Q39" i="17"/>
  <c r="Q38" i="17"/>
  <c r="Q37" i="17"/>
  <c r="P36" i="17"/>
  <c r="O36" i="17"/>
  <c r="N36" i="17"/>
  <c r="M36" i="17"/>
  <c r="L36" i="17"/>
  <c r="K36" i="17"/>
  <c r="J36" i="17"/>
  <c r="I36" i="17"/>
  <c r="H36" i="17"/>
  <c r="G36" i="17"/>
  <c r="F36" i="17"/>
  <c r="E36" i="17"/>
  <c r="P35" i="17"/>
  <c r="O35" i="17"/>
  <c r="N35" i="17"/>
  <c r="M35" i="17"/>
  <c r="L35" i="17"/>
  <c r="K35" i="17"/>
  <c r="J35" i="17"/>
  <c r="I35" i="17"/>
  <c r="H35" i="17"/>
  <c r="G35" i="17"/>
  <c r="F35" i="17"/>
  <c r="E35" i="17"/>
  <c r="P34" i="17"/>
  <c r="O34" i="17"/>
  <c r="N34" i="17"/>
  <c r="M34" i="17"/>
  <c r="L34" i="17"/>
  <c r="K34" i="17"/>
  <c r="J34" i="17"/>
  <c r="I34" i="17"/>
  <c r="H34" i="17"/>
  <c r="G34" i="17"/>
  <c r="F34" i="17"/>
  <c r="E34" i="17"/>
  <c r="Q33" i="17"/>
  <c r="Q32" i="17"/>
  <c r="Q31" i="17"/>
  <c r="Q30" i="17"/>
  <c r="Q29" i="17"/>
  <c r="Q28" i="17"/>
  <c r="Q27" i="17"/>
  <c r="Q26" i="17"/>
  <c r="Q25" i="17"/>
  <c r="Q24" i="17"/>
  <c r="Q23" i="17"/>
  <c r="Q22" i="17"/>
  <c r="Q21" i="17"/>
  <c r="Q20" i="17"/>
  <c r="Q19" i="17"/>
  <c r="O10" i="17"/>
  <c r="N10" i="17"/>
  <c r="V60" i="16"/>
  <c r="H44" i="15"/>
  <c r="G44" i="15"/>
  <c r="F44" i="15"/>
  <c r="E44" i="15"/>
  <c r="G18" i="13"/>
  <c r="F18" i="13"/>
  <c r="E18" i="13"/>
  <c r="D18" i="13"/>
  <c r="H16" i="13"/>
  <c r="G15" i="13"/>
  <c r="F15" i="13"/>
  <c r="E15" i="13"/>
  <c r="D15" i="13"/>
  <c r="H13" i="13"/>
  <c r="G12" i="13"/>
  <c r="F12" i="13"/>
  <c r="E12" i="13"/>
  <c r="D12" i="13"/>
  <c r="H10" i="13"/>
  <c r="G9" i="13"/>
  <c r="F9" i="13"/>
  <c r="E9" i="13"/>
  <c r="D9" i="13"/>
  <c r="H7" i="13"/>
  <c r="N32" i="12"/>
  <c r="M32" i="12"/>
  <c r="K32" i="12"/>
  <c r="K31" i="12" s="1"/>
  <c r="J32" i="12"/>
  <c r="H32" i="12"/>
  <c r="G32" i="12"/>
  <c r="E32" i="12"/>
  <c r="D32" i="12"/>
  <c r="N30" i="12"/>
  <c r="M30" i="12"/>
  <c r="K30" i="12"/>
  <c r="J30" i="12"/>
  <c r="H30" i="12"/>
  <c r="G30" i="12"/>
  <c r="E30" i="12"/>
  <c r="D30" i="12"/>
  <c r="L29" i="12"/>
  <c r="I29" i="12"/>
  <c r="F29" i="12"/>
  <c r="C29" i="12"/>
  <c r="L28" i="12"/>
  <c r="I28" i="12"/>
  <c r="F28" i="12"/>
  <c r="C28" i="12"/>
  <c r="L27" i="12"/>
  <c r="I27" i="12"/>
  <c r="F27" i="12"/>
  <c r="C27" i="12"/>
  <c r="L26" i="12"/>
  <c r="I26" i="12"/>
  <c r="F26" i="12"/>
  <c r="C26" i="12"/>
  <c r="L25" i="12"/>
  <c r="I25" i="12"/>
  <c r="F25" i="12"/>
  <c r="C25" i="12"/>
  <c r="L24" i="12"/>
  <c r="I24" i="12"/>
  <c r="F24" i="12"/>
  <c r="C24" i="12"/>
  <c r="L23" i="12"/>
  <c r="I23" i="12"/>
  <c r="F23" i="12"/>
  <c r="C23" i="12"/>
  <c r="L22" i="12"/>
  <c r="I22" i="12"/>
  <c r="F22" i="12"/>
  <c r="C22" i="12"/>
  <c r="L21" i="12"/>
  <c r="I21" i="12"/>
  <c r="F21" i="12"/>
  <c r="C21" i="12"/>
  <c r="L20" i="12"/>
  <c r="I20" i="12"/>
  <c r="F20" i="12"/>
  <c r="C20" i="12"/>
  <c r="L19" i="12"/>
  <c r="I19" i="12"/>
  <c r="F19" i="12"/>
  <c r="C19" i="12"/>
  <c r="L18" i="12"/>
  <c r="I18" i="12"/>
  <c r="F18" i="12"/>
  <c r="C18" i="12"/>
  <c r="L17" i="12"/>
  <c r="I17" i="12"/>
  <c r="F17" i="12"/>
  <c r="C17" i="12"/>
  <c r="L16" i="12"/>
  <c r="I16" i="12"/>
  <c r="F16" i="12"/>
  <c r="C16" i="12"/>
  <c r="L15" i="12"/>
  <c r="I15" i="12"/>
  <c r="F15" i="12"/>
  <c r="C15" i="12"/>
  <c r="L14" i="12"/>
  <c r="I14" i="12"/>
  <c r="F14" i="12"/>
  <c r="C14" i="12"/>
  <c r="L13" i="12"/>
  <c r="I13" i="12"/>
  <c r="F13" i="12"/>
  <c r="C13" i="12"/>
  <c r="L12" i="12"/>
  <c r="I12" i="12"/>
  <c r="F12" i="12"/>
  <c r="C12" i="12"/>
  <c r="L11" i="12"/>
  <c r="I11" i="12"/>
  <c r="F11" i="12"/>
  <c r="C11" i="12"/>
  <c r="L10" i="12"/>
  <c r="I10" i="12"/>
  <c r="F10" i="12"/>
  <c r="C10" i="12"/>
  <c r="L9" i="12"/>
  <c r="I9" i="12"/>
  <c r="F9" i="12"/>
  <c r="C9" i="12"/>
  <c r="L8" i="12"/>
  <c r="I8" i="12"/>
  <c r="F8" i="12"/>
  <c r="C8" i="12"/>
  <c r="L7" i="12"/>
  <c r="I7" i="12"/>
  <c r="F7" i="12"/>
  <c r="C7" i="12"/>
  <c r="L6" i="12"/>
  <c r="I6" i="12"/>
  <c r="F6" i="12"/>
  <c r="C6" i="12"/>
  <c r="L12" i="11"/>
  <c r="K12" i="11"/>
  <c r="J12" i="11"/>
  <c r="L10" i="11"/>
  <c r="K10" i="11"/>
  <c r="J10" i="11"/>
  <c r="L8" i="11"/>
  <c r="K8" i="11"/>
  <c r="J8" i="11"/>
  <c r="L6" i="11"/>
  <c r="K6" i="11"/>
  <c r="J6" i="11"/>
  <c r="L39" i="10"/>
  <c r="L35" i="10"/>
  <c r="D35" i="10"/>
  <c r="L31" i="10"/>
  <c r="D30" i="10"/>
  <c r="D31" i="10" s="1"/>
  <c r="L27" i="10"/>
  <c r="D26" i="10"/>
  <c r="D27" i="10" s="1"/>
  <c r="M17" i="10"/>
  <c r="L17" i="10"/>
  <c r="J17" i="10"/>
  <c r="I17" i="10"/>
  <c r="G17" i="10"/>
  <c r="F17" i="10"/>
  <c r="D17" i="10"/>
  <c r="C17" i="10"/>
  <c r="N16" i="10"/>
  <c r="K16" i="10"/>
  <c r="H16" i="10"/>
  <c r="E16" i="10"/>
  <c r="N15" i="10"/>
  <c r="K15" i="10"/>
  <c r="H15" i="10"/>
  <c r="E15" i="10"/>
  <c r="N14" i="10"/>
  <c r="K14" i="10"/>
  <c r="H14" i="10"/>
  <c r="E14" i="10"/>
  <c r="N13" i="10"/>
  <c r="K13" i="10"/>
  <c r="H13" i="10"/>
  <c r="E13" i="10"/>
  <c r="N12" i="10"/>
  <c r="K12" i="10"/>
  <c r="H12" i="10"/>
  <c r="E12" i="10"/>
  <c r="N11" i="10"/>
  <c r="K11" i="10"/>
  <c r="H11" i="10"/>
  <c r="E11" i="10"/>
  <c r="N10" i="10"/>
  <c r="K10" i="10"/>
  <c r="H10" i="10"/>
  <c r="E10" i="10"/>
  <c r="N9" i="10"/>
  <c r="K9" i="10"/>
  <c r="H9" i="10"/>
  <c r="E9" i="10"/>
  <c r="N8" i="10"/>
  <c r="K8" i="10"/>
  <c r="H8" i="10"/>
  <c r="E8" i="10"/>
  <c r="N7" i="10"/>
  <c r="K7" i="10"/>
  <c r="H7" i="10"/>
  <c r="E7" i="10"/>
  <c r="N6" i="10"/>
  <c r="K6" i="10"/>
  <c r="H6" i="10"/>
  <c r="E6" i="10"/>
  <c r="N5" i="10"/>
  <c r="K5" i="10"/>
  <c r="H5" i="10"/>
  <c r="E5" i="10"/>
  <c r="N46" i="8"/>
  <c r="M46" i="8"/>
  <c r="L46" i="8"/>
  <c r="K46" i="8"/>
  <c r="I12" i="7"/>
  <c r="H12" i="7"/>
  <c r="G12" i="7"/>
  <c r="F12" i="7"/>
  <c r="E12" i="7"/>
  <c r="D12" i="7"/>
  <c r="C12" i="7"/>
  <c r="B12" i="7"/>
  <c r="U29" i="6"/>
  <c r="T29" i="6"/>
  <c r="S29" i="6"/>
  <c r="U28" i="6"/>
  <c r="T28" i="6"/>
  <c r="S28" i="6"/>
  <c r="U27" i="6"/>
  <c r="T27" i="6"/>
  <c r="S27" i="6"/>
  <c r="U26" i="6"/>
  <c r="T26" i="6"/>
  <c r="S26" i="6"/>
  <c r="U25" i="6"/>
  <c r="T25" i="6"/>
  <c r="S25" i="6"/>
  <c r="U24" i="6"/>
  <c r="T24" i="6"/>
  <c r="S24" i="6"/>
  <c r="U23" i="6"/>
  <c r="T23" i="6"/>
  <c r="S23" i="6"/>
  <c r="U22" i="6"/>
  <c r="T22" i="6"/>
  <c r="S22" i="6"/>
  <c r="U21" i="6"/>
  <c r="T21" i="6"/>
  <c r="S21" i="6"/>
  <c r="U20" i="6"/>
  <c r="T20" i="6"/>
  <c r="S20" i="6"/>
  <c r="U19" i="6"/>
  <c r="T19" i="6"/>
  <c r="S19" i="6"/>
  <c r="U18" i="6"/>
  <c r="T18" i="6"/>
  <c r="S18" i="6"/>
  <c r="R30" i="6"/>
  <c r="N18" i="6"/>
  <c r="U17" i="6"/>
  <c r="T17" i="6"/>
  <c r="S17" i="6"/>
  <c r="N17" i="6"/>
  <c r="U16" i="6"/>
  <c r="T16" i="6"/>
  <c r="S16" i="6"/>
  <c r="N16" i="6"/>
  <c r="U15" i="6"/>
  <c r="T15" i="6"/>
  <c r="S15" i="6"/>
  <c r="N15" i="6"/>
  <c r="U14" i="6"/>
  <c r="T14" i="6"/>
  <c r="S14" i="6"/>
  <c r="N14" i="6"/>
  <c r="U13" i="6"/>
  <c r="T13" i="6"/>
  <c r="S13" i="6"/>
  <c r="U12" i="6"/>
  <c r="T12" i="6"/>
  <c r="S12" i="6"/>
  <c r="U11" i="6"/>
  <c r="T11" i="6"/>
  <c r="S11" i="6"/>
  <c r="U10" i="6"/>
  <c r="T10" i="6"/>
  <c r="S10" i="6"/>
  <c r="U9" i="6"/>
  <c r="T9" i="6"/>
  <c r="S9" i="6"/>
  <c r="U8" i="6"/>
  <c r="T8" i="6"/>
  <c r="S8" i="6"/>
  <c r="U7" i="6"/>
  <c r="T7" i="6"/>
  <c r="S7" i="6"/>
  <c r="U6" i="6"/>
  <c r="T6" i="6"/>
  <c r="S6" i="6"/>
  <c r="Q37" i="5"/>
  <c r="Q36" i="5"/>
  <c r="Q35" i="5"/>
  <c r="Q34" i="5"/>
  <c r="Q33" i="5"/>
  <c r="Q32" i="5"/>
  <c r="Q31" i="5"/>
  <c r="Q30" i="5"/>
  <c r="Q29" i="5"/>
  <c r="Q28" i="5"/>
  <c r="Q26" i="5"/>
  <c r="Q25" i="5"/>
  <c r="Q24" i="5"/>
  <c r="Q23" i="5"/>
  <c r="Q22" i="5"/>
  <c r="Q21" i="5"/>
  <c r="Q20" i="5"/>
  <c r="Q19" i="5"/>
  <c r="Q18" i="5"/>
  <c r="Q17" i="5"/>
  <c r="Q16" i="5"/>
  <c r="Q15" i="5"/>
  <c r="Q14" i="5"/>
  <c r="Q13" i="5"/>
  <c r="Q12" i="5"/>
  <c r="Q11" i="5"/>
  <c r="Q10" i="5"/>
  <c r="Q9" i="5"/>
  <c r="Q8" i="5"/>
  <c r="F60" i="4"/>
  <c r="F59" i="4"/>
  <c r="E59" i="4"/>
  <c r="D59" i="4"/>
  <c r="C59" i="4"/>
  <c r="F58" i="4"/>
  <c r="E58" i="4"/>
  <c r="D58" i="4"/>
  <c r="C58" i="4"/>
  <c r="F57" i="4"/>
  <c r="E57" i="4"/>
  <c r="D57" i="4"/>
  <c r="C57" i="4"/>
  <c r="F56" i="4"/>
  <c r="E56" i="4"/>
  <c r="D56" i="4"/>
  <c r="C56" i="4"/>
  <c r="F55" i="4"/>
  <c r="E55" i="4"/>
  <c r="D55" i="4"/>
  <c r="C55" i="4"/>
  <c r="F54" i="4"/>
  <c r="E54" i="4"/>
  <c r="D54" i="4"/>
  <c r="C54" i="4"/>
  <c r="F53" i="4"/>
  <c r="E53" i="4"/>
  <c r="D53" i="4"/>
  <c r="C53" i="4"/>
  <c r="F52" i="4"/>
  <c r="E52" i="4"/>
  <c r="D52" i="4"/>
  <c r="C52" i="4"/>
  <c r="F51" i="4"/>
  <c r="E51" i="4"/>
  <c r="D51" i="4"/>
  <c r="C51" i="4"/>
  <c r="F50" i="4"/>
  <c r="D50" i="4"/>
  <c r="C50" i="4"/>
  <c r="F49" i="4"/>
  <c r="D49" i="4"/>
  <c r="C49" i="4"/>
  <c r="F48" i="4"/>
  <c r="D48" i="4"/>
  <c r="C48" i="4"/>
  <c r="F47" i="4"/>
  <c r="D47" i="4"/>
  <c r="C47" i="4"/>
  <c r="F46" i="4"/>
  <c r="E46" i="4"/>
  <c r="D46" i="4"/>
  <c r="C46" i="4"/>
  <c r="F45" i="4"/>
  <c r="E45" i="4"/>
  <c r="D45" i="4"/>
  <c r="C45" i="4"/>
  <c r="F44" i="4"/>
  <c r="E44" i="4"/>
  <c r="D44" i="4"/>
  <c r="C44" i="4"/>
  <c r="F43" i="4"/>
  <c r="E43" i="4"/>
  <c r="D43" i="4"/>
  <c r="C43" i="4"/>
  <c r="F42" i="4"/>
  <c r="E42" i="4"/>
  <c r="D42" i="4"/>
  <c r="C42" i="4"/>
  <c r="F41" i="4"/>
  <c r="E41" i="4"/>
  <c r="D41" i="4"/>
  <c r="C41" i="4"/>
  <c r="F40" i="4"/>
  <c r="E40" i="4"/>
  <c r="D40" i="4"/>
  <c r="C40" i="4"/>
  <c r="F39" i="4"/>
  <c r="E39" i="4"/>
  <c r="D39" i="4"/>
  <c r="C39" i="4"/>
  <c r="F38" i="4"/>
  <c r="E38" i="4"/>
  <c r="D38" i="4"/>
  <c r="C38" i="4"/>
  <c r="F37" i="4"/>
  <c r="E37" i="4"/>
  <c r="D37" i="4"/>
  <c r="C37" i="4"/>
  <c r="F36" i="4"/>
  <c r="E36" i="4"/>
  <c r="D36" i="4"/>
  <c r="C36" i="4"/>
  <c r="F35" i="4"/>
  <c r="E35" i="4"/>
  <c r="D35" i="4"/>
  <c r="C35" i="4"/>
  <c r="F34" i="4"/>
  <c r="E34" i="4"/>
  <c r="D34" i="4"/>
  <c r="C34" i="4"/>
  <c r="F33" i="4"/>
  <c r="E33" i="4"/>
  <c r="D33" i="4"/>
  <c r="C33" i="4"/>
  <c r="F32" i="4"/>
  <c r="E32" i="4"/>
  <c r="D32" i="4"/>
  <c r="C32" i="4"/>
  <c r="F31" i="4"/>
  <c r="E31" i="4"/>
  <c r="D31" i="4"/>
  <c r="C31" i="4"/>
  <c r="F30" i="4"/>
  <c r="E30" i="4"/>
  <c r="D30" i="4"/>
  <c r="C30" i="4"/>
  <c r="F29" i="4"/>
  <c r="E29" i="4"/>
  <c r="D29" i="4"/>
  <c r="C29" i="4"/>
  <c r="F28" i="4"/>
  <c r="E28" i="4"/>
  <c r="D28" i="4"/>
  <c r="C28" i="4"/>
  <c r="F27" i="4"/>
  <c r="E27" i="4"/>
  <c r="D27" i="4"/>
  <c r="C27" i="4"/>
  <c r="F26" i="4"/>
  <c r="E26" i="4"/>
  <c r="D26" i="4"/>
  <c r="C26" i="4"/>
  <c r="F25" i="4"/>
  <c r="E25" i="4"/>
  <c r="D25" i="4"/>
  <c r="C25" i="4"/>
  <c r="F24" i="4"/>
  <c r="E24" i="4"/>
  <c r="D24" i="4"/>
  <c r="C24" i="4"/>
  <c r="F23" i="4"/>
  <c r="E23" i="4"/>
  <c r="D23" i="4"/>
  <c r="C23" i="4"/>
  <c r="F22" i="4"/>
  <c r="E22" i="4"/>
  <c r="D22" i="4"/>
  <c r="C22" i="4"/>
  <c r="F21" i="4"/>
  <c r="E21" i="4"/>
  <c r="D21" i="4"/>
  <c r="C21" i="4"/>
  <c r="F20" i="4"/>
  <c r="E20" i="4"/>
  <c r="C20" i="4"/>
  <c r="F19" i="4"/>
  <c r="E19" i="4"/>
  <c r="D19" i="4"/>
  <c r="C19" i="4"/>
  <c r="F18" i="4"/>
  <c r="E18" i="4"/>
  <c r="D18" i="4"/>
  <c r="C18" i="4"/>
  <c r="F17" i="4"/>
  <c r="E17" i="4"/>
  <c r="D17" i="4"/>
  <c r="C17" i="4"/>
  <c r="F16" i="4"/>
  <c r="E16" i="4"/>
  <c r="D16" i="4"/>
  <c r="C16" i="4"/>
  <c r="F15" i="4"/>
  <c r="E15" i="4"/>
  <c r="D15" i="4"/>
  <c r="C15" i="4"/>
  <c r="F14" i="4"/>
  <c r="E14" i="4"/>
  <c r="D14" i="4"/>
  <c r="C14" i="4"/>
  <c r="E13" i="4"/>
  <c r="D13" i="4"/>
  <c r="C13" i="4"/>
  <c r="F12" i="4"/>
  <c r="E12" i="4"/>
  <c r="D12" i="4"/>
  <c r="C12" i="4"/>
  <c r="F11" i="4"/>
  <c r="E11" i="4"/>
  <c r="D11" i="4"/>
  <c r="C11" i="4"/>
  <c r="F10" i="4"/>
  <c r="E10" i="4"/>
  <c r="D10" i="4"/>
  <c r="C10" i="4"/>
  <c r="F9" i="4"/>
  <c r="E9" i="4"/>
  <c r="D9" i="4"/>
  <c r="C9" i="4"/>
  <c r="F8" i="4"/>
  <c r="E8" i="4"/>
  <c r="D8" i="4"/>
  <c r="C8" i="4"/>
  <c r="F7" i="4"/>
  <c r="E7" i="4"/>
  <c r="D7" i="4"/>
  <c r="K15" i="3"/>
  <c r="I15" i="3"/>
  <c r="K14" i="3"/>
  <c r="I14" i="3"/>
  <c r="K13" i="3"/>
  <c r="I13" i="3"/>
  <c r="K12" i="3"/>
  <c r="I12" i="3"/>
  <c r="K11" i="3"/>
  <c r="I11" i="3"/>
  <c r="K10" i="3"/>
  <c r="I10" i="3"/>
  <c r="K9" i="3"/>
  <c r="I9" i="3"/>
  <c r="K8" i="3"/>
  <c r="I8" i="3"/>
  <c r="K7" i="3"/>
  <c r="I7" i="3"/>
  <c r="K6" i="3"/>
  <c r="I6" i="3"/>
  <c r="K5" i="3"/>
  <c r="I5" i="3"/>
  <c r="K4" i="3"/>
  <c r="I4" i="3"/>
  <c r="J48" i="1"/>
  <c r="L47" i="1"/>
  <c r="K47" i="1"/>
  <c r="J47" i="1"/>
  <c r="L46" i="1"/>
  <c r="K46" i="1"/>
  <c r="J46" i="1"/>
  <c r="L45" i="1"/>
  <c r="K45" i="1"/>
  <c r="J45" i="1"/>
  <c r="L44" i="1"/>
  <c r="K44" i="1"/>
  <c r="J44" i="1"/>
  <c r="L43" i="1"/>
  <c r="K43" i="1"/>
  <c r="J43" i="1"/>
  <c r="L42" i="1"/>
  <c r="K42" i="1"/>
  <c r="J42" i="1"/>
  <c r="L41" i="1"/>
  <c r="K41" i="1"/>
  <c r="J41" i="1"/>
  <c r="L40" i="1"/>
  <c r="K40" i="1"/>
  <c r="J40" i="1"/>
  <c r="L39" i="1"/>
  <c r="K39" i="1"/>
  <c r="J39" i="1"/>
  <c r="L38" i="1"/>
  <c r="K38" i="1"/>
  <c r="J38" i="1"/>
  <c r="J37" i="1"/>
  <c r="L36" i="1"/>
  <c r="K36" i="1"/>
  <c r="J36" i="1"/>
  <c r="L35" i="1"/>
  <c r="K35" i="1"/>
  <c r="J35" i="1"/>
  <c r="J29" i="1"/>
  <c r="H29" i="1"/>
  <c r="J28" i="1"/>
  <c r="H28" i="1"/>
  <c r="J27" i="1"/>
  <c r="H27" i="1"/>
  <c r="J26" i="1"/>
  <c r="H26" i="1"/>
  <c r="J25" i="1"/>
  <c r="H25" i="1"/>
  <c r="J24" i="1"/>
  <c r="H24" i="1"/>
  <c r="J23" i="1"/>
  <c r="H23" i="1"/>
  <c r="J22" i="1"/>
  <c r="H22" i="1"/>
  <c r="J21" i="1"/>
  <c r="H21" i="1"/>
  <c r="J20" i="1"/>
  <c r="H20" i="1"/>
  <c r="J19" i="1"/>
  <c r="H19" i="1"/>
  <c r="J18" i="1"/>
  <c r="H18" i="1"/>
  <c r="J17" i="1"/>
  <c r="H17" i="1"/>
  <c r="J16" i="1"/>
  <c r="H16" i="1"/>
  <c r="J15" i="1"/>
  <c r="H15" i="1"/>
  <c r="J14" i="1"/>
  <c r="H14" i="1"/>
  <c r="J13" i="1"/>
  <c r="H13" i="1"/>
  <c r="J12" i="1"/>
  <c r="H12" i="1"/>
  <c r="J11" i="1"/>
  <c r="H11" i="1"/>
  <c r="J10" i="1"/>
  <c r="H10" i="1"/>
  <c r="J9" i="1"/>
  <c r="H9" i="1"/>
  <c r="H8" i="1"/>
  <c r="J7" i="1"/>
  <c r="H7" i="1"/>
  <c r="J6" i="1"/>
  <c r="H6" i="1"/>
  <c r="Q32" i="36" l="1"/>
  <c r="F32" i="36"/>
  <c r="N31" i="12"/>
  <c r="N31" i="43"/>
  <c r="F31" i="43"/>
  <c r="O31" i="40"/>
  <c r="O33" i="40"/>
  <c r="C33" i="40"/>
  <c r="C31" i="40"/>
  <c r="O31" i="36"/>
  <c r="I32" i="36"/>
  <c r="G31" i="31"/>
  <c r="G33" i="31"/>
  <c r="G32" i="31" s="1"/>
  <c r="C33" i="31"/>
  <c r="C32" i="31" s="1"/>
  <c r="I30" i="12"/>
  <c r="C32" i="12"/>
  <c r="D31" i="12"/>
  <c r="C30" i="12"/>
  <c r="I32" i="44"/>
  <c r="J32" i="44"/>
  <c r="N32" i="40"/>
  <c r="N31" i="39"/>
  <c r="J31" i="39"/>
  <c r="B31" i="39"/>
  <c r="R32" i="36"/>
  <c r="P32" i="36"/>
  <c r="H32" i="36"/>
  <c r="O33" i="31"/>
  <c r="O31" i="31"/>
  <c r="Q32" i="31"/>
  <c r="K33" i="31"/>
  <c r="K31" i="31"/>
  <c r="L32" i="31"/>
  <c r="M32" i="31"/>
  <c r="N32" i="31"/>
  <c r="E32" i="31"/>
  <c r="N31" i="30"/>
  <c r="F31" i="30"/>
  <c r="D31" i="22"/>
  <c r="P51" i="21"/>
  <c r="Q34" i="17"/>
  <c r="I32" i="12"/>
  <c r="H31" i="12"/>
  <c r="E31" i="12"/>
  <c r="K17" i="10"/>
  <c r="O31" i="44"/>
  <c r="D32" i="44"/>
  <c r="O32" i="40"/>
  <c r="K33" i="40"/>
  <c r="K31" i="40"/>
  <c r="G33" i="40"/>
  <c r="G31" i="40"/>
  <c r="H32" i="40"/>
  <c r="J32" i="40"/>
  <c r="F31" i="39"/>
  <c r="O33" i="36"/>
  <c r="O32" i="36" s="1"/>
  <c r="L32" i="36"/>
  <c r="K33" i="36"/>
  <c r="K31" i="36"/>
  <c r="G33" i="36"/>
  <c r="G31" i="36"/>
  <c r="C33" i="36"/>
  <c r="C31" i="36"/>
  <c r="E32" i="36"/>
  <c r="N31" i="35"/>
  <c r="J31" i="35"/>
  <c r="F31" i="35"/>
  <c r="B31" i="35"/>
  <c r="P32" i="31"/>
  <c r="D32" i="31"/>
  <c r="F32" i="31"/>
  <c r="J31" i="30"/>
  <c r="B31" i="30"/>
  <c r="B31" i="26"/>
  <c r="C31" i="26"/>
  <c r="D31" i="26"/>
  <c r="P32" i="25"/>
  <c r="P34" i="25"/>
  <c r="P33" i="25"/>
  <c r="B31" i="22"/>
  <c r="C31" i="22"/>
  <c r="P52" i="21"/>
  <c r="P50" i="21"/>
  <c r="M31" i="12"/>
  <c r="L30" i="12"/>
  <c r="L32" i="12"/>
  <c r="L31" i="12" s="1"/>
  <c r="J31" i="12"/>
  <c r="F32" i="12"/>
  <c r="F30" i="12"/>
  <c r="G31" i="12"/>
  <c r="S30" i="6"/>
  <c r="T30" i="6"/>
  <c r="U30" i="6"/>
  <c r="B31" i="18"/>
  <c r="D31" i="18"/>
  <c r="C31" i="18"/>
  <c r="Q36" i="17"/>
  <c r="Q35" i="17"/>
  <c r="H15" i="13"/>
  <c r="H9" i="13"/>
  <c r="H18" i="13"/>
  <c r="H12" i="13"/>
  <c r="N17" i="10"/>
  <c r="H17" i="10"/>
  <c r="E17" i="10"/>
  <c r="F32" i="44"/>
  <c r="G33" i="44"/>
  <c r="G31" i="44"/>
  <c r="G32" i="44" s="1"/>
  <c r="E32" i="44"/>
  <c r="O33" i="44"/>
  <c r="P32" i="44"/>
  <c r="Q32" i="44"/>
  <c r="R32" i="44"/>
  <c r="N32" i="44"/>
  <c r="K33" i="44"/>
  <c r="K31" i="44"/>
  <c r="H32" i="44"/>
  <c r="C33" i="44"/>
  <c r="C31" i="44"/>
  <c r="J31" i="43"/>
  <c r="B31" i="43"/>
  <c r="O32" i="44" l="1"/>
  <c r="G32" i="40"/>
  <c r="K32" i="36"/>
  <c r="I31" i="12"/>
  <c r="C32" i="40"/>
  <c r="G32" i="36"/>
  <c r="C32" i="36"/>
  <c r="C31" i="12"/>
  <c r="O32" i="31"/>
  <c r="K32" i="31"/>
  <c r="K32" i="44"/>
  <c r="K32" i="40"/>
  <c r="F31" i="12"/>
  <c r="C32" i="44"/>
</calcChain>
</file>

<file path=xl/sharedStrings.xml><?xml version="1.0" encoding="utf-8"?>
<sst xmlns="http://schemas.openxmlformats.org/spreadsheetml/2006/main" count="2468" uniqueCount="969">
  <si>
    <r>
      <rPr>
        <sz val="11"/>
        <rFont val="BIZ UDPゴシック"/>
        <family val="3"/>
        <charset val="128"/>
      </rPr>
      <t>交通事故発生状況</t>
    </r>
    <rPh sb="0" eb="2">
      <t>コウツウ</t>
    </rPh>
    <rPh sb="2" eb="4">
      <t>ジコ</t>
    </rPh>
    <rPh sb="4" eb="6">
      <t>ハッセイ</t>
    </rPh>
    <rPh sb="6" eb="8">
      <t>ジョウキョウ</t>
    </rPh>
    <phoneticPr fontId="4"/>
  </si>
  <si>
    <r>
      <rPr>
        <sz val="9"/>
        <rFont val="BIZ UDPゴシック"/>
        <family val="3"/>
        <charset val="128"/>
      </rPr>
      <t>（件数：件／死者数・負傷者数：人）</t>
    </r>
    <rPh sb="1" eb="3">
      <t>ケンスウ</t>
    </rPh>
    <rPh sb="4" eb="5">
      <t>ケン</t>
    </rPh>
    <rPh sb="6" eb="9">
      <t>シシャスウ</t>
    </rPh>
    <rPh sb="10" eb="13">
      <t>フショウシャ</t>
    </rPh>
    <rPh sb="13" eb="14">
      <t>スウ</t>
    </rPh>
    <rPh sb="15" eb="16">
      <t>ニン</t>
    </rPh>
    <phoneticPr fontId="4"/>
  </si>
  <si>
    <r>
      <rPr>
        <sz val="11"/>
        <rFont val="BIZ UDPゴシック"/>
        <family val="3"/>
        <charset val="128"/>
      </rPr>
      <t>年別</t>
    </r>
    <rPh sb="0" eb="2">
      <t>ネンベツ</t>
    </rPh>
    <phoneticPr fontId="4"/>
  </si>
  <si>
    <r>
      <rPr>
        <sz val="11"/>
        <rFont val="BIZ UDPゴシック"/>
        <family val="3"/>
        <charset val="128"/>
      </rPr>
      <t>前年比較</t>
    </r>
    <rPh sb="0" eb="2">
      <t>ゼンネン</t>
    </rPh>
    <rPh sb="2" eb="4">
      <t>ヒカク</t>
    </rPh>
    <phoneticPr fontId="4"/>
  </si>
  <si>
    <r>
      <rPr>
        <sz val="11"/>
        <rFont val="BIZ UDPゴシック"/>
        <family val="3"/>
        <charset val="128"/>
      </rPr>
      <t>区分</t>
    </r>
    <rPh sb="0" eb="2">
      <t>クブン</t>
    </rPh>
    <phoneticPr fontId="4"/>
  </si>
  <si>
    <r>
      <rPr>
        <sz val="11"/>
        <rFont val="BIZ UDPゴシック"/>
        <family val="3"/>
        <charset val="128"/>
      </rPr>
      <t>増▲減</t>
    </r>
    <rPh sb="0" eb="1">
      <t>ゾウ</t>
    </rPh>
    <rPh sb="2" eb="3">
      <t>ゲン</t>
    </rPh>
    <phoneticPr fontId="4"/>
  </si>
  <si>
    <r>
      <rPr>
        <sz val="11"/>
        <rFont val="BIZ UDPゴシック"/>
        <family val="3"/>
        <charset val="128"/>
      </rPr>
      <t>増減率％</t>
    </r>
    <rPh sb="0" eb="2">
      <t>ゾウゲン</t>
    </rPh>
    <rPh sb="2" eb="3">
      <t>リツ</t>
    </rPh>
    <phoneticPr fontId="4"/>
  </si>
  <si>
    <r>
      <rPr>
        <sz val="11"/>
        <rFont val="BIZ UDPゴシック"/>
        <family val="3"/>
        <charset val="128"/>
      </rPr>
      <t>大
阪
市
域
内</t>
    </r>
    <rPh sb="0" eb="1">
      <t>ダイ</t>
    </rPh>
    <rPh sb="2" eb="3">
      <t>サカ</t>
    </rPh>
    <rPh sb="4" eb="5">
      <t>シ</t>
    </rPh>
    <rPh sb="6" eb="7">
      <t>イキ</t>
    </rPh>
    <rPh sb="8" eb="9">
      <t>ナイ</t>
    </rPh>
    <phoneticPr fontId="4"/>
  </si>
  <si>
    <r>
      <rPr>
        <sz val="11"/>
        <rFont val="BIZ UDPゴシック"/>
        <family val="3"/>
        <charset val="128"/>
      </rPr>
      <t>件　　数</t>
    </r>
    <rPh sb="0" eb="1">
      <t>ケン</t>
    </rPh>
    <rPh sb="3" eb="4">
      <t>スウ</t>
    </rPh>
    <phoneticPr fontId="4"/>
  </si>
  <si>
    <r>
      <rPr>
        <sz val="11"/>
        <rFont val="BIZ UDPゴシック"/>
        <family val="3"/>
        <charset val="128"/>
      </rPr>
      <t>死者数</t>
    </r>
    <rPh sb="0" eb="2">
      <t>シシャ</t>
    </rPh>
    <rPh sb="2" eb="3">
      <t>スウ</t>
    </rPh>
    <phoneticPr fontId="4"/>
  </si>
  <si>
    <r>
      <rPr>
        <sz val="11"/>
        <rFont val="BIZ UDPゴシック"/>
        <family val="3"/>
        <charset val="128"/>
      </rPr>
      <t>総数</t>
    </r>
    <rPh sb="0" eb="1">
      <t>ソウ</t>
    </rPh>
    <rPh sb="1" eb="2">
      <t>スウ</t>
    </rPh>
    <phoneticPr fontId="4"/>
  </si>
  <si>
    <t>-</t>
    <phoneticPr fontId="4"/>
  </si>
  <si>
    <r>
      <rPr>
        <sz val="11"/>
        <rFont val="BIZ UDPゴシック"/>
        <family val="3"/>
        <charset val="128"/>
      </rPr>
      <t>内高齢者</t>
    </r>
    <rPh sb="0" eb="1">
      <t>ウチ</t>
    </rPh>
    <rPh sb="1" eb="4">
      <t>コウレイシャ</t>
    </rPh>
    <phoneticPr fontId="4"/>
  </si>
  <si>
    <r>
      <rPr>
        <sz val="11"/>
        <rFont val="BIZ UDPゴシック"/>
        <family val="3"/>
        <charset val="128"/>
      </rPr>
      <t>負傷者数</t>
    </r>
    <rPh sb="0" eb="1">
      <t>フ</t>
    </rPh>
    <rPh sb="1" eb="3">
      <t>ショウシャ</t>
    </rPh>
    <rPh sb="3" eb="4">
      <t>スウ</t>
    </rPh>
    <phoneticPr fontId="4"/>
  </si>
  <si>
    <r>
      <rPr>
        <sz val="11"/>
        <rFont val="BIZ UDPゴシック"/>
        <family val="3"/>
        <charset val="128"/>
      </rPr>
      <t>総数</t>
    </r>
  </si>
  <si>
    <r>
      <rPr>
        <sz val="11"/>
        <rFont val="BIZ UDPゴシック"/>
        <family val="3"/>
        <charset val="128"/>
      </rPr>
      <t>内
重傷者数</t>
    </r>
    <rPh sb="0" eb="1">
      <t>ウチ</t>
    </rPh>
    <rPh sb="2" eb="5">
      <t>ジュウショウシャ</t>
    </rPh>
    <rPh sb="5" eb="6">
      <t>スウ</t>
    </rPh>
    <phoneticPr fontId="4"/>
  </si>
  <si>
    <r>
      <rPr>
        <sz val="11"/>
        <rFont val="BIZ UDPゴシック"/>
        <family val="3"/>
        <charset val="128"/>
      </rPr>
      <t>大
阪
府
全
域</t>
    </r>
    <rPh sb="0" eb="1">
      <t>ダイ</t>
    </rPh>
    <rPh sb="2" eb="3">
      <t>サカ</t>
    </rPh>
    <rPh sb="4" eb="5">
      <t>フ</t>
    </rPh>
    <rPh sb="6" eb="7">
      <t>ゼン</t>
    </rPh>
    <rPh sb="8" eb="9">
      <t>イキ</t>
    </rPh>
    <phoneticPr fontId="4"/>
  </si>
  <si>
    <r>
      <rPr>
        <sz val="11"/>
        <rFont val="BIZ UDPゴシック"/>
        <family val="3"/>
        <charset val="128"/>
      </rPr>
      <t>全
国</t>
    </r>
    <rPh sb="0" eb="1">
      <t>ゼン</t>
    </rPh>
    <rPh sb="2" eb="3">
      <t>クニ</t>
    </rPh>
    <phoneticPr fontId="4"/>
  </si>
  <si>
    <t>件　　数</t>
    <rPh sb="0" eb="1">
      <t>ケン</t>
    </rPh>
    <rPh sb="3" eb="4">
      <t>スウ</t>
    </rPh>
    <phoneticPr fontId="4"/>
  </si>
  <si>
    <r>
      <rPr>
        <sz val="11"/>
        <rFont val="BIZ UDPゴシック"/>
        <family val="3"/>
        <charset val="128"/>
      </rPr>
      <t>死者数</t>
    </r>
    <rPh sb="0" eb="1">
      <t>シ</t>
    </rPh>
    <rPh sb="1" eb="2">
      <t>モノ</t>
    </rPh>
    <rPh sb="2" eb="3">
      <t>スウ</t>
    </rPh>
    <phoneticPr fontId="4"/>
  </si>
  <si>
    <r>
      <rPr>
        <sz val="11"/>
        <rFont val="BIZ UDPゴシック"/>
        <family val="3"/>
        <charset val="128"/>
      </rPr>
      <t>負傷者数</t>
    </r>
    <rPh sb="0" eb="1">
      <t>フ</t>
    </rPh>
    <rPh sb="1" eb="2">
      <t>キズ</t>
    </rPh>
    <rPh sb="2" eb="3">
      <t>モノ</t>
    </rPh>
    <rPh sb="3" eb="4">
      <t>スウ</t>
    </rPh>
    <phoneticPr fontId="4"/>
  </si>
  <si>
    <r>
      <rPr>
        <sz val="11"/>
        <rFont val="BIZ UDPゴシック"/>
        <family val="3"/>
        <charset val="128"/>
      </rPr>
      <t>内重傷者数</t>
    </r>
    <rPh sb="0" eb="1">
      <t>ウチ</t>
    </rPh>
    <rPh sb="1" eb="4">
      <t>ジュウショウシャ</t>
    </rPh>
    <rPh sb="4" eb="5">
      <t>スウ</t>
    </rPh>
    <phoneticPr fontId="4"/>
  </si>
  <si>
    <r>
      <rPr>
        <sz val="11"/>
        <rFont val="BIZ UDPゴシック"/>
        <family val="3"/>
        <charset val="128"/>
      </rPr>
      <t>交通事故死者（大阪市域内）</t>
    </r>
    <rPh sb="0" eb="2">
      <t>コウツウ</t>
    </rPh>
    <rPh sb="2" eb="4">
      <t>ジコ</t>
    </rPh>
    <rPh sb="4" eb="6">
      <t>シシャ</t>
    </rPh>
    <rPh sb="7" eb="10">
      <t>オオサカシ</t>
    </rPh>
    <rPh sb="10" eb="12">
      <t>イキナイ</t>
    </rPh>
    <phoneticPr fontId="4"/>
  </si>
  <si>
    <r>
      <t>(</t>
    </r>
    <r>
      <rPr>
        <sz val="9"/>
        <rFont val="BIZ UDPゴシック"/>
        <family val="3"/>
        <charset val="128"/>
      </rPr>
      <t>人）</t>
    </r>
    <rPh sb="1" eb="2">
      <t>ヒト</t>
    </rPh>
    <phoneticPr fontId="4"/>
  </si>
  <si>
    <r>
      <rPr>
        <sz val="11"/>
        <rFont val="BIZ UDPゴシック"/>
        <family val="3"/>
        <charset val="128"/>
      </rPr>
      <t>前年比</t>
    </r>
    <rPh sb="0" eb="2">
      <t>ゼンネン</t>
    </rPh>
    <rPh sb="2" eb="3">
      <t>ヒ</t>
    </rPh>
    <phoneticPr fontId="4"/>
  </si>
  <si>
    <r>
      <rPr>
        <sz val="11"/>
        <rFont val="BIZ UDPゴシック"/>
        <family val="3"/>
        <charset val="128"/>
      </rPr>
      <t>増　▲　減</t>
    </r>
    <rPh sb="0" eb="1">
      <t>ゾウ</t>
    </rPh>
    <rPh sb="4" eb="5">
      <t>ゲン</t>
    </rPh>
    <phoneticPr fontId="4"/>
  </si>
  <si>
    <r>
      <rPr>
        <sz val="11"/>
        <rFont val="BIZ UDPゴシック"/>
        <family val="3"/>
        <charset val="128"/>
      </rPr>
      <t>増減率（％）</t>
    </r>
    <rPh sb="0" eb="2">
      <t>ゾウゲン</t>
    </rPh>
    <rPh sb="2" eb="3">
      <t>リツ</t>
    </rPh>
    <phoneticPr fontId="4"/>
  </si>
  <si>
    <r>
      <rPr>
        <sz val="11"/>
        <rFont val="BIZ UDPゴシック"/>
        <family val="3"/>
        <charset val="128"/>
      </rPr>
      <t>市域内総数</t>
    </r>
    <rPh sb="0" eb="1">
      <t>シ</t>
    </rPh>
    <rPh sb="1" eb="3">
      <t>イキナイ</t>
    </rPh>
    <rPh sb="3" eb="5">
      <t>ソウスウ</t>
    </rPh>
    <phoneticPr fontId="4"/>
  </si>
  <si>
    <r>
      <rPr>
        <sz val="11"/>
        <rFont val="BIZ UDPゴシック"/>
        <family val="3"/>
        <charset val="128"/>
      </rPr>
      <t>世代別</t>
    </r>
    <rPh sb="0" eb="3">
      <t>セダイベツ</t>
    </rPh>
    <phoneticPr fontId="4"/>
  </si>
  <si>
    <r>
      <rPr>
        <sz val="11"/>
        <rFont val="BIZ UDPゴシック"/>
        <family val="3"/>
        <charset val="128"/>
      </rPr>
      <t>高齢者</t>
    </r>
    <rPh sb="0" eb="3">
      <t>コウレイシャ</t>
    </rPh>
    <phoneticPr fontId="4"/>
  </si>
  <si>
    <r>
      <rPr>
        <sz val="11"/>
        <rFont val="BIZ UDPゴシック"/>
        <family val="3"/>
        <charset val="128"/>
      </rPr>
      <t>その他</t>
    </r>
    <rPh sb="2" eb="3">
      <t>タ</t>
    </rPh>
    <phoneticPr fontId="4"/>
  </si>
  <si>
    <r>
      <rPr>
        <sz val="11"/>
        <rFont val="BIZ UDPゴシック"/>
        <family val="3"/>
        <charset val="128"/>
      </rPr>
      <t>状態別</t>
    </r>
    <rPh sb="0" eb="2">
      <t>ジョウタイ</t>
    </rPh>
    <rPh sb="2" eb="3">
      <t>ベツ</t>
    </rPh>
    <phoneticPr fontId="4"/>
  </si>
  <si>
    <r>
      <rPr>
        <sz val="11"/>
        <rFont val="BIZ UDPゴシック"/>
        <family val="3"/>
        <charset val="128"/>
      </rPr>
      <t>自動車乗車中</t>
    </r>
    <rPh sb="0" eb="3">
      <t>ジドウシャ</t>
    </rPh>
    <rPh sb="3" eb="6">
      <t>ジョウシャチュウ</t>
    </rPh>
    <phoneticPr fontId="4"/>
  </si>
  <si>
    <r>
      <rPr>
        <sz val="9"/>
        <rFont val="BIZ UDPゴシック"/>
        <family val="3"/>
        <charset val="128"/>
      </rPr>
      <t>うちシートベルト非着用</t>
    </r>
    <rPh sb="8" eb="9">
      <t>ヒ</t>
    </rPh>
    <rPh sb="9" eb="11">
      <t>チャクヨウ</t>
    </rPh>
    <phoneticPr fontId="4"/>
  </si>
  <si>
    <r>
      <rPr>
        <sz val="11"/>
        <rFont val="BIZ UDPゴシック"/>
        <family val="3"/>
        <charset val="128"/>
      </rPr>
      <t>自動二輪車乗車中</t>
    </r>
    <rPh sb="0" eb="2">
      <t>ジドウ</t>
    </rPh>
    <rPh sb="2" eb="5">
      <t>ニリンシャ</t>
    </rPh>
    <rPh sb="5" eb="8">
      <t>ジョウシャチュウ</t>
    </rPh>
    <phoneticPr fontId="4"/>
  </si>
  <si>
    <r>
      <rPr>
        <sz val="11"/>
        <rFont val="BIZ UDPゴシック"/>
        <family val="3"/>
        <charset val="128"/>
      </rPr>
      <t>類型別</t>
    </r>
    <rPh sb="0" eb="2">
      <t>ルイケイ</t>
    </rPh>
    <rPh sb="2" eb="3">
      <t>ベツ</t>
    </rPh>
    <phoneticPr fontId="4"/>
  </si>
  <si>
    <r>
      <rPr>
        <sz val="11"/>
        <rFont val="BIZ UDPゴシック"/>
        <family val="3"/>
        <charset val="128"/>
      </rPr>
      <t>人対車両</t>
    </r>
    <rPh sb="0" eb="1">
      <t>ヒト</t>
    </rPh>
    <rPh sb="1" eb="2">
      <t>タイ</t>
    </rPh>
    <rPh sb="2" eb="4">
      <t>シャリョウ</t>
    </rPh>
    <phoneticPr fontId="4"/>
  </si>
  <si>
    <r>
      <rPr>
        <sz val="11"/>
        <rFont val="BIZ UDPゴシック"/>
        <family val="3"/>
        <charset val="128"/>
      </rPr>
      <t>車両相互</t>
    </r>
    <rPh sb="0" eb="2">
      <t>シャリョウ</t>
    </rPh>
    <rPh sb="2" eb="4">
      <t>ソウゴ</t>
    </rPh>
    <phoneticPr fontId="4"/>
  </si>
  <si>
    <r>
      <rPr>
        <sz val="11"/>
        <rFont val="BIZ UDPゴシック"/>
        <family val="3"/>
        <charset val="128"/>
      </rPr>
      <t>車両単独</t>
    </r>
    <rPh sb="0" eb="2">
      <t>シャリョウ</t>
    </rPh>
    <rPh sb="2" eb="4">
      <t>タンドク</t>
    </rPh>
    <phoneticPr fontId="4"/>
  </si>
  <si>
    <r>
      <rPr>
        <sz val="11"/>
        <rFont val="BIZ UDPゴシック"/>
        <family val="3"/>
        <charset val="128"/>
      </rPr>
      <t>列車</t>
    </r>
    <rPh sb="0" eb="2">
      <t>レッシャ</t>
    </rPh>
    <phoneticPr fontId="4"/>
  </si>
  <si>
    <t>２．交通事故の推移</t>
    <rPh sb="2" eb="4">
      <t>コウツウ</t>
    </rPh>
    <rPh sb="4" eb="6">
      <t>ジコ</t>
    </rPh>
    <rPh sb="7" eb="9">
      <t>スイイ</t>
    </rPh>
    <phoneticPr fontId="4"/>
  </si>
  <si>
    <r>
      <rPr>
        <sz val="12"/>
        <rFont val="Arial Unicode MS"/>
        <family val="3"/>
        <charset val="128"/>
      </rPr>
      <t>（１）交通事故の年別推移（昭和４５年以降）</t>
    </r>
    <rPh sb="3" eb="5">
      <t>コウツウ</t>
    </rPh>
    <rPh sb="5" eb="7">
      <t>ジコ</t>
    </rPh>
    <rPh sb="8" eb="10">
      <t>ネンベツ</t>
    </rPh>
    <rPh sb="10" eb="12">
      <t>スイイ</t>
    </rPh>
    <rPh sb="13" eb="15">
      <t>ショウワ</t>
    </rPh>
    <rPh sb="17" eb="20">
      <t>ネンイコウ</t>
    </rPh>
    <phoneticPr fontId="4"/>
  </si>
  <si>
    <r>
      <rPr>
        <sz val="11"/>
        <rFont val="Arial Unicode MS"/>
        <family val="3"/>
        <charset val="128"/>
      </rPr>
      <t>年次別交通事故推移</t>
    </r>
    <rPh sb="0" eb="2">
      <t>ネンジ</t>
    </rPh>
    <rPh sb="2" eb="3">
      <t>ベツ</t>
    </rPh>
    <rPh sb="3" eb="5">
      <t>コウツウ</t>
    </rPh>
    <rPh sb="5" eb="7">
      <t>ジコ</t>
    </rPh>
    <rPh sb="7" eb="9">
      <t>スイイ</t>
    </rPh>
    <phoneticPr fontId="4"/>
  </si>
  <si>
    <r>
      <rPr>
        <sz val="9"/>
        <rFont val="Arial Unicode MS"/>
        <family val="3"/>
        <charset val="128"/>
      </rPr>
      <t>（件数：件／死者数・負傷者数・内重傷者数：人）</t>
    </r>
    <rPh sb="15" eb="16">
      <t>ウチ</t>
    </rPh>
    <rPh sb="16" eb="20">
      <t>ジュウショウシャスウ</t>
    </rPh>
    <phoneticPr fontId="4"/>
  </si>
  <si>
    <r>
      <rPr>
        <sz val="11"/>
        <rFont val="Arial Unicode MS"/>
        <family val="3"/>
        <charset val="128"/>
      </rPr>
      <t>交通
安全
計画</t>
    </r>
    <rPh sb="0" eb="2">
      <t>コウツウ</t>
    </rPh>
    <rPh sb="3" eb="5">
      <t>アンゼン</t>
    </rPh>
    <rPh sb="6" eb="8">
      <t>ケイカク</t>
    </rPh>
    <phoneticPr fontId="4"/>
  </si>
  <si>
    <r>
      <rPr>
        <sz val="11"/>
        <rFont val="Arial Unicode MS"/>
        <family val="3"/>
        <charset val="128"/>
      </rPr>
      <t>区分</t>
    </r>
    <rPh sb="0" eb="2">
      <t>クブン</t>
    </rPh>
    <phoneticPr fontId="4"/>
  </si>
  <si>
    <r>
      <rPr>
        <sz val="11"/>
        <rFont val="Arial Unicode MS"/>
        <family val="3"/>
        <charset val="128"/>
      </rPr>
      <t>大阪市域内</t>
    </r>
    <rPh sb="0" eb="3">
      <t>オオサカシ</t>
    </rPh>
    <rPh sb="3" eb="5">
      <t>イキナイ</t>
    </rPh>
    <phoneticPr fontId="4"/>
  </si>
  <si>
    <r>
      <rPr>
        <sz val="11"/>
        <rFont val="Arial Unicode MS"/>
        <family val="3"/>
        <charset val="128"/>
      </rPr>
      <t>大阪府全域</t>
    </r>
    <rPh sb="0" eb="3">
      <t>オオサカフ</t>
    </rPh>
    <rPh sb="3" eb="5">
      <t>ゼンイキ</t>
    </rPh>
    <phoneticPr fontId="4"/>
  </si>
  <si>
    <r>
      <rPr>
        <sz val="11"/>
        <rFont val="Arial Unicode MS"/>
        <family val="3"/>
        <charset val="128"/>
      </rPr>
      <t>全　　　国</t>
    </r>
    <rPh sb="0" eb="1">
      <t>ゼン</t>
    </rPh>
    <rPh sb="4" eb="5">
      <t>クニ</t>
    </rPh>
    <phoneticPr fontId="4"/>
  </si>
  <si>
    <r>
      <rPr>
        <sz val="9"/>
        <rFont val="Arial Unicode MS"/>
        <family val="3"/>
        <charset val="128"/>
      </rPr>
      <t>件数</t>
    </r>
    <rPh sb="0" eb="2">
      <t>ケンスウ</t>
    </rPh>
    <phoneticPr fontId="4"/>
  </si>
  <si>
    <r>
      <rPr>
        <sz val="9"/>
        <rFont val="Arial Unicode MS"/>
        <family val="3"/>
        <charset val="128"/>
      </rPr>
      <t>死者数</t>
    </r>
    <rPh sb="0" eb="2">
      <t>シシャ</t>
    </rPh>
    <rPh sb="2" eb="3">
      <t>スウ</t>
    </rPh>
    <phoneticPr fontId="4"/>
  </si>
  <si>
    <r>
      <rPr>
        <sz val="9"/>
        <rFont val="Arial Unicode MS"/>
        <family val="3"/>
        <charset val="128"/>
      </rPr>
      <t>負傷者数</t>
    </r>
    <rPh sb="1" eb="2">
      <t>キズ</t>
    </rPh>
    <rPh sb="2" eb="3">
      <t>シャ</t>
    </rPh>
    <rPh sb="3" eb="4">
      <t>スウ</t>
    </rPh>
    <phoneticPr fontId="4"/>
  </si>
  <si>
    <r>
      <rPr>
        <sz val="11"/>
        <rFont val="Arial Unicode MS"/>
        <family val="3"/>
        <charset val="128"/>
      </rPr>
      <t>年別</t>
    </r>
    <rPh sb="0" eb="2">
      <t>ネンベツ</t>
    </rPh>
    <phoneticPr fontId="4"/>
  </si>
  <si>
    <r>
      <rPr>
        <sz val="8"/>
        <rFont val="Arial Unicode MS"/>
        <family val="3"/>
        <charset val="128"/>
      </rPr>
      <t>内重傷者数</t>
    </r>
    <rPh sb="0" eb="1">
      <t>ウチ</t>
    </rPh>
    <rPh sb="1" eb="4">
      <t>ジュウショウシャ</t>
    </rPh>
    <rPh sb="4" eb="5">
      <t>スウ</t>
    </rPh>
    <phoneticPr fontId="4"/>
  </si>
  <si>
    <t>S45</t>
    <phoneticPr fontId="4"/>
  </si>
  <si>
    <r>
      <rPr>
        <sz val="11"/>
        <rFont val="Arial Unicode MS"/>
        <family val="3"/>
        <charset val="128"/>
      </rPr>
      <t>１次</t>
    </r>
    <rPh sb="1" eb="2">
      <t>ジ</t>
    </rPh>
    <phoneticPr fontId="4"/>
  </si>
  <si>
    <t>S46</t>
    <phoneticPr fontId="4"/>
  </si>
  <si>
    <t>S47</t>
    <phoneticPr fontId="4"/>
  </si>
  <si>
    <t>S48</t>
    <phoneticPr fontId="4"/>
  </si>
  <si>
    <t>S49</t>
    <phoneticPr fontId="4"/>
  </si>
  <si>
    <t>S50</t>
    <phoneticPr fontId="4"/>
  </si>
  <si>
    <r>
      <rPr>
        <sz val="11"/>
        <rFont val="Arial Unicode MS"/>
        <family val="3"/>
        <charset val="128"/>
      </rPr>
      <t>２次</t>
    </r>
    <rPh sb="1" eb="2">
      <t>ジ</t>
    </rPh>
    <phoneticPr fontId="4"/>
  </si>
  <si>
    <t>S51</t>
    <phoneticPr fontId="4"/>
  </si>
  <si>
    <t>ー</t>
    <phoneticPr fontId="4"/>
  </si>
  <si>
    <t>S52</t>
    <phoneticPr fontId="4"/>
  </si>
  <si>
    <t>S53</t>
    <phoneticPr fontId="4"/>
  </si>
  <si>
    <t>S54</t>
    <phoneticPr fontId="4"/>
  </si>
  <si>
    <t>S55</t>
    <phoneticPr fontId="4"/>
  </si>
  <si>
    <r>
      <rPr>
        <sz val="11"/>
        <rFont val="Arial Unicode MS"/>
        <family val="3"/>
        <charset val="128"/>
      </rPr>
      <t>３次</t>
    </r>
    <rPh sb="1" eb="2">
      <t>ジ</t>
    </rPh>
    <phoneticPr fontId="4"/>
  </si>
  <si>
    <t>S56</t>
    <phoneticPr fontId="4"/>
  </si>
  <si>
    <t>S57</t>
    <phoneticPr fontId="4"/>
  </si>
  <si>
    <t>S58</t>
    <phoneticPr fontId="4"/>
  </si>
  <si>
    <t>S59</t>
    <phoneticPr fontId="4"/>
  </si>
  <si>
    <t>S60</t>
    <phoneticPr fontId="4"/>
  </si>
  <si>
    <r>
      <rPr>
        <sz val="11"/>
        <rFont val="Arial Unicode MS"/>
        <family val="3"/>
        <charset val="128"/>
      </rPr>
      <t>４次</t>
    </r>
    <rPh sb="1" eb="2">
      <t>ジ</t>
    </rPh>
    <phoneticPr fontId="4"/>
  </si>
  <si>
    <t>S61</t>
    <phoneticPr fontId="4"/>
  </si>
  <si>
    <t>S62</t>
    <phoneticPr fontId="4"/>
  </si>
  <si>
    <t>S63</t>
    <phoneticPr fontId="4"/>
  </si>
  <si>
    <r>
      <t>H</t>
    </r>
    <r>
      <rPr>
        <sz val="11"/>
        <rFont val="Arial Unicode MS"/>
        <family val="3"/>
        <charset val="128"/>
      </rPr>
      <t>元</t>
    </r>
    <rPh sb="1" eb="2">
      <t>ガン</t>
    </rPh>
    <phoneticPr fontId="4"/>
  </si>
  <si>
    <t>H2</t>
    <phoneticPr fontId="4"/>
  </si>
  <si>
    <r>
      <rPr>
        <sz val="11"/>
        <rFont val="Arial Unicode MS"/>
        <family val="3"/>
        <charset val="128"/>
      </rPr>
      <t>５次</t>
    </r>
    <rPh sb="1" eb="2">
      <t>ジ</t>
    </rPh>
    <phoneticPr fontId="4"/>
  </si>
  <si>
    <t>H3</t>
    <phoneticPr fontId="4"/>
  </si>
  <si>
    <t>H4</t>
    <phoneticPr fontId="4"/>
  </si>
  <si>
    <t>H5</t>
    <phoneticPr fontId="4"/>
  </si>
  <si>
    <t>H6</t>
    <phoneticPr fontId="4"/>
  </si>
  <si>
    <t>H7</t>
    <phoneticPr fontId="4"/>
  </si>
  <si>
    <r>
      <rPr>
        <sz val="11"/>
        <rFont val="Arial Unicode MS"/>
        <family val="3"/>
        <charset val="128"/>
      </rPr>
      <t>６次</t>
    </r>
    <rPh sb="1" eb="2">
      <t>ジ</t>
    </rPh>
    <phoneticPr fontId="4"/>
  </si>
  <si>
    <t>H8</t>
    <phoneticPr fontId="4"/>
  </si>
  <si>
    <t>H9</t>
    <phoneticPr fontId="4"/>
  </si>
  <si>
    <t>H10</t>
    <phoneticPr fontId="4"/>
  </si>
  <si>
    <t>H11</t>
    <phoneticPr fontId="4"/>
  </si>
  <si>
    <t>H12</t>
    <phoneticPr fontId="4"/>
  </si>
  <si>
    <r>
      <rPr>
        <sz val="11"/>
        <rFont val="Arial Unicode MS"/>
        <family val="3"/>
        <charset val="128"/>
      </rPr>
      <t>７次</t>
    </r>
    <rPh sb="1" eb="2">
      <t>ジ</t>
    </rPh>
    <phoneticPr fontId="4"/>
  </si>
  <si>
    <t>H13</t>
    <phoneticPr fontId="4"/>
  </si>
  <si>
    <t>H14</t>
    <phoneticPr fontId="4"/>
  </si>
  <si>
    <t>H15</t>
    <phoneticPr fontId="4"/>
  </si>
  <si>
    <t>H16</t>
    <phoneticPr fontId="4"/>
  </si>
  <si>
    <t>H17</t>
    <phoneticPr fontId="4"/>
  </si>
  <si>
    <r>
      <rPr>
        <sz val="11"/>
        <rFont val="Arial Unicode MS"/>
        <family val="3"/>
        <charset val="128"/>
      </rPr>
      <t>８次</t>
    </r>
    <rPh sb="1" eb="2">
      <t>ジ</t>
    </rPh>
    <phoneticPr fontId="4"/>
  </si>
  <si>
    <t>H18</t>
    <phoneticPr fontId="4"/>
  </si>
  <si>
    <t>H19</t>
    <phoneticPr fontId="4"/>
  </si>
  <si>
    <t>H20</t>
    <phoneticPr fontId="4"/>
  </si>
  <si>
    <t>H21</t>
    <phoneticPr fontId="4"/>
  </si>
  <si>
    <t>H22</t>
    <phoneticPr fontId="4"/>
  </si>
  <si>
    <r>
      <rPr>
        <sz val="11"/>
        <rFont val="Arial Unicode MS"/>
        <family val="3"/>
        <charset val="128"/>
      </rPr>
      <t>９次</t>
    </r>
    <rPh sb="1" eb="2">
      <t>ツギ</t>
    </rPh>
    <phoneticPr fontId="4"/>
  </si>
  <si>
    <t>H23</t>
    <phoneticPr fontId="4"/>
  </si>
  <si>
    <t>H24</t>
    <phoneticPr fontId="4"/>
  </si>
  <si>
    <t>H25</t>
    <phoneticPr fontId="4"/>
  </si>
  <si>
    <t>H26</t>
    <phoneticPr fontId="4"/>
  </si>
  <si>
    <t>H27</t>
    <phoneticPr fontId="4"/>
  </si>
  <si>
    <r>
      <t>10</t>
    </r>
    <r>
      <rPr>
        <sz val="11"/>
        <rFont val="Arial Unicode MS"/>
        <family val="3"/>
        <charset val="128"/>
      </rPr>
      <t>次</t>
    </r>
    <rPh sb="2" eb="3">
      <t>ジ</t>
    </rPh>
    <phoneticPr fontId="4"/>
  </si>
  <si>
    <t>H28</t>
    <phoneticPr fontId="4"/>
  </si>
  <si>
    <t>H29</t>
    <phoneticPr fontId="4"/>
  </si>
  <si>
    <t>H30</t>
    <phoneticPr fontId="4"/>
  </si>
  <si>
    <r>
      <t>R</t>
    </r>
    <r>
      <rPr>
        <sz val="11"/>
        <rFont val="Arial Unicode MS"/>
        <family val="3"/>
        <charset val="128"/>
      </rPr>
      <t>元</t>
    </r>
    <rPh sb="1" eb="2">
      <t>モト</t>
    </rPh>
    <phoneticPr fontId="4"/>
  </si>
  <si>
    <t>R2</t>
    <phoneticPr fontId="4"/>
  </si>
  <si>
    <t>R3</t>
    <phoneticPr fontId="4"/>
  </si>
  <si>
    <t>R4</t>
    <phoneticPr fontId="4"/>
  </si>
  <si>
    <t>R5</t>
    <phoneticPr fontId="4"/>
  </si>
  <si>
    <r>
      <rPr>
        <sz val="9"/>
        <rFont val="Arial Unicode MS"/>
        <family val="3"/>
        <charset val="128"/>
      </rPr>
      <t>（件数：件／死者数・負傷者数：人）</t>
    </r>
    <phoneticPr fontId="4"/>
  </si>
  <si>
    <r>
      <rPr>
        <sz val="11"/>
        <rFont val="Arial Unicode MS"/>
        <family val="3"/>
        <charset val="128"/>
      </rPr>
      <t>昭和</t>
    </r>
    <r>
      <rPr>
        <sz val="11"/>
        <rFont val="Arial"/>
        <family val="2"/>
      </rPr>
      <t>45</t>
    </r>
    <r>
      <rPr>
        <sz val="11"/>
        <rFont val="Arial Unicode MS"/>
        <family val="3"/>
        <charset val="128"/>
      </rPr>
      <t>年</t>
    </r>
    <rPh sb="0" eb="2">
      <t>ショウワ</t>
    </rPh>
    <rPh sb="4" eb="5">
      <t>ネン</t>
    </rPh>
    <phoneticPr fontId="4"/>
  </si>
  <si>
    <r>
      <rPr>
        <sz val="11"/>
        <rFont val="Arial Unicode MS"/>
        <family val="3"/>
        <charset val="128"/>
      </rPr>
      <t>昭和</t>
    </r>
    <r>
      <rPr>
        <sz val="11"/>
        <rFont val="Arial"/>
        <family val="2"/>
      </rPr>
      <t>45</t>
    </r>
    <r>
      <rPr>
        <sz val="11"/>
        <rFont val="Arial Unicode MS"/>
        <family val="3"/>
        <charset val="128"/>
      </rPr>
      <t>年との対比</t>
    </r>
    <rPh sb="0" eb="2">
      <t>ショウワ</t>
    </rPh>
    <rPh sb="4" eb="5">
      <t>ネン</t>
    </rPh>
    <rPh sb="7" eb="9">
      <t>タイヒ</t>
    </rPh>
    <phoneticPr fontId="4"/>
  </si>
  <si>
    <r>
      <rPr>
        <sz val="11"/>
        <rFont val="Arial Unicode MS"/>
        <family val="3"/>
        <charset val="128"/>
      </rPr>
      <t>（</t>
    </r>
    <r>
      <rPr>
        <sz val="11"/>
        <rFont val="Arial"/>
        <family val="2"/>
      </rPr>
      <t>1970</t>
    </r>
    <r>
      <rPr>
        <sz val="11"/>
        <rFont val="Arial Unicode MS"/>
        <family val="3"/>
        <charset val="128"/>
      </rPr>
      <t>年）</t>
    </r>
    <rPh sb="5" eb="6">
      <t>ネン</t>
    </rPh>
    <phoneticPr fontId="4"/>
  </si>
  <si>
    <r>
      <rPr>
        <sz val="11"/>
        <rFont val="Arial Unicode MS"/>
        <family val="3"/>
        <charset val="128"/>
      </rPr>
      <t>増▲減</t>
    </r>
    <rPh sb="0" eb="1">
      <t>ゾウ</t>
    </rPh>
    <rPh sb="2" eb="3">
      <t>ゲン</t>
    </rPh>
    <phoneticPr fontId="4"/>
  </si>
  <si>
    <r>
      <rPr>
        <sz val="11"/>
        <rFont val="Arial Unicode MS"/>
        <family val="3"/>
        <charset val="128"/>
      </rPr>
      <t>増減率　　％</t>
    </r>
    <rPh sb="0" eb="2">
      <t>ゾウゲン</t>
    </rPh>
    <rPh sb="2" eb="3">
      <t>リツ</t>
    </rPh>
    <phoneticPr fontId="4"/>
  </si>
  <si>
    <r>
      <rPr>
        <sz val="11"/>
        <rFont val="Arial Unicode MS"/>
        <family val="3"/>
        <charset val="128"/>
      </rPr>
      <t>大阪市域内</t>
    </r>
    <rPh sb="0" eb="3">
      <t>オオサカシ</t>
    </rPh>
    <rPh sb="3" eb="4">
      <t>イキ</t>
    </rPh>
    <rPh sb="4" eb="5">
      <t>ナイ</t>
    </rPh>
    <phoneticPr fontId="4"/>
  </si>
  <si>
    <r>
      <rPr>
        <sz val="11"/>
        <rFont val="Arial Unicode MS"/>
        <family val="3"/>
        <charset val="128"/>
      </rPr>
      <t>件数</t>
    </r>
    <rPh sb="0" eb="1">
      <t>ケン</t>
    </rPh>
    <rPh sb="1" eb="2">
      <t>スウ</t>
    </rPh>
    <phoneticPr fontId="4"/>
  </si>
  <si>
    <r>
      <rPr>
        <sz val="11"/>
        <rFont val="Arial Unicode MS"/>
        <family val="3"/>
        <charset val="128"/>
      </rPr>
      <t>死者数</t>
    </r>
    <rPh sb="0" eb="1">
      <t>シ</t>
    </rPh>
    <rPh sb="1" eb="2">
      <t>モノ</t>
    </rPh>
    <rPh sb="2" eb="3">
      <t>スウ</t>
    </rPh>
    <phoneticPr fontId="4"/>
  </si>
  <si>
    <r>
      <rPr>
        <sz val="11"/>
        <rFont val="Arial Unicode MS"/>
        <family val="3"/>
        <charset val="128"/>
      </rPr>
      <t>負傷者数</t>
    </r>
    <rPh sb="0" eb="1">
      <t>フ</t>
    </rPh>
    <rPh sb="1" eb="2">
      <t>キズ</t>
    </rPh>
    <rPh sb="2" eb="3">
      <t>モノ</t>
    </rPh>
    <rPh sb="3" eb="4">
      <t>スウ</t>
    </rPh>
    <phoneticPr fontId="4"/>
  </si>
  <si>
    <r>
      <rPr>
        <sz val="11"/>
        <rFont val="Arial Unicode MS"/>
        <family val="3"/>
        <charset val="128"/>
      </rPr>
      <t>内
重傷者数</t>
    </r>
    <rPh sb="0" eb="1">
      <t>ウチ</t>
    </rPh>
    <rPh sb="2" eb="4">
      <t>ジュウショウ</t>
    </rPh>
    <rPh sb="4" eb="5">
      <t>モノ</t>
    </rPh>
    <rPh sb="5" eb="6">
      <t>スウ</t>
    </rPh>
    <phoneticPr fontId="4"/>
  </si>
  <si>
    <r>
      <rPr>
        <sz val="11"/>
        <rFont val="Arial Unicode MS"/>
        <family val="3"/>
        <charset val="128"/>
      </rPr>
      <t>死者数</t>
    </r>
  </si>
  <si>
    <r>
      <rPr>
        <sz val="11"/>
        <rFont val="Arial Unicode MS"/>
        <family val="3"/>
        <charset val="128"/>
      </rPr>
      <t>負傷者数</t>
    </r>
  </si>
  <si>
    <r>
      <rPr>
        <sz val="12"/>
        <rFont val="Arial Unicode MS"/>
        <family val="3"/>
        <charset val="128"/>
      </rPr>
      <t>（２）交通情勢の推移</t>
    </r>
    <rPh sb="3" eb="5">
      <t>コウツウ</t>
    </rPh>
    <rPh sb="5" eb="7">
      <t>ジョウセイ</t>
    </rPh>
    <rPh sb="8" eb="10">
      <t>スイイ</t>
    </rPh>
    <phoneticPr fontId="4"/>
  </si>
  <si>
    <t>人口と交通事故死傷者の推移</t>
    <rPh sb="0" eb="2">
      <t>ジンコウ</t>
    </rPh>
    <rPh sb="3" eb="5">
      <t>コウツウ</t>
    </rPh>
    <rPh sb="5" eb="7">
      <t>ジコ</t>
    </rPh>
    <rPh sb="7" eb="10">
      <t>シショウシャ</t>
    </rPh>
    <rPh sb="11" eb="13">
      <t>スイイ</t>
    </rPh>
    <phoneticPr fontId="4"/>
  </si>
  <si>
    <r>
      <rPr>
        <sz val="11"/>
        <rFont val="Arial Unicode MS"/>
        <family val="3"/>
        <charset val="128"/>
      </rPr>
      <t>人　　口</t>
    </r>
    <rPh sb="0" eb="1">
      <t>ヒト</t>
    </rPh>
    <rPh sb="3" eb="4">
      <t>クチ</t>
    </rPh>
    <phoneticPr fontId="4"/>
  </si>
  <si>
    <r>
      <rPr>
        <sz val="11"/>
        <rFont val="Arial Unicode MS"/>
        <family val="3"/>
        <charset val="128"/>
      </rPr>
      <t>１０万人当り</t>
    </r>
    <rPh sb="2" eb="4">
      <t>マンニン</t>
    </rPh>
    <rPh sb="4" eb="5">
      <t>アタ</t>
    </rPh>
    <phoneticPr fontId="4"/>
  </si>
  <si>
    <r>
      <rPr>
        <sz val="9"/>
        <rFont val="Arial Unicode MS"/>
        <family val="3"/>
        <charset val="128"/>
      </rPr>
      <t>指数</t>
    </r>
    <rPh sb="0" eb="2">
      <t>シスウ</t>
    </rPh>
    <phoneticPr fontId="4"/>
  </si>
  <si>
    <r>
      <rPr>
        <sz val="9"/>
        <rFont val="Arial Unicode MS"/>
        <family val="3"/>
        <charset val="128"/>
      </rPr>
      <t>負傷者数</t>
    </r>
    <rPh sb="0" eb="1">
      <t>フ</t>
    </rPh>
    <rPh sb="1" eb="2">
      <t>キズ</t>
    </rPh>
    <rPh sb="2" eb="3">
      <t>モノ</t>
    </rPh>
    <rPh sb="3" eb="4">
      <t>スウ</t>
    </rPh>
    <phoneticPr fontId="4"/>
  </si>
  <si>
    <r>
      <t>(</t>
    </r>
    <r>
      <rPr>
        <sz val="9"/>
        <rFont val="Arial Unicode MS"/>
        <family val="3"/>
        <charset val="128"/>
      </rPr>
      <t>人</t>
    </r>
    <r>
      <rPr>
        <sz val="9"/>
        <rFont val="Arial"/>
        <family val="2"/>
      </rPr>
      <t>)</t>
    </r>
    <rPh sb="1" eb="2">
      <t>ニン</t>
    </rPh>
    <phoneticPr fontId="4"/>
  </si>
  <si>
    <r>
      <rPr>
        <sz val="9"/>
        <rFont val="Arial Unicode MS"/>
        <family val="3"/>
        <charset val="128"/>
      </rPr>
      <t>内重傷者数</t>
    </r>
    <rPh sb="0" eb="1">
      <t>ウチ</t>
    </rPh>
    <rPh sb="1" eb="4">
      <t>ジュウショウシャ</t>
    </rPh>
    <rPh sb="4" eb="5">
      <t>スウ</t>
    </rPh>
    <phoneticPr fontId="4"/>
  </si>
  <si>
    <r>
      <t>H</t>
    </r>
    <r>
      <rPr>
        <sz val="11"/>
        <rFont val="Arial Unicode MS"/>
        <family val="3"/>
        <charset val="128"/>
      </rPr>
      <t>元</t>
    </r>
    <rPh sb="1" eb="2">
      <t>モト</t>
    </rPh>
    <phoneticPr fontId="4"/>
  </si>
  <si>
    <t>R5</t>
  </si>
  <si>
    <r>
      <rPr>
        <sz val="11"/>
        <rFont val="Arial Unicode MS"/>
        <family val="3"/>
        <charset val="128"/>
      </rPr>
      <t>各年１０月１日現在</t>
    </r>
    <phoneticPr fontId="4"/>
  </si>
  <si>
    <r>
      <rPr>
        <sz val="12"/>
        <rFont val="Arial Unicode MS"/>
        <family val="3"/>
        <charset val="128"/>
      </rPr>
      <t>（１）月別</t>
    </r>
    <rPh sb="3" eb="4">
      <t>ツキ</t>
    </rPh>
    <rPh sb="4" eb="5">
      <t>ベツ</t>
    </rPh>
    <phoneticPr fontId="4"/>
  </si>
  <si>
    <r>
      <rPr>
        <sz val="11"/>
        <rFont val="Arial Unicode MS"/>
        <family val="3"/>
        <charset val="128"/>
      </rPr>
      <t>月別交通事故発生状況</t>
    </r>
    <rPh sb="0" eb="1">
      <t>ツキ</t>
    </rPh>
    <rPh sb="1" eb="2">
      <t>ベツ</t>
    </rPh>
    <rPh sb="2" eb="4">
      <t>コウツウ</t>
    </rPh>
    <rPh sb="4" eb="6">
      <t>ジコ</t>
    </rPh>
    <rPh sb="6" eb="8">
      <t>ハッセイ</t>
    </rPh>
    <rPh sb="8" eb="10">
      <t>ジョウキョウ</t>
    </rPh>
    <phoneticPr fontId="4"/>
  </si>
  <si>
    <r>
      <rPr>
        <sz val="9"/>
        <rFont val="Arial Unicode MS"/>
        <family val="3"/>
        <charset val="128"/>
      </rPr>
      <t>（件数：件／死者数・負傷者数・重傷者数：人）</t>
    </r>
    <rPh sb="15" eb="19">
      <t>ジュウショウシャスウ</t>
    </rPh>
    <phoneticPr fontId="4"/>
  </si>
  <si>
    <r>
      <rPr>
        <sz val="9"/>
        <rFont val="Arial Unicode MS"/>
        <family val="3"/>
        <charset val="128"/>
      </rPr>
      <t>月別</t>
    </r>
    <rPh sb="0" eb="2">
      <t>ツキベツ</t>
    </rPh>
    <phoneticPr fontId="4"/>
  </si>
  <si>
    <r>
      <rPr>
        <sz val="11"/>
        <rFont val="Arial Unicode MS"/>
        <family val="3"/>
        <charset val="128"/>
      </rPr>
      <t>総数</t>
    </r>
    <rPh sb="0" eb="2">
      <t>ソウスウ</t>
    </rPh>
    <phoneticPr fontId="4"/>
  </si>
  <si>
    <r>
      <rPr>
        <sz val="9"/>
        <rFont val="Arial Unicode MS"/>
        <family val="3"/>
        <charset val="128"/>
      </rPr>
      <t>区分</t>
    </r>
    <rPh sb="0" eb="2">
      <t>クブン</t>
    </rPh>
    <phoneticPr fontId="4"/>
  </si>
  <si>
    <t>大阪市域内</t>
    <rPh sb="0" eb="2">
      <t>オオサカ</t>
    </rPh>
    <rPh sb="2" eb="4">
      <t>シイキ</t>
    </rPh>
    <rPh sb="4" eb="5">
      <t>ナイ</t>
    </rPh>
    <phoneticPr fontId="4"/>
  </si>
  <si>
    <r>
      <rPr>
        <sz val="11"/>
        <rFont val="Arial Unicode MS"/>
        <family val="3"/>
        <charset val="128"/>
      </rPr>
      <t>件数</t>
    </r>
    <rPh sb="0" eb="2">
      <t>ケンスウ</t>
    </rPh>
    <phoneticPr fontId="4"/>
  </si>
  <si>
    <r>
      <rPr>
        <sz val="11"/>
        <rFont val="Arial Unicode MS"/>
        <family val="3"/>
        <charset val="128"/>
      </rPr>
      <t>死者数</t>
    </r>
    <rPh sb="0" eb="2">
      <t>シシャ</t>
    </rPh>
    <rPh sb="2" eb="3">
      <t>スウ</t>
    </rPh>
    <phoneticPr fontId="4"/>
  </si>
  <si>
    <r>
      <rPr>
        <sz val="11"/>
        <rFont val="Arial Unicode MS"/>
        <family val="3"/>
        <charset val="128"/>
      </rPr>
      <t>内高齢者</t>
    </r>
    <rPh sb="0" eb="1">
      <t>ウチ</t>
    </rPh>
    <rPh sb="1" eb="4">
      <t>コウレイシャ</t>
    </rPh>
    <phoneticPr fontId="4"/>
  </si>
  <si>
    <r>
      <rPr>
        <sz val="11"/>
        <rFont val="Arial Unicode MS"/>
        <family val="3"/>
        <charset val="128"/>
      </rPr>
      <t>負傷者数</t>
    </r>
    <rPh sb="0" eb="1">
      <t>フ</t>
    </rPh>
    <rPh sb="1" eb="3">
      <t>ショウシャ</t>
    </rPh>
    <rPh sb="3" eb="4">
      <t>スウ</t>
    </rPh>
    <phoneticPr fontId="4"/>
  </si>
  <si>
    <r>
      <rPr>
        <sz val="11"/>
        <rFont val="Arial Unicode MS"/>
        <family val="3"/>
        <charset val="128"/>
      </rPr>
      <t>内重傷者</t>
    </r>
    <rPh sb="0" eb="1">
      <t>ウチ</t>
    </rPh>
    <rPh sb="1" eb="4">
      <t>ジュウショウシャ</t>
    </rPh>
    <phoneticPr fontId="4"/>
  </si>
  <si>
    <t>大阪市域外</t>
    <rPh sb="0" eb="2">
      <t>オオサカ</t>
    </rPh>
    <rPh sb="2" eb="3">
      <t>シ</t>
    </rPh>
    <rPh sb="3" eb="4">
      <t>イキ</t>
    </rPh>
    <rPh sb="4" eb="5">
      <t>ガイ</t>
    </rPh>
    <phoneticPr fontId="4"/>
  </si>
  <si>
    <t>大阪府全域</t>
    <rPh sb="0" eb="3">
      <t>オオサカフ</t>
    </rPh>
    <rPh sb="3" eb="5">
      <t>ゼンイキ</t>
    </rPh>
    <phoneticPr fontId="4"/>
  </si>
  <si>
    <r>
      <rPr>
        <sz val="12"/>
        <rFont val="ＭＳ ゴシック"/>
        <family val="3"/>
        <charset val="128"/>
      </rPr>
      <t>（２）行政区別</t>
    </r>
    <rPh sb="3" eb="6">
      <t>ギョウセイク</t>
    </rPh>
    <rPh sb="6" eb="7">
      <t>ベツ</t>
    </rPh>
    <phoneticPr fontId="4"/>
  </si>
  <si>
    <r>
      <rPr>
        <sz val="11"/>
        <rFont val="ＭＳ ゴシック"/>
        <family val="3"/>
        <charset val="128"/>
      </rPr>
      <t>行政区別発生状況</t>
    </r>
    <rPh sb="0" eb="2">
      <t>ギョウセイ</t>
    </rPh>
    <rPh sb="2" eb="4">
      <t>クベツ</t>
    </rPh>
    <rPh sb="4" eb="6">
      <t>ハッセイ</t>
    </rPh>
    <rPh sb="6" eb="8">
      <t>ジョウキョウ</t>
    </rPh>
    <phoneticPr fontId="4"/>
  </si>
  <si>
    <r>
      <rPr>
        <sz val="9"/>
        <rFont val="ＭＳ ゴシック"/>
        <family val="3"/>
        <charset val="128"/>
      </rPr>
      <t>（件数：件／死者数・負傷者数：人）</t>
    </r>
    <phoneticPr fontId="4"/>
  </si>
  <si>
    <r>
      <rPr>
        <sz val="11"/>
        <rFont val="ＭＳ ゴシック"/>
        <family val="3"/>
        <charset val="128"/>
      </rPr>
      <t>区別</t>
    </r>
    <rPh sb="0" eb="2">
      <t>クベツ</t>
    </rPh>
    <phoneticPr fontId="4"/>
  </si>
  <si>
    <r>
      <rPr>
        <sz val="11"/>
        <rFont val="ＭＳ ゴシック"/>
        <family val="3"/>
        <charset val="128"/>
      </rPr>
      <t>北</t>
    </r>
    <rPh sb="0" eb="1">
      <t>キタ</t>
    </rPh>
    <phoneticPr fontId="4"/>
  </si>
  <si>
    <r>
      <rPr>
        <sz val="11"/>
        <rFont val="ＭＳ ゴシック"/>
        <family val="3"/>
        <charset val="128"/>
      </rPr>
      <t>都島</t>
    </r>
    <rPh sb="0" eb="2">
      <t>ミヤコジマ</t>
    </rPh>
    <phoneticPr fontId="4"/>
  </si>
  <si>
    <r>
      <rPr>
        <sz val="11"/>
        <rFont val="ＭＳ ゴシック"/>
        <family val="3"/>
        <charset val="128"/>
      </rPr>
      <t>福島</t>
    </r>
    <rPh sb="0" eb="2">
      <t>フクシマ</t>
    </rPh>
    <phoneticPr fontId="4"/>
  </si>
  <si>
    <r>
      <rPr>
        <sz val="11"/>
        <rFont val="ＭＳ ゴシック"/>
        <family val="3"/>
        <charset val="128"/>
      </rPr>
      <t>此花</t>
    </r>
    <rPh sb="0" eb="2">
      <t>コノハナ</t>
    </rPh>
    <phoneticPr fontId="4"/>
  </si>
  <si>
    <r>
      <rPr>
        <sz val="11"/>
        <rFont val="ＭＳ ゴシック"/>
        <family val="3"/>
        <charset val="128"/>
      </rPr>
      <t>中央</t>
    </r>
    <rPh sb="0" eb="2">
      <t>チュウオウ</t>
    </rPh>
    <phoneticPr fontId="4"/>
  </si>
  <si>
    <r>
      <rPr>
        <sz val="11"/>
        <rFont val="ＭＳ ゴシック"/>
        <family val="3"/>
        <charset val="128"/>
      </rPr>
      <t>西</t>
    </r>
    <rPh sb="0" eb="1">
      <t>ニシ</t>
    </rPh>
    <phoneticPr fontId="4"/>
  </si>
  <si>
    <r>
      <rPr>
        <sz val="11"/>
        <rFont val="ＭＳ ゴシック"/>
        <family val="3"/>
        <charset val="128"/>
      </rPr>
      <t>港</t>
    </r>
    <rPh sb="0" eb="1">
      <t>ミナト</t>
    </rPh>
    <phoneticPr fontId="4"/>
  </si>
  <si>
    <r>
      <rPr>
        <sz val="11"/>
        <rFont val="ＭＳ ゴシック"/>
        <family val="3"/>
        <charset val="128"/>
      </rPr>
      <t>大正</t>
    </r>
    <rPh sb="0" eb="2">
      <t>タイショウ</t>
    </rPh>
    <phoneticPr fontId="4"/>
  </si>
  <si>
    <r>
      <rPr>
        <sz val="10"/>
        <rFont val="ＭＳ ゴシック"/>
        <family val="3"/>
        <charset val="128"/>
      </rPr>
      <t>天王寺</t>
    </r>
    <rPh sb="0" eb="3">
      <t>テンノウジ</t>
    </rPh>
    <phoneticPr fontId="4"/>
  </si>
  <si>
    <r>
      <rPr>
        <sz val="11"/>
        <rFont val="ＭＳ ゴシック"/>
        <family val="3"/>
        <charset val="128"/>
      </rPr>
      <t>浪速</t>
    </r>
    <rPh sb="0" eb="2">
      <t>ナニワ</t>
    </rPh>
    <phoneticPr fontId="4"/>
  </si>
  <si>
    <r>
      <rPr>
        <sz val="10"/>
        <rFont val="ＭＳ ゴシック"/>
        <family val="3"/>
        <charset val="128"/>
      </rPr>
      <t>西淀川</t>
    </r>
    <rPh sb="0" eb="3">
      <t>ニシヨドガワ</t>
    </rPh>
    <phoneticPr fontId="4"/>
  </si>
  <si>
    <r>
      <rPr>
        <sz val="11"/>
        <rFont val="ＭＳ ゴシック"/>
        <family val="3"/>
        <charset val="128"/>
      </rPr>
      <t>淀川</t>
    </r>
    <rPh sb="0" eb="2">
      <t>ヨドガワ</t>
    </rPh>
    <phoneticPr fontId="4"/>
  </si>
  <si>
    <r>
      <rPr>
        <sz val="10"/>
        <rFont val="ＭＳ ゴシック"/>
        <family val="3"/>
        <charset val="128"/>
      </rPr>
      <t>東淀川</t>
    </r>
    <rPh sb="0" eb="1">
      <t>ヒガシ</t>
    </rPh>
    <rPh sb="1" eb="3">
      <t>ヨドガワ</t>
    </rPh>
    <phoneticPr fontId="4"/>
  </si>
  <si>
    <r>
      <rPr>
        <sz val="11"/>
        <rFont val="ＭＳ ゴシック"/>
        <family val="3"/>
        <charset val="128"/>
      </rPr>
      <t>区分</t>
    </r>
    <rPh sb="0" eb="2">
      <t>クブン</t>
    </rPh>
    <phoneticPr fontId="4"/>
  </si>
  <si>
    <r>
      <rPr>
        <sz val="11"/>
        <rFont val="ＭＳ ゴシック"/>
        <family val="3"/>
        <charset val="128"/>
      </rPr>
      <t>件数</t>
    </r>
    <rPh sb="0" eb="2">
      <t>ケンスウ</t>
    </rPh>
    <phoneticPr fontId="4"/>
  </si>
  <si>
    <r>
      <rPr>
        <sz val="11"/>
        <rFont val="ＭＳ ゴシック"/>
        <family val="3"/>
        <charset val="128"/>
      </rPr>
      <t>死者数</t>
    </r>
    <rPh sb="0" eb="3">
      <t>シシャスウ</t>
    </rPh>
    <phoneticPr fontId="4"/>
  </si>
  <si>
    <r>
      <rPr>
        <sz val="11"/>
        <rFont val="ＭＳ ゴシック"/>
        <family val="3"/>
        <charset val="128"/>
      </rPr>
      <t>負傷者数</t>
    </r>
    <rPh sb="0" eb="1">
      <t>フ</t>
    </rPh>
    <rPh sb="1" eb="3">
      <t>ショウシャ</t>
    </rPh>
    <rPh sb="3" eb="4">
      <t>スウ</t>
    </rPh>
    <phoneticPr fontId="4"/>
  </si>
  <si>
    <r>
      <rPr>
        <sz val="11"/>
        <rFont val="ＭＳ ゴシック"/>
        <family val="3"/>
        <charset val="128"/>
      </rPr>
      <t>人口</t>
    </r>
    <rPh sb="0" eb="2">
      <t>ジンコウ</t>
    </rPh>
    <phoneticPr fontId="4"/>
  </si>
  <si>
    <r>
      <rPr>
        <sz val="11"/>
        <rFont val="ＭＳ ゴシック"/>
        <family val="3"/>
        <charset val="128"/>
      </rPr>
      <t>東成</t>
    </r>
    <rPh sb="0" eb="2">
      <t>ヒガシナリ</t>
    </rPh>
    <phoneticPr fontId="4"/>
  </si>
  <si>
    <r>
      <rPr>
        <sz val="11"/>
        <rFont val="ＭＳ ゴシック"/>
        <family val="3"/>
        <charset val="128"/>
      </rPr>
      <t>生野</t>
    </r>
    <rPh sb="0" eb="2">
      <t>イクノ</t>
    </rPh>
    <phoneticPr fontId="4"/>
  </si>
  <si>
    <r>
      <rPr>
        <sz val="11"/>
        <rFont val="ＭＳ ゴシック"/>
        <family val="3"/>
        <charset val="128"/>
      </rPr>
      <t>旭</t>
    </r>
    <rPh sb="0" eb="1">
      <t>アサヒ</t>
    </rPh>
    <phoneticPr fontId="4"/>
  </si>
  <si>
    <r>
      <rPr>
        <sz val="11"/>
        <rFont val="ＭＳ ゴシック"/>
        <family val="3"/>
        <charset val="128"/>
      </rPr>
      <t>城東</t>
    </r>
    <rPh sb="0" eb="2">
      <t>ジョウトウ</t>
    </rPh>
    <phoneticPr fontId="4"/>
  </si>
  <si>
    <r>
      <rPr>
        <sz val="11"/>
        <rFont val="ＭＳ ゴシック"/>
        <family val="3"/>
        <charset val="128"/>
      </rPr>
      <t>鶴見</t>
    </r>
    <rPh sb="0" eb="2">
      <t>ツルミ</t>
    </rPh>
    <phoneticPr fontId="4"/>
  </si>
  <si>
    <r>
      <rPr>
        <sz val="10"/>
        <rFont val="ＭＳ ゴシック"/>
        <family val="3"/>
        <charset val="128"/>
      </rPr>
      <t>阿倍野</t>
    </r>
    <rPh sb="0" eb="3">
      <t>アベノ</t>
    </rPh>
    <phoneticPr fontId="4"/>
  </si>
  <si>
    <r>
      <rPr>
        <sz val="10"/>
        <rFont val="ＭＳ ゴシック"/>
        <family val="3"/>
        <charset val="128"/>
      </rPr>
      <t>住之江</t>
    </r>
    <rPh sb="0" eb="3">
      <t>スミノエ</t>
    </rPh>
    <phoneticPr fontId="4"/>
  </si>
  <si>
    <r>
      <rPr>
        <sz val="11"/>
        <rFont val="ＭＳ ゴシック"/>
        <family val="3"/>
        <charset val="128"/>
      </rPr>
      <t>住吉</t>
    </r>
    <rPh sb="0" eb="2">
      <t>スミヨシ</t>
    </rPh>
    <phoneticPr fontId="4"/>
  </si>
  <si>
    <r>
      <rPr>
        <sz val="10"/>
        <rFont val="ＭＳ ゴシック"/>
        <family val="3"/>
        <charset val="128"/>
      </rPr>
      <t>東住吉</t>
    </r>
    <rPh sb="0" eb="3">
      <t>ヒガシスミヨシ</t>
    </rPh>
    <phoneticPr fontId="4"/>
  </si>
  <si>
    <r>
      <rPr>
        <sz val="11"/>
        <rFont val="ＭＳ ゴシック"/>
        <family val="3"/>
        <charset val="128"/>
      </rPr>
      <t>平野</t>
    </r>
    <rPh sb="0" eb="2">
      <t>ヒラノ</t>
    </rPh>
    <phoneticPr fontId="4"/>
  </si>
  <si>
    <r>
      <rPr>
        <sz val="11"/>
        <rFont val="ＭＳ ゴシック"/>
        <family val="3"/>
        <charset val="128"/>
      </rPr>
      <t>西成</t>
    </r>
    <rPh sb="0" eb="2">
      <t>ニシナリ</t>
    </rPh>
    <phoneticPr fontId="4"/>
  </si>
  <si>
    <r>
      <rPr>
        <sz val="11"/>
        <rFont val="ＭＳ ゴシック"/>
        <family val="3"/>
        <charset val="128"/>
      </rPr>
      <t>総数</t>
    </r>
    <rPh sb="0" eb="2">
      <t>ソウスウ</t>
    </rPh>
    <phoneticPr fontId="4"/>
  </si>
  <si>
    <r>
      <rPr>
        <sz val="11"/>
        <rFont val="ＭＳ Ｐゴシック"/>
        <family val="3"/>
        <charset val="128"/>
      </rPr>
      <t>合計</t>
    </r>
    <rPh sb="0" eb="2">
      <t>ゴウケイ</t>
    </rPh>
    <phoneticPr fontId="4"/>
  </si>
  <si>
    <r>
      <rPr>
        <sz val="12"/>
        <rFont val="ＭＳ ゴシック"/>
        <family val="3"/>
        <charset val="128"/>
      </rPr>
      <t>（３）道路種別</t>
    </r>
    <rPh sb="3" eb="5">
      <t>ドウロ</t>
    </rPh>
    <rPh sb="5" eb="6">
      <t>シュ</t>
    </rPh>
    <rPh sb="6" eb="7">
      <t>ベツ</t>
    </rPh>
    <phoneticPr fontId="4"/>
  </si>
  <si>
    <r>
      <rPr>
        <sz val="11"/>
        <rFont val="ＭＳ ゴシック"/>
        <family val="3"/>
        <charset val="128"/>
      </rPr>
      <t>　</t>
    </r>
    <phoneticPr fontId="4"/>
  </si>
  <si>
    <r>
      <rPr>
        <sz val="11"/>
        <rFont val="ＭＳ ゴシック"/>
        <family val="3"/>
        <charset val="128"/>
      </rPr>
      <t>種別</t>
    </r>
    <rPh sb="0" eb="2">
      <t>シュベツ</t>
    </rPh>
    <phoneticPr fontId="4"/>
  </si>
  <si>
    <r>
      <rPr>
        <sz val="11"/>
        <rFont val="ＭＳ ゴシック"/>
        <family val="3"/>
        <charset val="128"/>
      </rPr>
      <t>件数（件）</t>
    </r>
    <rPh sb="0" eb="2">
      <t>ケンスウ</t>
    </rPh>
    <rPh sb="3" eb="4">
      <t>ケン</t>
    </rPh>
    <phoneticPr fontId="4"/>
  </si>
  <si>
    <r>
      <rPr>
        <sz val="11"/>
        <rFont val="ＭＳ ゴシック"/>
        <family val="3"/>
        <charset val="128"/>
      </rPr>
      <t>死者数（人）</t>
    </r>
    <rPh sb="0" eb="3">
      <t>シシャスウ</t>
    </rPh>
    <rPh sb="4" eb="5">
      <t>ヒト</t>
    </rPh>
    <phoneticPr fontId="4"/>
  </si>
  <si>
    <r>
      <rPr>
        <sz val="11"/>
        <rFont val="ＭＳ ゴシック"/>
        <family val="3"/>
        <charset val="128"/>
      </rPr>
      <t>負傷者数（人）</t>
    </r>
    <rPh sb="0" eb="1">
      <t>フ</t>
    </rPh>
    <rPh sb="1" eb="2">
      <t>キズ</t>
    </rPh>
    <rPh sb="2" eb="3">
      <t>モノ</t>
    </rPh>
    <rPh sb="3" eb="4">
      <t>スウ</t>
    </rPh>
    <rPh sb="5" eb="6">
      <t>ヒト</t>
    </rPh>
    <phoneticPr fontId="4"/>
  </si>
  <si>
    <r>
      <rPr>
        <sz val="11"/>
        <rFont val="ＭＳ ゴシック"/>
        <family val="3"/>
        <charset val="128"/>
      </rPr>
      <t>内重傷者数（人）</t>
    </r>
    <rPh sb="0" eb="1">
      <t>ウチ</t>
    </rPh>
    <rPh sb="1" eb="4">
      <t>ジュウショウシャ</t>
    </rPh>
    <rPh sb="3" eb="4">
      <t>モノ</t>
    </rPh>
    <rPh sb="4" eb="5">
      <t>スウ</t>
    </rPh>
    <rPh sb="6" eb="7">
      <t>ヒト</t>
    </rPh>
    <phoneticPr fontId="4"/>
  </si>
  <si>
    <r>
      <rPr>
        <sz val="11"/>
        <rFont val="ＭＳ ゴシック"/>
        <family val="3"/>
        <charset val="128"/>
      </rPr>
      <t>一般国道</t>
    </r>
    <rPh sb="0" eb="2">
      <t>イッパン</t>
    </rPh>
    <rPh sb="2" eb="4">
      <t>コクドウ</t>
    </rPh>
    <phoneticPr fontId="4"/>
  </si>
  <si>
    <r>
      <rPr>
        <sz val="11"/>
        <rFont val="ＭＳ ゴシック"/>
        <family val="3"/>
        <charset val="128"/>
      </rPr>
      <t>主要地方道</t>
    </r>
    <rPh sb="0" eb="2">
      <t>シュヨウ</t>
    </rPh>
    <rPh sb="2" eb="4">
      <t>チホウ</t>
    </rPh>
    <rPh sb="4" eb="5">
      <t>ドウ</t>
    </rPh>
    <phoneticPr fontId="4"/>
  </si>
  <si>
    <r>
      <rPr>
        <sz val="11"/>
        <rFont val="ＭＳ ゴシック"/>
        <family val="3"/>
        <charset val="128"/>
      </rPr>
      <t>一般府道</t>
    </r>
    <rPh sb="0" eb="2">
      <t>イッパン</t>
    </rPh>
    <rPh sb="2" eb="3">
      <t>フ</t>
    </rPh>
    <rPh sb="3" eb="4">
      <t>ドウ</t>
    </rPh>
    <phoneticPr fontId="4"/>
  </si>
  <si>
    <r>
      <rPr>
        <sz val="11"/>
        <rFont val="ＭＳ ゴシック"/>
        <family val="3"/>
        <charset val="128"/>
      </rPr>
      <t>大阪市道</t>
    </r>
    <rPh sb="0" eb="3">
      <t>オオサカシ</t>
    </rPh>
    <rPh sb="3" eb="4">
      <t>ドウ</t>
    </rPh>
    <phoneticPr fontId="4"/>
  </si>
  <si>
    <r>
      <rPr>
        <sz val="11"/>
        <rFont val="ＭＳ ゴシック"/>
        <family val="3"/>
        <charset val="128"/>
      </rPr>
      <t>その他</t>
    </r>
    <rPh sb="2" eb="3">
      <t>タ</t>
    </rPh>
    <phoneticPr fontId="4"/>
  </si>
  <si>
    <t>.</t>
    <phoneticPr fontId="4"/>
  </si>
  <si>
    <r>
      <rPr>
        <sz val="9"/>
        <rFont val="ＭＳ ゴシック"/>
        <family val="3"/>
        <charset val="128"/>
      </rPr>
      <t>（件数：件／死者数・負傷者数・内重傷者数：人）</t>
    </r>
    <rPh sb="15" eb="16">
      <t>ウチ</t>
    </rPh>
    <rPh sb="16" eb="20">
      <t>ジュウショウシャスウ</t>
    </rPh>
    <phoneticPr fontId="4"/>
  </si>
  <si>
    <r>
      <rPr>
        <sz val="9"/>
        <rFont val="ＭＳ Ｐゴシック"/>
        <family val="3"/>
        <charset val="128"/>
      </rPr>
      <t>件数</t>
    </r>
    <rPh sb="0" eb="2">
      <t>ケンスウ</t>
    </rPh>
    <phoneticPr fontId="4"/>
  </si>
  <si>
    <r>
      <rPr>
        <sz val="9"/>
        <rFont val="ＭＳ Ｐゴシック"/>
        <family val="3"/>
        <charset val="128"/>
      </rPr>
      <t>死者数</t>
    </r>
    <rPh sb="0" eb="2">
      <t>シシャ</t>
    </rPh>
    <rPh sb="2" eb="3">
      <t>スウ</t>
    </rPh>
    <phoneticPr fontId="4"/>
  </si>
  <si>
    <r>
      <rPr>
        <sz val="9"/>
        <rFont val="ＭＳ Ｐゴシック"/>
        <family val="3"/>
        <charset val="128"/>
      </rPr>
      <t>負傷者数</t>
    </r>
    <rPh sb="0" eb="1">
      <t>フ</t>
    </rPh>
    <rPh sb="1" eb="2">
      <t>キズ</t>
    </rPh>
    <rPh sb="2" eb="3">
      <t>モノ</t>
    </rPh>
    <rPh sb="3" eb="4">
      <t>スウ</t>
    </rPh>
    <phoneticPr fontId="4"/>
  </si>
  <si>
    <r>
      <rPr>
        <sz val="9"/>
        <rFont val="ＭＳ Ｐゴシック"/>
        <family val="3"/>
        <charset val="128"/>
      </rPr>
      <t>件数</t>
    </r>
  </si>
  <si>
    <r>
      <rPr>
        <sz val="9"/>
        <rFont val="ＭＳ Ｐゴシック"/>
        <family val="3"/>
        <charset val="128"/>
      </rPr>
      <t>死者数</t>
    </r>
  </si>
  <si>
    <r>
      <rPr>
        <sz val="9"/>
        <rFont val="ＭＳ Ｐゴシック"/>
        <family val="3"/>
        <charset val="128"/>
      </rPr>
      <t>負傷者数</t>
    </r>
  </si>
  <si>
    <r>
      <rPr>
        <sz val="8"/>
        <rFont val="ＭＳ Ｐゴシック"/>
        <family val="3"/>
        <charset val="128"/>
      </rPr>
      <t>内
重傷者数</t>
    </r>
    <phoneticPr fontId="4"/>
  </si>
  <si>
    <r>
      <rPr>
        <sz val="10"/>
        <rFont val="ＭＳ Ｐゴシック"/>
        <family val="3"/>
        <charset val="128"/>
      </rPr>
      <t>　　１　号</t>
    </r>
    <rPh sb="4" eb="5">
      <t>ゴウ</t>
    </rPh>
    <phoneticPr fontId="4"/>
  </si>
  <si>
    <r>
      <rPr>
        <sz val="10"/>
        <rFont val="ＭＳ Ｐゴシック"/>
        <family val="3"/>
        <charset val="128"/>
      </rPr>
      <t>恵美須南森町線</t>
    </r>
    <rPh sb="0" eb="3">
      <t>エビス</t>
    </rPh>
    <rPh sb="3" eb="4">
      <t>ミナミ</t>
    </rPh>
    <rPh sb="4" eb="5">
      <t>モリ</t>
    </rPh>
    <rPh sb="5" eb="6">
      <t>マチ</t>
    </rPh>
    <rPh sb="6" eb="7">
      <t>セン</t>
    </rPh>
    <phoneticPr fontId="4"/>
  </si>
  <si>
    <r>
      <rPr>
        <sz val="10"/>
        <rFont val="ＭＳ Ｐゴシック"/>
        <family val="3"/>
        <charset val="128"/>
      </rPr>
      <t>　　２　号</t>
    </r>
    <rPh sb="4" eb="5">
      <t>ゴウ</t>
    </rPh>
    <phoneticPr fontId="4"/>
  </si>
  <si>
    <r>
      <rPr>
        <sz val="10"/>
        <rFont val="ＭＳ Ｐゴシック"/>
        <family val="3"/>
        <charset val="128"/>
      </rPr>
      <t>大阪枚岡奈良線</t>
    </r>
    <rPh sb="0" eb="2">
      <t>オオサカ</t>
    </rPh>
    <rPh sb="2" eb="4">
      <t>ヒラオカ</t>
    </rPh>
    <rPh sb="4" eb="6">
      <t>ナラ</t>
    </rPh>
    <rPh sb="6" eb="7">
      <t>セン</t>
    </rPh>
    <phoneticPr fontId="4"/>
  </si>
  <si>
    <r>
      <rPr>
        <sz val="10"/>
        <rFont val="ＭＳ Ｐゴシック"/>
        <family val="3"/>
        <charset val="128"/>
      </rPr>
      <t>　２５　号</t>
    </r>
    <rPh sb="4" eb="5">
      <t>ゴウ</t>
    </rPh>
    <phoneticPr fontId="4"/>
  </si>
  <si>
    <r>
      <rPr>
        <sz val="10"/>
        <rFont val="ＭＳ Ｐゴシック"/>
        <family val="3"/>
        <charset val="128"/>
      </rPr>
      <t>大阪八尾線</t>
    </r>
    <rPh sb="0" eb="2">
      <t>オオサカ</t>
    </rPh>
    <rPh sb="2" eb="4">
      <t>ヤオ</t>
    </rPh>
    <rPh sb="4" eb="5">
      <t>セン</t>
    </rPh>
    <phoneticPr fontId="4"/>
  </si>
  <si>
    <r>
      <rPr>
        <sz val="10"/>
        <rFont val="ＭＳ Ｐゴシック"/>
        <family val="3"/>
        <charset val="128"/>
      </rPr>
      <t>　２６　号</t>
    </r>
    <rPh sb="4" eb="5">
      <t>ゴウ</t>
    </rPh>
    <phoneticPr fontId="4"/>
  </si>
  <si>
    <r>
      <rPr>
        <sz val="10"/>
        <rFont val="ＭＳ Ｐゴシック"/>
        <family val="3"/>
        <charset val="128"/>
      </rPr>
      <t>石切大阪線</t>
    </r>
    <rPh sb="0" eb="2">
      <t>イシキリ</t>
    </rPh>
    <rPh sb="2" eb="4">
      <t>オオサカ</t>
    </rPh>
    <rPh sb="4" eb="5">
      <t>セン</t>
    </rPh>
    <phoneticPr fontId="4"/>
  </si>
  <si>
    <r>
      <rPr>
        <sz val="10"/>
        <rFont val="ＭＳ Ｐゴシック"/>
        <family val="3"/>
        <charset val="128"/>
      </rPr>
      <t>　４３　号</t>
    </r>
    <rPh sb="4" eb="5">
      <t>ゴウ</t>
    </rPh>
    <phoneticPr fontId="4"/>
  </si>
  <si>
    <r>
      <rPr>
        <sz val="10"/>
        <rFont val="ＭＳ Ｐゴシック"/>
        <family val="3"/>
        <charset val="128"/>
      </rPr>
      <t>住吉八尾線</t>
    </r>
    <rPh sb="0" eb="2">
      <t>スミヨシ</t>
    </rPh>
    <rPh sb="2" eb="4">
      <t>ヤオ</t>
    </rPh>
    <rPh sb="4" eb="5">
      <t>セン</t>
    </rPh>
    <phoneticPr fontId="4"/>
  </si>
  <si>
    <r>
      <rPr>
        <sz val="10"/>
        <rFont val="ＭＳ Ｐゴシック"/>
        <family val="3"/>
        <charset val="128"/>
      </rPr>
      <t>１６３　号</t>
    </r>
    <rPh sb="4" eb="5">
      <t>ゴウ</t>
    </rPh>
    <phoneticPr fontId="4"/>
  </si>
  <si>
    <r>
      <rPr>
        <sz val="10"/>
        <rFont val="ＭＳ Ｐゴシック"/>
        <family val="3"/>
        <charset val="128"/>
      </rPr>
      <t>大阪羽曳野線</t>
    </r>
    <rPh sb="0" eb="2">
      <t>オオサカ</t>
    </rPh>
    <rPh sb="2" eb="5">
      <t>ハビキノ</t>
    </rPh>
    <rPh sb="5" eb="6">
      <t>セン</t>
    </rPh>
    <phoneticPr fontId="4"/>
  </si>
  <si>
    <r>
      <rPr>
        <sz val="10"/>
        <rFont val="ＭＳ Ｐゴシック"/>
        <family val="3"/>
        <charset val="128"/>
      </rPr>
      <t>１７２　号</t>
    </r>
    <rPh sb="4" eb="5">
      <t>ゴウ</t>
    </rPh>
    <phoneticPr fontId="4"/>
  </si>
  <si>
    <r>
      <rPr>
        <sz val="10"/>
        <rFont val="ＭＳ Ｐゴシック"/>
        <family val="3"/>
        <charset val="128"/>
      </rPr>
      <t>熊野大阪線</t>
    </r>
    <rPh sb="0" eb="2">
      <t>クマノ</t>
    </rPh>
    <rPh sb="2" eb="4">
      <t>オオサカ</t>
    </rPh>
    <rPh sb="4" eb="5">
      <t>セン</t>
    </rPh>
    <phoneticPr fontId="4"/>
  </si>
  <si>
    <r>
      <rPr>
        <sz val="10"/>
        <rFont val="ＭＳ Ｐゴシック"/>
        <family val="3"/>
        <charset val="128"/>
      </rPr>
      <t>１７６　号</t>
    </r>
    <rPh sb="4" eb="5">
      <t>ゴウ</t>
    </rPh>
    <phoneticPr fontId="4"/>
  </si>
  <si>
    <r>
      <rPr>
        <sz val="10"/>
        <rFont val="ＭＳ Ｐゴシック"/>
        <family val="3"/>
        <charset val="128"/>
      </rPr>
      <t>平野守口線</t>
    </r>
    <rPh sb="0" eb="2">
      <t>ヒラノ</t>
    </rPh>
    <rPh sb="2" eb="4">
      <t>モリグチ</t>
    </rPh>
    <rPh sb="4" eb="5">
      <t>セン</t>
    </rPh>
    <phoneticPr fontId="4"/>
  </si>
  <si>
    <r>
      <rPr>
        <sz val="10"/>
        <rFont val="ＭＳ Ｐゴシック"/>
        <family val="3"/>
        <charset val="128"/>
      </rPr>
      <t>３０８　号</t>
    </r>
    <rPh sb="4" eb="5">
      <t>ゴウ</t>
    </rPh>
    <phoneticPr fontId="4"/>
  </si>
  <si>
    <r>
      <rPr>
        <sz val="10"/>
        <rFont val="ＭＳ Ｐゴシック"/>
        <family val="3"/>
        <charset val="128"/>
      </rPr>
      <t>その他</t>
    </r>
    <rPh sb="2" eb="3">
      <t>タ</t>
    </rPh>
    <phoneticPr fontId="4"/>
  </si>
  <si>
    <r>
      <rPr>
        <sz val="10"/>
        <rFont val="ＭＳ Ｐゴシック"/>
        <family val="3"/>
        <charset val="128"/>
      </rPr>
      <t>３０９　号</t>
    </r>
    <rPh sb="4" eb="5">
      <t>ゴウ</t>
    </rPh>
    <phoneticPr fontId="4"/>
  </si>
  <si>
    <r>
      <rPr>
        <sz val="10"/>
        <rFont val="ＭＳ Ｐゴシック"/>
        <family val="3"/>
        <charset val="128"/>
      </rPr>
      <t>堂島十三線</t>
    </r>
    <rPh sb="0" eb="2">
      <t>ドウジマ</t>
    </rPh>
    <rPh sb="2" eb="4">
      <t>ジュウソウ</t>
    </rPh>
    <rPh sb="4" eb="5">
      <t>セン</t>
    </rPh>
    <phoneticPr fontId="4"/>
  </si>
  <si>
    <r>
      <rPr>
        <sz val="10"/>
        <rFont val="ＭＳ Ｐゴシック"/>
        <family val="3"/>
        <charset val="128"/>
      </rPr>
      <t>４２３　号</t>
    </r>
    <rPh sb="4" eb="5">
      <t>ゴウ</t>
    </rPh>
    <phoneticPr fontId="4"/>
  </si>
  <si>
    <r>
      <rPr>
        <sz val="10"/>
        <rFont val="ＭＳ Ｐゴシック"/>
        <family val="3"/>
        <charset val="128"/>
      </rPr>
      <t>中之島桜川線</t>
    </r>
    <rPh sb="0" eb="3">
      <t>ナカノシマ</t>
    </rPh>
    <rPh sb="3" eb="5">
      <t>サクラガワ</t>
    </rPh>
    <rPh sb="5" eb="6">
      <t>セン</t>
    </rPh>
    <phoneticPr fontId="4"/>
  </si>
  <si>
    <r>
      <rPr>
        <sz val="10"/>
        <rFont val="ＭＳ Ｐゴシック"/>
        <family val="3"/>
        <charset val="128"/>
      </rPr>
      <t>４７９　号</t>
    </r>
    <rPh sb="4" eb="5">
      <t>ゴウ</t>
    </rPh>
    <phoneticPr fontId="4"/>
  </si>
  <si>
    <r>
      <rPr>
        <sz val="10"/>
        <rFont val="ＭＳ Ｐゴシック"/>
        <family val="3"/>
        <charset val="128"/>
      </rPr>
      <t>天満橋筋線</t>
    </r>
    <rPh sb="0" eb="3">
      <t>テンマバシ</t>
    </rPh>
    <rPh sb="3" eb="4">
      <t>スジ</t>
    </rPh>
    <rPh sb="4" eb="5">
      <t>セン</t>
    </rPh>
    <phoneticPr fontId="4"/>
  </si>
  <si>
    <r>
      <rPr>
        <sz val="10"/>
        <rFont val="ＭＳ Ｐゴシック"/>
        <family val="3"/>
        <charset val="128"/>
      </rPr>
      <t>大阪中央環状線</t>
    </r>
    <rPh sb="0" eb="2">
      <t>オオサカ</t>
    </rPh>
    <rPh sb="2" eb="4">
      <t>チュウオウ</t>
    </rPh>
    <rPh sb="4" eb="7">
      <t>カンジョウセン</t>
    </rPh>
    <phoneticPr fontId="4"/>
  </si>
  <si>
    <r>
      <rPr>
        <sz val="10"/>
        <rFont val="ＭＳ Ｐゴシック"/>
        <family val="3"/>
        <charset val="128"/>
      </rPr>
      <t>都島阿倍野線</t>
    </r>
    <rPh sb="0" eb="2">
      <t>ミヤコジマ</t>
    </rPh>
    <rPh sb="2" eb="5">
      <t>アベノ</t>
    </rPh>
    <rPh sb="5" eb="6">
      <t>セン</t>
    </rPh>
    <phoneticPr fontId="4"/>
  </si>
  <si>
    <r>
      <rPr>
        <sz val="10"/>
        <rFont val="ＭＳ Ｐゴシック"/>
        <family val="3"/>
        <charset val="128"/>
      </rPr>
      <t>大阪和泉泉南線</t>
    </r>
    <rPh sb="0" eb="2">
      <t>オオサカ</t>
    </rPh>
    <rPh sb="2" eb="4">
      <t>イズミ</t>
    </rPh>
    <rPh sb="4" eb="6">
      <t>センナン</t>
    </rPh>
    <rPh sb="6" eb="7">
      <t>セン</t>
    </rPh>
    <phoneticPr fontId="4"/>
  </si>
  <si>
    <r>
      <rPr>
        <sz val="10"/>
        <rFont val="ＭＳ Ｐゴシック"/>
        <family val="3"/>
        <charset val="128"/>
      </rPr>
      <t>尼崎平野線</t>
    </r>
    <rPh sb="0" eb="2">
      <t>アマガサキ</t>
    </rPh>
    <rPh sb="2" eb="4">
      <t>ヒラノ</t>
    </rPh>
    <rPh sb="4" eb="5">
      <t>セン</t>
    </rPh>
    <phoneticPr fontId="4"/>
  </si>
  <si>
    <r>
      <rPr>
        <sz val="10"/>
        <rFont val="ＭＳ Ｐゴシック"/>
        <family val="3"/>
        <charset val="128"/>
      </rPr>
      <t>大阪高槻京都線</t>
    </r>
    <rPh sb="0" eb="2">
      <t>オオサカ</t>
    </rPh>
    <rPh sb="2" eb="4">
      <t>タカツキ</t>
    </rPh>
    <rPh sb="4" eb="6">
      <t>キョウト</t>
    </rPh>
    <rPh sb="6" eb="7">
      <t>セン</t>
    </rPh>
    <phoneticPr fontId="4"/>
  </si>
  <si>
    <r>
      <rPr>
        <sz val="10"/>
        <rFont val="ＭＳ Ｐゴシック"/>
        <family val="3"/>
        <charset val="128"/>
      </rPr>
      <t>津守阿倍野杭全線</t>
    </r>
    <rPh sb="0" eb="2">
      <t>ツモリ</t>
    </rPh>
    <rPh sb="2" eb="5">
      <t>アベノ</t>
    </rPh>
    <rPh sb="5" eb="7">
      <t>クマタ</t>
    </rPh>
    <rPh sb="7" eb="8">
      <t>セン</t>
    </rPh>
    <phoneticPr fontId="4"/>
  </si>
  <si>
    <r>
      <rPr>
        <sz val="10"/>
        <rFont val="ＭＳ Ｐゴシック"/>
        <family val="3"/>
        <charset val="128"/>
      </rPr>
      <t>大阪生駒線</t>
    </r>
    <rPh sb="0" eb="2">
      <t>オオサカ</t>
    </rPh>
    <rPh sb="2" eb="4">
      <t>イコマ</t>
    </rPh>
    <rPh sb="4" eb="5">
      <t>セン</t>
    </rPh>
    <phoneticPr fontId="4"/>
  </si>
  <si>
    <r>
      <rPr>
        <sz val="10"/>
        <rFont val="ＭＳ Ｐゴシック"/>
        <family val="3"/>
        <charset val="128"/>
      </rPr>
      <t>扇町線</t>
    </r>
    <rPh sb="0" eb="2">
      <t>オウギマチ</t>
    </rPh>
    <rPh sb="2" eb="3">
      <t>セン</t>
    </rPh>
    <phoneticPr fontId="4"/>
  </si>
  <si>
    <r>
      <rPr>
        <sz val="10"/>
        <rFont val="ＭＳ Ｐゴシック"/>
        <family val="3"/>
        <charset val="128"/>
      </rPr>
      <t>大阪池田線</t>
    </r>
    <rPh sb="0" eb="2">
      <t>オオサカ</t>
    </rPh>
    <rPh sb="2" eb="4">
      <t>イケダ</t>
    </rPh>
    <rPh sb="4" eb="5">
      <t>セン</t>
    </rPh>
    <phoneticPr fontId="4"/>
  </si>
  <si>
    <r>
      <rPr>
        <sz val="10"/>
        <rFont val="ＭＳ Ｐゴシック"/>
        <family val="3"/>
        <charset val="128"/>
      </rPr>
      <t>本町左専道線</t>
    </r>
    <rPh sb="0" eb="2">
      <t>ホンマチ</t>
    </rPh>
    <rPh sb="2" eb="3">
      <t>ヒダリ</t>
    </rPh>
    <rPh sb="3" eb="4">
      <t>セン</t>
    </rPh>
    <rPh sb="4" eb="5">
      <t>ミチ</t>
    </rPh>
    <rPh sb="5" eb="6">
      <t>セン</t>
    </rPh>
    <phoneticPr fontId="4"/>
  </si>
  <si>
    <r>
      <rPr>
        <sz val="10"/>
        <rFont val="ＭＳ Ｐゴシック"/>
        <family val="3"/>
        <charset val="128"/>
      </rPr>
      <t>大阪高石線</t>
    </r>
    <rPh sb="0" eb="2">
      <t>オオサカ</t>
    </rPh>
    <rPh sb="2" eb="4">
      <t>タカイシ</t>
    </rPh>
    <rPh sb="4" eb="5">
      <t>セン</t>
    </rPh>
    <phoneticPr fontId="4"/>
  </si>
  <si>
    <r>
      <rPr>
        <sz val="10"/>
        <rFont val="ＭＳ Ｐゴシック"/>
        <family val="3"/>
        <charset val="128"/>
      </rPr>
      <t>江戸堀北通線</t>
    </r>
    <rPh sb="0" eb="3">
      <t>エドボリ</t>
    </rPh>
    <rPh sb="3" eb="4">
      <t>キタ</t>
    </rPh>
    <rPh sb="4" eb="5">
      <t>トオ</t>
    </rPh>
    <rPh sb="5" eb="6">
      <t>セン</t>
    </rPh>
    <phoneticPr fontId="4"/>
  </si>
  <si>
    <r>
      <rPr>
        <sz val="10"/>
        <rFont val="ＭＳ Ｐゴシック"/>
        <family val="3"/>
        <charset val="128"/>
      </rPr>
      <t>大阪臨海線</t>
    </r>
    <rPh sb="0" eb="2">
      <t>オオサカ</t>
    </rPh>
    <rPh sb="2" eb="4">
      <t>リンカイ</t>
    </rPh>
    <rPh sb="4" eb="5">
      <t>セン</t>
    </rPh>
    <phoneticPr fontId="4"/>
  </si>
  <si>
    <r>
      <rPr>
        <sz val="10"/>
        <rFont val="ＭＳ Ｐゴシック"/>
        <family val="3"/>
        <charset val="128"/>
      </rPr>
      <t>西野田中津線</t>
    </r>
    <rPh sb="0" eb="1">
      <t>ニシ</t>
    </rPh>
    <rPh sb="1" eb="3">
      <t>ノダ</t>
    </rPh>
    <rPh sb="3" eb="5">
      <t>ナカツ</t>
    </rPh>
    <rPh sb="5" eb="6">
      <t>セン</t>
    </rPh>
    <phoneticPr fontId="4"/>
  </si>
  <si>
    <r>
      <rPr>
        <sz val="10"/>
        <rFont val="ＭＳ Ｐゴシック"/>
        <family val="3"/>
        <charset val="128"/>
      </rPr>
      <t>大阪伊丹線</t>
    </r>
    <rPh sb="0" eb="2">
      <t>オオサカ</t>
    </rPh>
    <rPh sb="2" eb="5">
      <t>イタミセン</t>
    </rPh>
    <phoneticPr fontId="4"/>
  </si>
  <si>
    <r>
      <rPr>
        <sz val="10"/>
        <rFont val="ＭＳ Ｐゴシック"/>
        <family val="3"/>
        <charset val="128"/>
      </rPr>
      <t>豊崎鷺洲線</t>
    </r>
    <rPh sb="0" eb="2">
      <t>トヨサキ</t>
    </rPh>
    <rPh sb="2" eb="4">
      <t>サギス</t>
    </rPh>
    <rPh sb="4" eb="5">
      <t>セン</t>
    </rPh>
    <phoneticPr fontId="4"/>
  </si>
  <si>
    <r>
      <rPr>
        <sz val="10"/>
        <rFont val="ＭＳ Ｐゴシック"/>
        <family val="3"/>
        <charset val="128"/>
      </rPr>
      <t>大阪高槻線</t>
    </r>
    <rPh sb="0" eb="2">
      <t>オオサカ</t>
    </rPh>
    <rPh sb="2" eb="4">
      <t>タカツキ</t>
    </rPh>
    <rPh sb="4" eb="5">
      <t>セン</t>
    </rPh>
    <phoneticPr fontId="4"/>
  </si>
  <si>
    <r>
      <rPr>
        <sz val="10"/>
        <rFont val="ＭＳ Ｐゴシック"/>
        <family val="3"/>
        <charset val="128"/>
      </rPr>
      <t>難波足代線</t>
    </r>
    <rPh sb="0" eb="2">
      <t>ナンバ</t>
    </rPh>
    <rPh sb="2" eb="4">
      <t>アジロ</t>
    </rPh>
    <rPh sb="4" eb="5">
      <t>セン</t>
    </rPh>
    <phoneticPr fontId="4"/>
  </si>
  <si>
    <r>
      <rPr>
        <sz val="10"/>
        <rFont val="ＭＳ Ｐゴシック"/>
        <family val="3"/>
        <charset val="128"/>
      </rPr>
      <t>旧大阪中央環状線</t>
    </r>
    <rPh sb="0" eb="1">
      <t>キュウ</t>
    </rPh>
    <rPh sb="1" eb="3">
      <t>オオサカ</t>
    </rPh>
    <rPh sb="3" eb="5">
      <t>チュウオウ</t>
    </rPh>
    <rPh sb="5" eb="8">
      <t>カンジョウセン</t>
    </rPh>
    <phoneticPr fontId="4"/>
  </si>
  <si>
    <r>
      <rPr>
        <sz val="10"/>
        <rFont val="ＭＳ Ｐゴシック"/>
        <family val="3"/>
        <charset val="128"/>
      </rPr>
      <t>安治川南岸線</t>
    </r>
    <rPh sb="0" eb="2">
      <t>アジ</t>
    </rPh>
    <rPh sb="2" eb="3">
      <t>カワ</t>
    </rPh>
    <rPh sb="3" eb="5">
      <t>ナンガン</t>
    </rPh>
    <rPh sb="5" eb="6">
      <t>セン</t>
    </rPh>
    <phoneticPr fontId="4"/>
  </si>
  <si>
    <r>
      <rPr>
        <sz val="10"/>
        <rFont val="ＭＳ Ｐゴシック"/>
        <family val="3"/>
        <charset val="128"/>
      </rPr>
      <t>大阪東大阪線</t>
    </r>
    <rPh sb="0" eb="2">
      <t>オオサカ</t>
    </rPh>
    <rPh sb="2" eb="3">
      <t>ヒガシ</t>
    </rPh>
    <rPh sb="3" eb="5">
      <t>オオサカ</t>
    </rPh>
    <rPh sb="5" eb="6">
      <t>セン</t>
    </rPh>
    <phoneticPr fontId="4"/>
  </si>
  <si>
    <r>
      <rPr>
        <sz val="10"/>
        <rFont val="ＭＳ Ｐゴシック"/>
        <family val="3"/>
        <charset val="128"/>
      </rPr>
      <t>大和川北岸線</t>
    </r>
    <rPh sb="0" eb="3">
      <t>ヤマトガワ</t>
    </rPh>
    <rPh sb="3" eb="5">
      <t>ホクガン</t>
    </rPh>
    <rPh sb="5" eb="6">
      <t>セン</t>
    </rPh>
    <phoneticPr fontId="4"/>
  </si>
  <si>
    <r>
      <rPr>
        <sz val="10"/>
        <rFont val="ＭＳ Ｐゴシック"/>
        <family val="3"/>
        <charset val="128"/>
      </rPr>
      <t>大阪狭山線</t>
    </r>
    <rPh sb="0" eb="2">
      <t>オオサカ</t>
    </rPh>
    <rPh sb="2" eb="4">
      <t>サヤマ</t>
    </rPh>
    <rPh sb="4" eb="5">
      <t>セン</t>
    </rPh>
    <phoneticPr fontId="4"/>
  </si>
  <si>
    <r>
      <rPr>
        <sz val="10"/>
        <rFont val="ＭＳ Ｐゴシック"/>
        <family val="3"/>
        <charset val="128"/>
      </rPr>
      <t>十三吹田線</t>
    </r>
    <rPh sb="0" eb="2">
      <t>ジュウソウ</t>
    </rPh>
    <rPh sb="2" eb="4">
      <t>スイタ</t>
    </rPh>
    <rPh sb="4" eb="5">
      <t>セン</t>
    </rPh>
    <phoneticPr fontId="4"/>
  </si>
  <si>
    <r>
      <rPr>
        <sz val="10"/>
        <rFont val="ＭＳ Ｐゴシック"/>
        <family val="3"/>
        <charset val="128"/>
      </rPr>
      <t>歌島豊里線</t>
    </r>
    <rPh sb="0" eb="2">
      <t>ウタジマ</t>
    </rPh>
    <rPh sb="2" eb="3">
      <t>トヨ</t>
    </rPh>
    <rPh sb="3" eb="4">
      <t>サト</t>
    </rPh>
    <rPh sb="4" eb="5">
      <t>セン</t>
    </rPh>
    <phoneticPr fontId="4"/>
  </si>
  <si>
    <r>
      <rPr>
        <sz val="10"/>
        <rFont val="ＭＳ Ｐゴシック"/>
        <family val="3"/>
        <charset val="128"/>
      </rPr>
      <t>大阪港八尾線</t>
    </r>
    <rPh sb="0" eb="3">
      <t>オオサカコウ</t>
    </rPh>
    <rPh sb="3" eb="5">
      <t>ヤオ</t>
    </rPh>
    <rPh sb="5" eb="6">
      <t>セン</t>
    </rPh>
    <phoneticPr fontId="4"/>
  </si>
  <si>
    <r>
      <rPr>
        <sz val="10"/>
        <rFont val="ＭＳ Ｐゴシック"/>
        <family val="3"/>
        <charset val="128"/>
      </rPr>
      <t>淀川北岸線</t>
    </r>
    <rPh sb="0" eb="2">
      <t>ヨドガワ</t>
    </rPh>
    <rPh sb="2" eb="4">
      <t>ホクガン</t>
    </rPh>
    <rPh sb="4" eb="5">
      <t>セン</t>
    </rPh>
    <phoneticPr fontId="4"/>
  </si>
  <si>
    <r>
      <rPr>
        <sz val="10"/>
        <rFont val="ＭＳ Ｐゴシック"/>
        <family val="3"/>
        <charset val="128"/>
      </rPr>
      <t>大阪環状線</t>
    </r>
    <rPh sb="0" eb="2">
      <t>オオサカ</t>
    </rPh>
    <rPh sb="2" eb="5">
      <t>カンジョウセン</t>
    </rPh>
    <phoneticPr fontId="4"/>
  </si>
  <si>
    <r>
      <rPr>
        <sz val="10"/>
        <rFont val="ＭＳ Ｐゴシック"/>
        <family val="3"/>
        <charset val="128"/>
      </rPr>
      <t>片町野江森小路線</t>
    </r>
    <rPh sb="0" eb="2">
      <t>カタマチ</t>
    </rPh>
    <rPh sb="2" eb="4">
      <t>ノエ</t>
    </rPh>
    <rPh sb="4" eb="5">
      <t>モリ</t>
    </rPh>
    <rPh sb="5" eb="7">
      <t>ショウジ</t>
    </rPh>
    <rPh sb="7" eb="8">
      <t>セン</t>
    </rPh>
    <phoneticPr fontId="4"/>
  </si>
  <si>
    <r>
      <rPr>
        <sz val="10"/>
        <rFont val="ＭＳ Ｐゴシック"/>
        <family val="3"/>
        <charset val="128"/>
      </rPr>
      <t>福島桜島線</t>
    </r>
    <rPh sb="0" eb="2">
      <t>フクシマ</t>
    </rPh>
    <rPh sb="2" eb="4">
      <t>サクラジマ</t>
    </rPh>
    <rPh sb="4" eb="5">
      <t>セン</t>
    </rPh>
    <phoneticPr fontId="4"/>
  </si>
  <si>
    <r>
      <rPr>
        <sz val="10"/>
        <rFont val="ＭＳ Ｐゴシック"/>
        <family val="3"/>
        <charset val="128"/>
      </rPr>
      <t>巽生野加美線</t>
    </r>
    <rPh sb="0" eb="1">
      <t>タツミ</t>
    </rPh>
    <rPh sb="1" eb="3">
      <t>イクノ</t>
    </rPh>
    <rPh sb="3" eb="5">
      <t>カミ</t>
    </rPh>
    <rPh sb="5" eb="6">
      <t>セン</t>
    </rPh>
    <phoneticPr fontId="4"/>
  </si>
  <si>
    <r>
      <rPr>
        <sz val="10"/>
        <rFont val="ＭＳ Ｐゴシック"/>
        <family val="3"/>
        <charset val="128"/>
      </rPr>
      <t>難波境川線</t>
    </r>
    <rPh sb="0" eb="2">
      <t>ナンバ</t>
    </rPh>
    <rPh sb="2" eb="4">
      <t>サカイガワ</t>
    </rPh>
    <rPh sb="4" eb="5">
      <t>セン</t>
    </rPh>
    <phoneticPr fontId="4"/>
  </si>
  <si>
    <r>
      <rPr>
        <sz val="10"/>
        <rFont val="ＭＳ Ｐゴシック"/>
        <family val="3"/>
        <charset val="128"/>
      </rPr>
      <t>桜川恵美須線</t>
    </r>
    <rPh sb="0" eb="2">
      <t>サクラガワ</t>
    </rPh>
    <rPh sb="2" eb="5">
      <t>エビス</t>
    </rPh>
    <rPh sb="5" eb="6">
      <t>セン</t>
    </rPh>
    <phoneticPr fontId="4"/>
  </si>
  <si>
    <r>
      <rPr>
        <sz val="10"/>
        <rFont val="ＭＳ Ｐゴシック"/>
        <family val="3"/>
        <charset val="128"/>
      </rPr>
      <t>天神橋天王寺線</t>
    </r>
    <rPh sb="0" eb="3">
      <t>テンジンバシ</t>
    </rPh>
    <rPh sb="3" eb="6">
      <t>テンノウジ</t>
    </rPh>
    <rPh sb="6" eb="7">
      <t>セン</t>
    </rPh>
    <phoneticPr fontId="4"/>
  </si>
  <si>
    <r>
      <rPr>
        <sz val="10"/>
        <rFont val="ＭＳ Ｐゴシック"/>
        <family val="3"/>
        <charset val="128"/>
      </rPr>
      <t>中野住道矢田線</t>
    </r>
    <rPh sb="0" eb="2">
      <t>ナカノ</t>
    </rPh>
    <rPh sb="2" eb="4">
      <t>スミノドウ</t>
    </rPh>
    <rPh sb="4" eb="6">
      <t>ヤタ</t>
    </rPh>
    <rPh sb="6" eb="7">
      <t>セン</t>
    </rPh>
    <phoneticPr fontId="4"/>
  </si>
  <si>
    <r>
      <rPr>
        <sz val="10"/>
        <rFont val="ＭＳ Ｐゴシック"/>
        <family val="3"/>
        <charset val="128"/>
      </rPr>
      <t>福町浜町線</t>
    </r>
    <rPh sb="0" eb="2">
      <t>フクマチ</t>
    </rPh>
    <rPh sb="2" eb="3">
      <t>ハマ</t>
    </rPh>
    <rPh sb="3" eb="4">
      <t>チョウ</t>
    </rPh>
    <rPh sb="4" eb="5">
      <t>セン</t>
    </rPh>
    <phoneticPr fontId="4"/>
  </si>
  <si>
    <r>
      <rPr>
        <sz val="10"/>
        <rFont val="ＭＳ Ｐゴシック"/>
        <family val="3"/>
        <charset val="128"/>
      </rPr>
      <t>都島茨田線</t>
    </r>
    <rPh sb="0" eb="2">
      <t>ミヤコジマ</t>
    </rPh>
    <rPh sb="2" eb="3">
      <t>イバラ</t>
    </rPh>
    <rPh sb="3" eb="4">
      <t>タ</t>
    </rPh>
    <rPh sb="4" eb="5">
      <t>セン</t>
    </rPh>
    <phoneticPr fontId="4"/>
  </si>
  <si>
    <r>
      <rPr>
        <sz val="10"/>
        <rFont val="ＭＳ Ｐゴシック"/>
        <family val="3"/>
        <charset val="128"/>
      </rPr>
      <t>築港深江線</t>
    </r>
    <rPh sb="0" eb="2">
      <t>チッコウ</t>
    </rPh>
    <rPh sb="2" eb="4">
      <t>フカエ</t>
    </rPh>
    <rPh sb="4" eb="5">
      <t>セン</t>
    </rPh>
    <phoneticPr fontId="4"/>
  </si>
  <si>
    <r>
      <rPr>
        <sz val="10"/>
        <rFont val="ＭＳ Ｐゴシック"/>
        <family val="3"/>
        <charset val="128"/>
      </rPr>
      <t>新庄長柄線</t>
    </r>
    <rPh sb="0" eb="2">
      <t>シンジョウ</t>
    </rPh>
    <rPh sb="2" eb="4">
      <t>ナガラ</t>
    </rPh>
    <rPh sb="4" eb="5">
      <t>セン</t>
    </rPh>
    <phoneticPr fontId="4"/>
  </si>
  <si>
    <r>
      <rPr>
        <sz val="10"/>
        <rFont val="ＭＳ Ｐゴシック"/>
        <family val="3"/>
        <charset val="128"/>
      </rPr>
      <t>南北線</t>
    </r>
    <rPh sb="0" eb="3">
      <t>ナンボクセン</t>
    </rPh>
    <phoneticPr fontId="4"/>
  </si>
  <si>
    <r>
      <rPr>
        <sz val="10"/>
        <rFont val="ＭＳ Ｐゴシック"/>
        <family val="3"/>
        <charset val="128"/>
      </rPr>
      <t>片町徳庵線</t>
    </r>
    <rPh sb="0" eb="2">
      <t>カタマチ</t>
    </rPh>
    <rPh sb="2" eb="4">
      <t>トクアン</t>
    </rPh>
    <rPh sb="4" eb="5">
      <t>セン</t>
    </rPh>
    <phoneticPr fontId="4"/>
  </si>
  <si>
    <r>
      <rPr>
        <sz val="10"/>
        <rFont val="ＭＳ Ｐゴシック"/>
        <family val="3"/>
        <charset val="128"/>
      </rPr>
      <t>中津太子橋線</t>
    </r>
    <rPh sb="0" eb="2">
      <t>ナカツ</t>
    </rPh>
    <rPh sb="2" eb="4">
      <t>タイシ</t>
    </rPh>
    <rPh sb="4" eb="5">
      <t>バシ</t>
    </rPh>
    <rPh sb="5" eb="6">
      <t>セン</t>
    </rPh>
    <phoneticPr fontId="4"/>
  </si>
  <si>
    <r>
      <rPr>
        <sz val="10"/>
        <rFont val="ＭＳ Ｐゴシック"/>
        <family val="3"/>
        <charset val="128"/>
      </rPr>
      <t>松島安治川線</t>
    </r>
    <rPh sb="0" eb="2">
      <t>マツシマ</t>
    </rPh>
    <rPh sb="2" eb="4">
      <t>アジ</t>
    </rPh>
    <rPh sb="4" eb="5">
      <t>ガワ</t>
    </rPh>
    <rPh sb="5" eb="6">
      <t>セン</t>
    </rPh>
    <phoneticPr fontId="4"/>
  </si>
  <si>
    <r>
      <rPr>
        <sz val="10"/>
        <rFont val="ＭＳ Ｐゴシック"/>
        <family val="3"/>
        <charset val="128"/>
      </rPr>
      <t>九条梅田線</t>
    </r>
    <rPh sb="0" eb="2">
      <t>クジョウ</t>
    </rPh>
    <rPh sb="2" eb="3">
      <t>ウメ</t>
    </rPh>
    <rPh sb="3" eb="4">
      <t>タ</t>
    </rPh>
    <rPh sb="4" eb="5">
      <t>セン</t>
    </rPh>
    <phoneticPr fontId="4"/>
  </si>
  <si>
    <r>
      <rPr>
        <sz val="8"/>
        <rFont val="ＭＳ Ｐゴシック"/>
        <family val="3"/>
        <charset val="128"/>
      </rPr>
      <t>天王寺方面東西</t>
    </r>
    <r>
      <rPr>
        <sz val="8"/>
        <rFont val="Arial"/>
        <family val="2"/>
      </rPr>
      <t>33</t>
    </r>
    <r>
      <rPr>
        <sz val="8"/>
        <rFont val="ＭＳ Ｐゴシック"/>
        <family val="3"/>
        <charset val="128"/>
      </rPr>
      <t>号線</t>
    </r>
    <rPh sb="0" eb="3">
      <t>テンノウジ</t>
    </rPh>
    <rPh sb="3" eb="5">
      <t>ホウメン</t>
    </rPh>
    <rPh sb="5" eb="7">
      <t>トウザイ</t>
    </rPh>
    <rPh sb="9" eb="10">
      <t>ゴウ</t>
    </rPh>
    <rPh sb="10" eb="11">
      <t>セン</t>
    </rPh>
    <phoneticPr fontId="4"/>
  </si>
  <si>
    <r>
      <rPr>
        <sz val="10"/>
        <rFont val="ＭＳ Ｐゴシック"/>
        <family val="3"/>
        <charset val="128"/>
      </rPr>
      <t>赤川天王寺線</t>
    </r>
    <rPh sb="0" eb="2">
      <t>アカガワ</t>
    </rPh>
    <rPh sb="2" eb="5">
      <t>テンノウジ</t>
    </rPh>
    <rPh sb="5" eb="6">
      <t>セン</t>
    </rPh>
    <phoneticPr fontId="4"/>
  </si>
  <si>
    <r>
      <rPr>
        <sz val="10"/>
        <rFont val="ＭＳ Ｐゴシック"/>
        <family val="3"/>
        <charset val="128"/>
      </rPr>
      <t>木津川平野線</t>
    </r>
    <rPh sb="0" eb="2">
      <t>キヅ</t>
    </rPh>
    <rPh sb="2" eb="3">
      <t>ガワ</t>
    </rPh>
    <rPh sb="3" eb="5">
      <t>ヒラノ</t>
    </rPh>
    <rPh sb="5" eb="6">
      <t>セン</t>
    </rPh>
    <phoneticPr fontId="4"/>
  </si>
  <si>
    <r>
      <rPr>
        <sz val="10"/>
        <rFont val="ＭＳ Ｐゴシック"/>
        <family val="3"/>
        <charset val="128"/>
      </rPr>
      <t>浜口南港線</t>
    </r>
    <rPh sb="0" eb="2">
      <t>ハマグチ</t>
    </rPh>
    <rPh sb="2" eb="4">
      <t>ナンコウ</t>
    </rPh>
    <rPh sb="4" eb="5">
      <t>セン</t>
    </rPh>
    <phoneticPr fontId="4"/>
  </si>
  <si>
    <r>
      <rPr>
        <sz val="10"/>
        <rFont val="ＭＳ Ｐゴシック"/>
        <family val="3"/>
        <charset val="128"/>
      </rPr>
      <t>松島南恩加島町線</t>
    </r>
    <rPh sb="0" eb="2">
      <t>マツシマ</t>
    </rPh>
    <rPh sb="2" eb="3">
      <t>ミナミ</t>
    </rPh>
    <rPh sb="3" eb="4">
      <t>オン</t>
    </rPh>
    <rPh sb="4" eb="7">
      <t>カシマチョウ</t>
    </rPh>
    <rPh sb="7" eb="8">
      <t>セン</t>
    </rPh>
    <phoneticPr fontId="4"/>
  </si>
  <si>
    <r>
      <rPr>
        <sz val="10"/>
        <rFont val="ＭＳ Ｐゴシック"/>
        <family val="3"/>
        <charset val="128"/>
      </rPr>
      <t>浪速鶴町線</t>
    </r>
    <rPh sb="0" eb="2">
      <t>ナニワ</t>
    </rPh>
    <rPh sb="2" eb="3">
      <t>ツル</t>
    </rPh>
    <rPh sb="3" eb="4">
      <t>マチ</t>
    </rPh>
    <rPh sb="4" eb="5">
      <t>セン</t>
    </rPh>
    <phoneticPr fontId="4"/>
  </si>
  <si>
    <r>
      <rPr>
        <sz val="10"/>
        <rFont val="ＭＳ Ｐゴシック"/>
        <family val="3"/>
        <charset val="128"/>
      </rPr>
      <t>船町通線</t>
    </r>
    <rPh sb="0" eb="2">
      <t>フナマチ</t>
    </rPh>
    <rPh sb="2" eb="3">
      <t>トオ</t>
    </rPh>
    <rPh sb="3" eb="4">
      <t>セン</t>
    </rPh>
    <phoneticPr fontId="4"/>
  </si>
  <si>
    <r>
      <rPr>
        <sz val="10"/>
        <rFont val="ＭＳ Ｐゴシック"/>
        <family val="3"/>
        <charset val="128"/>
      </rPr>
      <t>上新庄生野線</t>
    </r>
    <rPh sb="0" eb="1">
      <t>カミ</t>
    </rPh>
    <rPh sb="1" eb="3">
      <t>シンジョウ</t>
    </rPh>
    <rPh sb="3" eb="5">
      <t>イクノ</t>
    </rPh>
    <rPh sb="5" eb="6">
      <t>セン</t>
    </rPh>
    <phoneticPr fontId="4"/>
  </si>
  <si>
    <r>
      <rPr>
        <sz val="10"/>
        <rFont val="ＭＳ Ｐゴシック"/>
        <family val="3"/>
        <charset val="128"/>
      </rPr>
      <t>正蓮寺川北岸線</t>
    </r>
    <rPh sb="0" eb="1">
      <t>セイ</t>
    </rPh>
    <rPh sb="1" eb="2">
      <t>ハス</t>
    </rPh>
    <rPh sb="2" eb="4">
      <t>テラガワ</t>
    </rPh>
    <rPh sb="4" eb="6">
      <t>ホクガン</t>
    </rPh>
    <rPh sb="6" eb="7">
      <t>セン</t>
    </rPh>
    <phoneticPr fontId="4"/>
  </si>
  <si>
    <r>
      <rPr>
        <sz val="10"/>
        <rFont val="ＭＳ Ｐゴシック"/>
        <family val="3"/>
        <charset val="128"/>
      </rPr>
      <t>四天王寺巽線</t>
    </r>
    <rPh sb="0" eb="4">
      <t>シテンノウジ</t>
    </rPh>
    <rPh sb="4" eb="5">
      <t>タツミ</t>
    </rPh>
    <rPh sb="5" eb="6">
      <t>セン</t>
    </rPh>
    <phoneticPr fontId="4"/>
  </si>
  <si>
    <r>
      <rPr>
        <sz val="10"/>
        <rFont val="ＭＳ Ｐゴシック"/>
        <family val="3"/>
        <charset val="128"/>
      </rPr>
      <t>新木津川大橋</t>
    </r>
    <rPh sb="0" eb="1">
      <t>シン</t>
    </rPh>
    <rPh sb="1" eb="4">
      <t>キヅガワ</t>
    </rPh>
    <rPh sb="4" eb="6">
      <t>オオハシ</t>
    </rPh>
    <phoneticPr fontId="4"/>
  </si>
  <si>
    <r>
      <rPr>
        <sz val="11"/>
        <rFont val="ＭＳ Ｐゴシック"/>
        <family val="3"/>
        <charset val="128"/>
      </rPr>
      <t>その他</t>
    </r>
    <rPh sb="2" eb="3">
      <t>タ</t>
    </rPh>
    <phoneticPr fontId="4"/>
  </si>
  <si>
    <t>総数</t>
    <rPh sb="0" eb="2">
      <t>ソウスウ</t>
    </rPh>
    <phoneticPr fontId="4"/>
  </si>
  <si>
    <r>
      <rPr>
        <sz val="18"/>
        <color indexed="8"/>
        <rFont val="ＭＳ Ｐゴシック"/>
        <family val="3"/>
        <charset val="128"/>
      </rPr>
      <t>路線別発生状況概略図（件数）</t>
    </r>
    <rPh sb="0" eb="2">
      <t>ロセン</t>
    </rPh>
    <rPh sb="2" eb="3">
      <t>ベツ</t>
    </rPh>
    <rPh sb="3" eb="5">
      <t>ハッセイ</t>
    </rPh>
    <rPh sb="5" eb="7">
      <t>ジョウキョウ</t>
    </rPh>
    <rPh sb="7" eb="9">
      <t>ガイリャク</t>
    </rPh>
    <rPh sb="9" eb="10">
      <t>ズ</t>
    </rPh>
    <rPh sb="11" eb="13">
      <t>ケンスウ</t>
    </rPh>
    <phoneticPr fontId="4"/>
  </si>
  <si>
    <r>
      <rPr>
        <sz val="11"/>
        <rFont val="ＭＳ Ｐゴシック"/>
        <family val="3"/>
        <charset val="128"/>
      </rPr>
      <t>１号線</t>
    </r>
    <rPh sb="1" eb="3">
      <t>ゴウセン</t>
    </rPh>
    <phoneticPr fontId="4"/>
  </si>
  <si>
    <r>
      <rPr>
        <sz val="11"/>
        <rFont val="ＭＳ Ｐゴシック"/>
        <family val="3"/>
        <charset val="128"/>
      </rPr>
      <t>２号線</t>
    </r>
    <rPh sb="1" eb="3">
      <t>ゴウセン</t>
    </rPh>
    <phoneticPr fontId="4"/>
  </si>
  <si>
    <r>
      <rPr>
        <sz val="11"/>
        <rFont val="ＭＳ Ｐゴシック"/>
        <family val="3"/>
        <charset val="128"/>
      </rPr>
      <t>２５号線</t>
    </r>
    <rPh sb="2" eb="4">
      <t>ゴウセン</t>
    </rPh>
    <phoneticPr fontId="4"/>
  </si>
  <si>
    <r>
      <rPr>
        <sz val="11"/>
        <rFont val="ＭＳ Ｐゴシック"/>
        <family val="3"/>
        <charset val="128"/>
      </rPr>
      <t>２６号線</t>
    </r>
    <rPh sb="2" eb="4">
      <t>ゴウセン</t>
    </rPh>
    <phoneticPr fontId="4"/>
  </si>
  <si>
    <r>
      <rPr>
        <sz val="11"/>
        <rFont val="ＭＳ Ｐゴシック"/>
        <family val="3"/>
        <charset val="128"/>
      </rPr>
      <t>４３号線</t>
    </r>
    <rPh sb="2" eb="4">
      <t>ゴウセン</t>
    </rPh>
    <phoneticPr fontId="4"/>
  </si>
  <si>
    <r>
      <rPr>
        <sz val="11"/>
        <rFont val="ＭＳ Ｐゴシック"/>
        <family val="3"/>
        <charset val="128"/>
      </rPr>
      <t>１７６号線</t>
    </r>
    <rPh sb="3" eb="5">
      <t>ゴウセン</t>
    </rPh>
    <phoneticPr fontId="4"/>
  </si>
  <si>
    <r>
      <rPr>
        <sz val="11"/>
        <rFont val="ＭＳ Ｐゴシック"/>
        <family val="3"/>
        <charset val="128"/>
      </rPr>
      <t>３０８号線</t>
    </r>
    <rPh sb="3" eb="5">
      <t>ゴウセン</t>
    </rPh>
    <phoneticPr fontId="4"/>
  </si>
  <si>
    <r>
      <rPr>
        <sz val="11"/>
        <rFont val="ＭＳ Ｐゴシック"/>
        <family val="3"/>
        <charset val="128"/>
      </rPr>
      <t>４２３号線</t>
    </r>
    <rPh sb="3" eb="5">
      <t>ゴウセン</t>
    </rPh>
    <phoneticPr fontId="4"/>
  </si>
  <si>
    <r>
      <rPr>
        <sz val="11"/>
        <rFont val="ＭＳ Ｐゴシック"/>
        <family val="3"/>
        <charset val="128"/>
      </rPr>
      <t>４７９号線</t>
    </r>
    <rPh sb="3" eb="5">
      <t>ゴウセン</t>
    </rPh>
    <phoneticPr fontId="4"/>
  </si>
  <si>
    <r>
      <rPr>
        <sz val="11"/>
        <rFont val="ＭＳ Ｐゴシック"/>
        <family val="3"/>
        <charset val="128"/>
      </rPr>
      <t>大阪中央環状線</t>
    </r>
    <rPh sb="0" eb="2">
      <t>オオサカ</t>
    </rPh>
    <rPh sb="2" eb="4">
      <t>チュウオウ</t>
    </rPh>
    <rPh sb="4" eb="7">
      <t>カンジョウセン</t>
    </rPh>
    <phoneticPr fontId="4"/>
  </si>
  <si>
    <r>
      <rPr>
        <sz val="11"/>
        <rFont val="ＭＳ Ｐゴシック"/>
        <family val="3"/>
        <charset val="128"/>
      </rPr>
      <t>大阪和泉泉南線</t>
    </r>
    <rPh sb="0" eb="2">
      <t>オオサカ</t>
    </rPh>
    <rPh sb="2" eb="4">
      <t>イズミ</t>
    </rPh>
    <rPh sb="4" eb="6">
      <t>センナン</t>
    </rPh>
    <rPh sb="6" eb="7">
      <t>セン</t>
    </rPh>
    <phoneticPr fontId="4"/>
  </si>
  <si>
    <r>
      <rPr>
        <sz val="11"/>
        <rFont val="ＭＳ Ｐゴシック"/>
        <family val="3"/>
        <charset val="128"/>
      </rPr>
      <t>大阪高石線</t>
    </r>
    <rPh sb="0" eb="2">
      <t>オオサカ</t>
    </rPh>
    <rPh sb="2" eb="4">
      <t>タカイシ</t>
    </rPh>
    <rPh sb="4" eb="5">
      <t>セン</t>
    </rPh>
    <phoneticPr fontId="4"/>
  </si>
  <si>
    <r>
      <rPr>
        <sz val="11"/>
        <rFont val="ＭＳ Ｐゴシック"/>
        <family val="3"/>
        <charset val="128"/>
      </rPr>
      <t>大阪臨海線</t>
    </r>
    <rPh sb="0" eb="2">
      <t>オオサカ</t>
    </rPh>
    <rPh sb="2" eb="4">
      <t>リンカイ</t>
    </rPh>
    <rPh sb="4" eb="5">
      <t>セン</t>
    </rPh>
    <phoneticPr fontId="4"/>
  </si>
  <si>
    <r>
      <rPr>
        <sz val="11"/>
        <rFont val="ＭＳ Ｐゴシック"/>
        <family val="3"/>
        <charset val="128"/>
      </rPr>
      <t>大阪伊丹線</t>
    </r>
    <rPh sb="0" eb="2">
      <t>オオサカ</t>
    </rPh>
    <rPh sb="2" eb="4">
      <t>イタミ</t>
    </rPh>
    <rPh sb="4" eb="5">
      <t>セン</t>
    </rPh>
    <phoneticPr fontId="4"/>
  </si>
  <si>
    <r>
      <rPr>
        <sz val="11"/>
        <rFont val="ＭＳ Ｐゴシック"/>
        <family val="3"/>
        <charset val="128"/>
      </rPr>
      <t>築港深江線</t>
    </r>
    <rPh sb="0" eb="2">
      <t>チッコウ</t>
    </rPh>
    <rPh sb="2" eb="4">
      <t>フカエ</t>
    </rPh>
    <rPh sb="4" eb="5">
      <t>セン</t>
    </rPh>
    <phoneticPr fontId="4"/>
  </si>
  <si>
    <r>
      <rPr>
        <sz val="11"/>
        <rFont val="ＭＳ Ｐゴシック"/>
        <family val="3"/>
        <charset val="128"/>
      </rPr>
      <t>大阪枚岡奈良線</t>
    </r>
    <rPh sb="0" eb="2">
      <t>オオサカ</t>
    </rPh>
    <rPh sb="2" eb="4">
      <t>ヒラオカ</t>
    </rPh>
    <rPh sb="4" eb="6">
      <t>ナラ</t>
    </rPh>
    <rPh sb="6" eb="7">
      <t>セン</t>
    </rPh>
    <phoneticPr fontId="4"/>
  </si>
  <si>
    <r>
      <rPr>
        <sz val="9"/>
        <rFont val="ＭＳ Ｐゴシック"/>
        <family val="3"/>
        <charset val="128"/>
      </rPr>
      <t>（件数：件／死者数・負傷者数・内重傷者数：人）</t>
    </r>
    <rPh sb="15" eb="16">
      <t>ウチ</t>
    </rPh>
    <rPh sb="16" eb="19">
      <t>ジュウショウシャ</t>
    </rPh>
    <rPh sb="19" eb="20">
      <t>スウ</t>
    </rPh>
    <phoneticPr fontId="4"/>
  </si>
  <si>
    <r>
      <rPr>
        <sz val="6"/>
        <rFont val="ＭＳ Ｐゴシック"/>
        <family val="3"/>
        <charset val="128"/>
      </rPr>
      <t>区分</t>
    </r>
    <rPh sb="0" eb="2">
      <t>クブン</t>
    </rPh>
    <phoneticPr fontId="4"/>
  </si>
  <si>
    <r>
      <rPr>
        <sz val="10"/>
        <rFont val="ＭＳ Ｐゴシック"/>
        <family val="3"/>
        <charset val="128"/>
      </rPr>
      <t>幹線道路</t>
    </r>
    <rPh sb="0" eb="2">
      <t>カンセン</t>
    </rPh>
    <rPh sb="2" eb="4">
      <t>ドウロ</t>
    </rPh>
    <phoneticPr fontId="4"/>
  </si>
  <si>
    <r>
      <rPr>
        <sz val="10"/>
        <rFont val="ＭＳ Ｐゴシック"/>
        <family val="3"/>
        <charset val="128"/>
      </rPr>
      <t>総数</t>
    </r>
    <rPh sb="0" eb="2">
      <t>ソウスウ</t>
    </rPh>
    <phoneticPr fontId="4"/>
  </si>
  <si>
    <r>
      <rPr>
        <sz val="9"/>
        <rFont val="ＭＳ Ｐゴシック"/>
        <family val="3"/>
        <charset val="128"/>
      </rPr>
      <t>（件数：件／死者数・負傷者数・内重傷者数：人）</t>
    </r>
    <rPh sb="15" eb="16">
      <t>ウチ</t>
    </rPh>
    <rPh sb="16" eb="20">
      <t>ジュウショウシャスウ</t>
    </rPh>
    <phoneticPr fontId="4"/>
  </si>
  <si>
    <r>
      <rPr>
        <sz val="9"/>
        <rFont val="ＭＳ Ｐゴシック"/>
        <family val="3"/>
        <charset val="128"/>
      </rPr>
      <t>道路別</t>
    </r>
    <rPh sb="0" eb="2">
      <t>ドウロ</t>
    </rPh>
    <rPh sb="2" eb="3">
      <t>ベツ</t>
    </rPh>
    <phoneticPr fontId="4"/>
  </si>
  <si>
    <t>総　　数</t>
    <rPh sb="0" eb="1">
      <t>ソウ</t>
    </rPh>
    <rPh sb="3" eb="4">
      <t>スウ</t>
    </rPh>
    <phoneticPr fontId="4"/>
  </si>
  <si>
    <r>
      <rPr>
        <sz val="12"/>
        <rFont val="ＭＳ Ｐゴシック"/>
        <family val="3"/>
        <charset val="128"/>
      </rPr>
      <t>（４）時間別</t>
    </r>
    <rPh sb="3" eb="5">
      <t>ジカン</t>
    </rPh>
    <rPh sb="5" eb="6">
      <t>ベツ</t>
    </rPh>
    <phoneticPr fontId="4"/>
  </si>
  <si>
    <r>
      <rPr>
        <sz val="9"/>
        <rFont val="ＭＳ Ｐゴシック"/>
        <family val="3"/>
        <charset val="128"/>
      </rPr>
      <t>（件数：件／死者数・負傷者数：人）</t>
    </r>
    <phoneticPr fontId="4"/>
  </si>
  <si>
    <r>
      <rPr>
        <sz val="9"/>
        <rFont val="ＭＳ Ｐゴシック"/>
        <family val="3"/>
        <charset val="128"/>
      </rPr>
      <t>　　区　分</t>
    </r>
    <rPh sb="2" eb="3">
      <t>ク</t>
    </rPh>
    <rPh sb="4" eb="5">
      <t>ブン</t>
    </rPh>
    <phoneticPr fontId="4"/>
  </si>
  <si>
    <r>
      <rPr>
        <sz val="9"/>
        <rFont val="ＭＳ Ｐゴシック"/>
        <family val="3"/>
        <charset val="128"/>
      </rPr>
      <t>昼　　間</t>
    </r>
    <rPh sb="0" eb="1">
      <t>ヒル</t>
    </rPh>
    <rPh sb="3" eb="4">
      <t>アイダ</t>
    </rPh>
    <phoneticPr fontId="4"/>
  </si>
  <si>
    <r>
      <rPr>
        <sz val="9"/>
        <rFont val="ＭＳ Ｐゴシック"/>
        <family val="3"/>
        <charset val="128"/>
      </rPr>
      <t>夜　　間</t>
    </r>
    <rPh sb="0" eb="1">
      <t>ヨル</t>
    </rPh>
    <rPh sb="3" eb="4">
      <t>アイダ</t>
    </rPh>
    <phoneticPr fontId="4"/>
  </si>
  <si>
    <r>
      <rPr>
        <sz val="9"/>
        <rFont val="ＭＳ Ｐゴシック"/>
        <family val="3"/>
        <charset val="128"/>
      </rPr>
      <t>昼間の事故の割合（％）</t>
    </r>
    <rPh sb="0" eb="2">
      <t>ヒルマ</t>
    </rPh>
    <rPh sb="3" eb="5">
      <t>ジコ</t>
    </rPh>
    <rPh sb="6" eb="8">
      <t>ワリアイ</t>
    </rPh>
    <phoneticPr fontId="4"/>
  </si>
  <si>
    <r>
      <rPr>
        <sz val="9"/>
        <rFont val="ＭＳ Ｐゴシック"/>
        <family val="3"/>
        <charset val="128"/>
      </rPr>
      <t>幹線道路</t>
    </r>
    <rPh sb="0" eb="2">
      <t>カンセン</t>
    </rPh>
    <rPh sb="2" eb="4">
      <t>ドウロ</t>
    </rPh>
    <phoneticPr fontId="4"/>
  </si>
  <si>
    <r>
      <rPr>
        <sz val="9"/>
        <rFont val="ＭＳ Ｐゴシック"/>
        <family val="3"/>
        <charset val="128"/>
      </rPr>
      <t>その他</t>
    </r>
    <rPh sb="2" eb="3">
      <t>タ</t>
    </rPh>
    <phoneticPr fontId="4"/>
  </si>
  <si>
    <r>
      <rPr>
        <sz val="9"/>
        <rFont val="ＭＳ Ｐゴシック"/>
        <family val="3"/>
        <charset val="128"/>
      </rPr>
      <t>総数</t>
    </r>
    <rPh sb="0" eb="2">
      <t>ソウスウ</t>
    </rPh>
    <phoneticPr fontId="4"/>
  </si>
  <si>
    <r>
      <rPr>
        <sz val="9"/>
        <rFont val="ＭＳ Ｐゴシック"/>
        <family val="3"/>
        <charset val="128"/>
      </rPr>
      <t>件
数</t>
    </r>
    <rPh sb="0" eb="1">
      <t>ケン</t>
    </rPh>
    <rPh sb="2" eb="3">
      <t>カズ</t>
    </rPh>
    <phoneticPr fontId="4"/>
  </si>
  <si>
    <r>
      <rPr>
        <sz val="9"/>
        <rFont val="ＭＳ Ｐゴシック"/>
        <family val="3"/>
        <charset val="128"/>
      </rPr>
      <t>死
者
数</t>
    </r>
    <rPh sb="0" eb="1">
      <t>シ</t>
    </rPh>
    <rPh sb="2" eb="3">
      <t>シャ</t>
    </rPh>
    <rPh sb="4" eb="5">
      <t>スウ</t>
    </rPh>
    <phoneticPr fontId="4"/>
  </si>
  <si>
    <r>
      <rPr>
        <sz val="9"/>
        <rFont val="ＭＳ Ｐゴシック"/>
        <family val="3"/>
        <charset val="128"/>
      </rPr>
      <t>負
傷
者
数</t>
    </r>
    <rPh sb="0" eb="1">
      <t>フ</t>
    </rPh>
    <rPh sb="2" eb="3">
      <t>キズ</t>
    </rPh>
    <rPh sb="4" eb="5">
      <t>モノ</t>
    </rPh>
    <rPh sb="6" eb="7">
      <t>スウ</t>
    </rPh>
    <phoneticPr fontId="4"/>
  </si>
  <si>
    <r>
      <rPr>
        <sz val="9"/>
        <rFont val="ＭＳ Ｐゴシック"/>
        <family val="3"/>
        <charset val="128"/>
      </rPr>
      <t>内
重傷者数</t>
    </r>
    <phoneticPr fontId="4"/>
  </si>
  <si>
    <r>
      <t xml:space="preserve"> </t>
    </r>
    <r>
      <rPr>
        <sz val="12"/>
        <rFont val="ＭＳ Ｐゴシック"/>
        <family val="3"/>
        <charset val="128"/>
      </rPr>
      <t>時間別（幹線道路・その他）発生状況</t>
    </r>
    <phoneticPr fontId="4"/>
  </si>
  <si>
    <r>
      <rPr>
        <sz val="10"/>
        <rFont val="ＭＳ Ｐゴシック"/>
        <family val="3"/>
        <charset val="128"/>
      </rPr>
      <t>区分</t>
    </r>
    <rPh sb="0" eb="2">
      <t>クブン</t>
    </rPh>
    <phoneticPr fontId="4"/>
  </si>
  <si>
    <t>　件　数</t>
    <rPh sb="1" eb="2">
      <t>ケン</t>
    </rPh>
    <rPh sb="3" eb="4">
      <t>カズ</t>
    </rPh>
    <phoneticPr fontId="4"/>
  </si>
  <si>
    <r>
      <rPr>
        <sz val="10"/>
        <rFont val="ＭＳ Ｐゴシック"/>
        <family val="3"/>
        <charset val="128"/>
      </rPr>
      <t>時間</t>
    </r>
    <rPh sb="0" eb="2">
      <t>ジカン</t>
    </rPh>
    <phoneticPr fontId="4"/>
  </si>
  <si>
    <r>
      <rPr>
        <sz val="12"/>
        <rFont val="ＭＳ Ｐゴシック"/>
        <family val="3"/>
        <charset val="128"/>
      </rPr>
      <t>（５）類型別</t>
    </r>
    <rPh sb="3" eb="5">
      <t>ルイケイ</t>
    </rPh>
    <rPh sb="5" eb="6">
      <t>ベツ</t>
    </rPh>
    <phoneticPr fontId="4"/>
  </si>
  <si>
    <r>
      <rPr>
        <sz val="12"/>
        <rFont val="ＭＳ Ｐゴシック"/>
        <family val="3"/>
        <charset val="128"/>
      </rPr>
      <t>類型別発生状況対前年比</t>
    </r>
    <rPh sb="0" eb="2">
      <t>ルイケイ</t>
    </rPh>
    <rPh sb="2" eb="3">
      <t>ベツ</t>
    </rPh>
    <rPh sb="3" eb="5">
      <t>ハッセイ</t>
    </rPh>
    <rPh sb="5" eb="7">
      <t>ジョウキョウ</t>
    </rPh>
    <rPh sb="7" eb="8">
      <t>タイ</t>
    </rPh>
    <rPh sb="8" eb="11">
      <t>ゼンネンヒ</t>
    </rPh>
    <phoneticPr fontId="4"/>
  </si>
  <si>
    <r>
      <rPr>
        <sz val="12"/>
        <rFont val="ＭＳ Ｐゴシック"/>
        <family val="3"/>
        <charset val="128"/>
      </rPr>
      <t>類型別・状態別発生状況</t>
    </r>
    <rPh sb="0" eb="2">
      <t>ルイケイ</t>
    </rPh>
    <rPh sb="2" eb="3">
      <t>ベツ</t>
    </rPh>
    <rPh sb="4" eb="6">
      <t>ジョウタイ</t>
    </rPh>
    <rPh sb="6" eb="7">
      <t>ベツ</t>
    </rPh>
    <rPh sb="7" eb="9">
      <t>ハッセイ</t>
    </rPh>
    <rPh sb="9" eb="11">
      <t>ジョウキョウ</t>
    </rPh>
    <phoneticPr fontId="4"/>
  </si>
  <si>
    <r>
      <rPr>
        <sz val="9"/>
        <rFont val="ＭＳ Ｐゴシック"/>
        <family val="3"/>
        <charset val="128"/>
      </rPr>
      <t>類型別</t>
    </r>
    <rPh sb="0" eb="2">
      <t>ルイケイ</t>
    </rPh>
    <rPh sb="2" eb="3">
      <t>ベツ</t>
    </rPh>
    <phoneticPr fontId="4"/>
  </si>
  <si>
    <t>人対車両</t>
    <rPh sb="0" eb="1">
      <t>ヒト</t>
    </rPh>
    <rPh sb="1" eb="2">
      <t>タイ</t>
    </rPh>
    <rPh sb="2" eb="4">
      <t>シャリョウ</t>
    </rPh>
    <phoneticPr fontId="4"/>
  </si>
  <si>
    <t>車両相互</t>
    <rPh sb="0" eb="2">
      <t>シャリョウ</t>
    </rPh>
    <rPh sb="2" eb="4">
      <t>ソウゴ</t>
    </rPh>
    <phoneticPr fontId="4"/>
  </si>
  <si>
    <t>車両単体</t>
    <rPh sb="0" eb="2">
      <t>シャリョウ</t>
    </rPh>
    <rPh sb="2" eb="4">
      <t>タンタイ</t>
    </rPh>
    <phoneticPr fontId="4"/>
  </si>
  <si>
    <r>
      <rPr>
        <sz val="12"/>
        <rFont val="ＭＳ Ｐゴシック"/>
        <family val="3"/>
        <charset val="128"/>
      </rPr>
      <t>信号有無別事故類型</t>
    </r>
    <rPh sb="0" eb="2">
      <t>シンゴウ</t>
    </rPh>
    <rPh sb="2" eb="4">
      <t>ウム</t>
    </rPh>
    <rPh sb="4" eb="5">
      <t>ベツ</t>
    </rPh>
    <rPh sb="5" eb="7">
      <t>ジコ</t>
    </rPh>
    <rPh sb="7" eb="9">
      <t>ルイケイ</t>
    </rPh>
    <phoneticPr fontId="4"/>
  </si>
  <si>
    <r>
      <rPr>
        <sz val="12"/>
        <rFont val="ＭＳ Ｐゴシック"/>
        <family val="3"/>
        <charset val="128"/>
      </rPr>
      <t>（６）法令違反別</t>
    </r>
    <rPh sb="3" eb="5">
      <t>ホウレイ</t>
    </rPh>
    <rPh sb="5" eb="7">
      <t>イハン</t>
    </rPh>
    <rPh sb="7" eb="8">
      <t>ベツ</t>
    </rPh>
    <phoneticPr fontId="4"/>
  </si>
  <si>
    <r>
      <rPr>
        <sz val="12"/>
        <rFont val="ＭＳ Ｐゴシック"/>
        <family val="3"/>
        <charset val="128"/>
      </rPr>
      <t>法令違反別発生状況（第１当事者の法令違反）</t>
    </r>
    <rPh sb="0" eb="2">
      <t>ホウレイ</t>
    </rPh>
    <rPh sb="2" eb="4">
      <t>イハン</t>
    </rPh>
    <rPh sb="4" eb="5">
      <t>ベツ</t>
    </rPh>
    <rPh sb="5" eb="7">
      <t>ハッセイ</t>
    </rPh>
    <rPh sb="7" eb="9">
      <t>ジョウキョウ</t>
    </rPh>
    <rPh sb="10" eb="11">
      <t>ダイ</t>
    </rPh>
    <rPh sb="12" eb="15">
      <t>トウジシャ</t>
    </rPh>
    <rPh sb="16" eb="18">
      <t>ホウレイ</t>
    </rPh>
    <rPh sb="18" eb="20">
      <t>イハン</t>
    </rPh>
    <phoneticPr fontId="4"/>
  </si>
  <si>
    <r>
      <rPr>
        <sz val="9"/>
        <rFont val="ＭＳ Ｐゴシック"/>
        <family val="3"/>
        <charset val="128"/>
      </rPr>
      <t>区分</t>
    </r>
    <rPh sb="0" eb="2">
      <t>クブン</t>
    </rPh>
    <phoneticPr fontId="4"/>
  </si>
  <si>
    <r>
      <rPr>
        <sz val="9"/>
        <rFont val="ＭＳ Ｐゴシック"/>
        <family val="3"/>
        <charset val="128"/>
      </rPr>
      <t>法令違反別</t>
    </r>
    <rPh sb="0" eb="2">
      <t>ホウレイ</t>
    </rPh>
    <rPh sb="2" eb="4">
      <t>イハン</t>
    </rPh>
    <rPh sb="4" eb="5">
      <t>ベツ</t>
    </rPh>
    <phoneticPr fontId="4"/>
  </si>
  <si>
    <r>
      <rPr>
        <sz val="10"/>
        <rFont val="ＭＳ Ｐゴシック"/>
        <family val="3"/>
        <charset val="128"/>
      </rPr>
      <t>安全運転義務</t>
    </r>
    <rPh sb="0" eb="2">
      <t>アンゼン</t>
    </rPh>
    <rPh sb="2" eb="4">
      <t>ウンテン</t>
    </rPh>
    <rPh sb="4" eb="6">
      <t>ギム</t>
    </rPh>
    <phoneticPr fontId="4"/>
  </si>
  <si>
    <r>
      <rPr>
        <sz val="9"/>
        <rFont val="ＭＳ Ｐゴシック"/>
        <family val="3"/>
        <charset val="128"/>
      </rPr>
      <t>横断</t>
    </r>
    <rPh sb="0" eb="2">
      <t>オウダン</t>
    </rPh>
    <phoneticPr fontId="4"/>
  </si>
  <si>
    <r>
      <rPr>
        <b/>
        <sz val="14"/>
        <rFont val="ＭＳ Ｐゴシック"/>
        <family val="3"/>
        <charset val="128"/>
      </rPr>
      <t>４．各種交通事故の実態</t>
    </r>
    <rPh sb="2" eb="4">
      <t>カクシュ</t>
    </rPh>
    <rPh sb="4" eb="6">
      <t>コウツウ</t>
    </rPh>
    <rPh sb="6" eb="8">
      <t>ジコ</t>
    </rPh>
    <rPh sb="9" eb="11">
      <t>ジッタイ</t>
    </rPh>
    <phoneticPr fontId="4"/>
  </si>
  <si>
    <r>
      <rPr>
        <sz val="12"/>
        <rFont val="ＭＳ Ｐゴシック"/>
        <family val="3"/>
        <charset val="128"/>
      </rPr>
      <t>　（１）各種死亡事故の推移</t>
    </r>
    <rPh sb="4" eb="6">
      <t>カクシュ</t>
    </rPh>
    <rPh sb="6" eb="8">
      <t>シボウ</t>
    </rPh>
    <rPh sb="8" eb="10">
      <t>ジコ</t>
    </rPh>
    <rPh sb="11" eb="13">
      <t>スイイ</t>
    </rPh>
    <phoneticPr fontId="4"/>
  </si>
  <si>
    <r>
      <rPr>
        <sz val="11"/>
        <rFont val="ＭＳ Ｐゴシック"/>
        <family val="3"/>
        <charset val="128"/>
      </rPr>
      <t>死者数の推移</t>
    </r>
    <rPh sb="0" eb="3">
      <t>シシャスウ</t>
    </rPh>
    <rPh sb="4" eb="6">
      <t>スイイ</t>
    </rPh>
    <phoneticPr fontId="4"/>
  </si>
  <si>
    <r>
      <rPr>
        <sz val="12"/>
        <rFont val="ＭＳ 明朝"/>
        <family val="1"/>
        <charset val="128"/>
      </rPr>
      <t>年別</t>
    </r>
    <rPh sb="0" eb="2">
      <t>ネンベツ</t>
    </rPh>
    <phoneticPr fontId="4"/>
  </si>
  <si>
    <r>
      <rPr>
        <sz val="11"/>
        <rFont val="ＭＳ Ｐゴシック"/>
        <family val="3"/>
        <charset val="128"/>
      </rPr>
      <t>元</t>
    </r>
    <rPh sb="0" eb="1">
      <t>ゲン</t>
    </rPh>
    <phoneticPr fontId="4"/>
  </si>
  <si>
    <r>
      <rPr>
        <sz val="12"/>
        <rFont val="ＭＳ 明朝"/>
        <family val="1"/>
        <charset val="128"/>
      </rPr>
      <t>区分</t>
    </r>
    <rPh sb="0" eb="2">
      <t>クブン</t>
    </rPh>
    <phoneticPr fontId="4"/>
  </si>
  <si>
    <r>
      <rPr>
        <sz val="12"/>
        <rFont val="ＭＳ 明朝"/>
        <family val="1"/>
        <charset val="128"/>
      </rPr>
      <t>合計</t>
    </r>
    <rPh sb="0" eb="2">
      <t>ゴウケイ</t>
    </rPh>
    <phoneticPr fontId="4"/>
  </si>
  <si>
    <r>
      <rPr>
        <sz val="12"/>
        <rFont val="ＭＳ 明朝"/>
        <family val="1"/>
        <charset val="128"/>
      </rPr>
      <t>高齢者</t>
    </r>
    <rPh sb="0" eb="3">
      <t>コウレイシャ</t>
    </rPh>
    <phoneticPr fontId="4"/>
  </si>
  <si>
    <r>
      <rPr>
        <sz val="12"/>
        <rFont val="ＭＳ 明朝"/>
        <family val="1"/>
        <charset val="128"/>
      </rPr>
      <t>子ども</t>
    </r>
    <rPh sb="0" eb="1">
      <t>コ</t>
    </rPh>
    <phoneticPr fontId="4"/>
  </si>
  <si>
    <r>
      <rPr>
        <sz val="12"/>
        <rFont val="ＭＳ 明朝"/>
        <family val="1"/>
        <charset val="128"/>
      </rPr>
      <t>歩行者</t>
    </r>
    <rPh sb="0" eb="3">
      <t>ホコウシャ</t>
    </rPh>
    <phoneticPr fontId="4"/>
  </si>
  <si>
    <r>
      <rPr>
        <sz val="12"/>
        <rFont val="ＭＳ 明朝"/>
        <family val="1"/>
        <charset val="128"/>
      </rPr>
      <t>自転車</t>
    </r>
    <rPh sb="0" eb="3">
      <t>ジテンシャ</t>
    </rPh>
    <phoneticPr fontId="4"/>
  </si>
  <si>
    <r>
      <rPr>
        <sz val="12"/>
        <rFont val="ＭＳ 明朝"/>
        <family val="1"/>
        <charset val="128"/>
      </rPr>
      <t>自動二輪</t>
    </r>
    <rPh sb="0" eb="2">
      <t>ジドウ</t>
    </rPh>
    <rPh sb="2" eb="4">
      <t>ニリン</t>
    </rPh>
    <phoneticPr fontId="4"/>
  </si>
  <si>
    <r>
      <rPr>
        <sz val="12"/>
        <rFont val="ＭＳ 明朝"/>
        <family val="1"/>
        <charset val="128"/>
      </rPr>
      <t>原付</t>
    </r>
    <rPh sb="0" eb="2">
      <t>ゲンツキ</t>
    </rPh>
    <phoneticPr fontId="4"/>
  </si>
  <si>
    <r>
      <rPr>
        <sz val="12"/>
        <rFont val="ＭＳ 明朝"/>
        <family val="1"/>
        <charset val="128"/>
      </rPr>
      <t>その他</t>
    </r>
    <rPh sb="2" eb="3">
      <t>タ</t>
    </rPh>
    <phoneticPr fontId="4"/>
  </si>
  <si>
    <r>
      <t xml:space="preserve"> </t>
    </r>
    <r>
      <rPr>
        <sz val="12"/>
        <rFont val="ＭＳ Ｐゴシック"/>
        <family val="3"/>
        <charset val="128"/>
      </rPr>
      <t>（２）高齢者の事故</t>
    </r>
    <rPh sb="4" eb="7">
      <t>コウレイシャ</t>
    </rPh>
    <rPh sb="8" eb="10">
      <t>ジコ</t>
    </rPh>
    <phoneticPr fontId="4"/>
  </si>
  <si>
    <r>
      <rPr>
        <sz val="12"/>
        <rFont val="ＭＳ Ｐゴシック"/>
        <family val="3"/>
        <charset val="128"/>
      </rPr>
      <t>　　高齢者の交通事故の推移</t>
    </r>
    <rPh sb="2" eb="5">
      <t>コウレイシャ</t>
    </rPh>
    <rPh sb="6" eb="8">
      <t>コウツウ</t>
    </rPh>
    <rPh sb="8" eb="10">
      <t>ジコ</t>
    </rPh>
    <rPh sb="11" eb="13">
      <t>スイイ</t>
    </rPh>
    <phoneticPr fontId="4"/>
  </si>
  <si>
    <t>平成25</t>
  </si>
  <si>
    <t>平成26</t>
  </si>
  <si>
    <t>平成27</t>
  </si>
  <si>
    <t>平成28</t>
  </si>
  <si>
    <t>平成29</t>
  </si>
  <si>
    <t>平成30</t>
  </si>
  <si>
    <t>令和元</t>
  </si>
  <si>
    <t>令和2</t>
  </si>
  <si>
    <t>令和3</t>
  </si>
  <si>
    <t>－</t>
  </si>
  <si>
    <r>
      <rPr>
        <sz val="12"/>
        <rFont val="ＭＳ Ｐゴシック"/>
        <family val="3"/>
        <charset val="128"/>
      </rPr>
      <t>　　年齢別・月別　（６５歳以上）</t>
    </r>
    <rPh sb="2" eb="4">
      <t>ネンレイ</t>
    </rPh>
    <rPh sb="4" eb="5">
      <t>ベツ</t>
    </rPh>
    <rPh sb="6" eb="7">
      <t>ツキ</t>
    </rPh>
    <rPh sb="7" eb="8">
      <t>ベツ</t>
    </rPh>
    <rPh sb="12" eb="13">
      <t>サイ</t>
    </rPh>
    <rPh sb="13" eb="15">
      <t>イジョウ</t>
    </rPh>
    <phoneticPr fontId="4"/>
  </si>
  <si>
    <r>
      <rPr>
        <sz val="9"/>
        <rFont val="ＭＳ Ｐゴシック"/>
        <family val="3"/>
        <charset val="128"/>
      </rPr>
      <t>（人）</t>
    </r>
    <rPh sb="1" eb="2">
      <t>ヒト</t>
    </rPh>
    <phoneticPr fontId="4"/>
  </si>
  <si>
    <r>
      <rPr>
        <sz val="8"/>
        <rFont val="ＭＳ Ｐゴシック"/>
        <family val="3"/>
        <charset val="128"/>
      </rPr>
      <t>月別</t>
    </r>
    <rPh sb="0" eb="1">
      <t>ツキ</t>
    </rPh>
    <rPh sb="1" eb="2">
      <t>ベツ</t>
    </rPh>
    <phoneticPr fontId="4"/>
  </si>
  <si>
    <r>
      <rPr>
        <sz val="8"/>
        <rFont val="ＭＳ Ｐゴシック"/>
        <family val="3"/>
        <charset val="128"/>
      </rPr>
      <t>年齢別</t>
    </r>
    <rPh sb="0" eb="2">
      <t>ネンレイ</t>
    </rPh>
    <rPh sb="2" eb="3">
      <t>ベツ</t>
    </rPh>
    <phoneticPr fontId="4"/>
  </si>
  <si>
    <t>６５～
６９歳</t>
    <phoneticPr fontId="4"/>
  </si>
  <si>
    <r>
      <rPr>
        <sz val="10"/>
        <rFont val="ＭＳ Ｐゴシック"/>
        <family val="3"/>
        <charset val="128"/>
      </rPr>
      <t>死者数</t>
    </r>
    <rPh sb="0" eb="1">
      <t>シ</t>
    </rPh>
    <rPh sb="1" eb="2">
      <t>シャ</t>
    </rPh>
    <rPh sb="2" eb="3">
      <t>スウ</t>
    </rPh>
    <phoneticPr fontId="4"/>
  </si>
  <si>
    <r>
      <rPr>
        <sz val="10"/>
        <rFont val="ＭＳ Ｐゴシック"/>
        <family val="3"/>
        <charset val="128"/>
      </rPr>
      <t>負傷者数</t>
    </r>
    <rPh sb="0" eb="3">
      <t>フショウシャ</t>
    </rPh>
    <rPh sb="3" eb="4">
      <t>カズ</t>
    </rPh>
    <phoneticPr fontId="4"/>
  </si>
  <si>
    <r>
      <rPr>
        <sz val="9"/>
        <rFont val="ＭＳ Ｐゴシック"/>
        <family val="3"/>
        <charset val="128"/>
      </rPr>
      <t>内重傷者数</t>
    </r>
    <rPh sb="0" eb="1">
      <t>ウチ</t>
    </rPh>
    <rPh sb="1" eb="5">
      <t>ジュウショウシャスウ</t>
    </rPh>
    <phoneticPr fontId="4"/>
  </si>
  <si>
    <t>７０～
７４歳</t>
    <phoneticPr fontId="4"/>
  </si>
  <si>
    <r>
      <rPr>
        <sz val="10"/>
        <rFont val="ＭＳ Ｐゴシック"/>
        <family val="3"/>
        <charset val="128"/>
      </rPr>
      <t>死者数</t>
    </r>
  </si>
  <si>
    <r>
      <rPr>
        <sz val="10"/>
        <rFont val="ＭＳ Ｐゴシック"/>
        <family val="3"/>
        <charset val="128"/>
      </rPr>
      <t>負傷者数</t>
    </r>
  </si>
  <si>
    <t>７５～
７９歳</t>
    <phoneticPr fontId="4"/>
  </si>
  <si>
    <t>８０～
８４歳</t>
    <phoneticPr fontId="4"/>
  </si>
  <si>
    <t>８５歳
以上</t>
    <rPh sb="2" eb="3">
      <t>サイ</t>
    </rPh>
    <phoneticPr fontId="4"/>
  </si>
  <si>
    <t>府内
全域</t>
    <rPh sb="0" eb="2">
      <t>フナイ</t>
    </rPh>
    <phoneticPr fontId="4"/>
  </si>
  <si>
    <r>
      <rPr>
        <sz val="12"/>
        <rFont val="ＭＳ Ｐゴシック"/>
        <family val="3"/>
        <charset val="128"/>
      </rPr>
      <t>行政区別・状態別（高齢者）</t>
    </r>
    <rPh sb="0" eb="2">
      <t>ギョウセイ</t>
    </rPh>
    <rPh sb="2" eb="3">
      <t>ク</t>
    </rPh>
    <rPh sb="3" eb="4">
      <t>ベツ</t>
    </rPh>
    <rPh sb="5" eb="7">
      <t>ジョウタイ</t>
    </rPh>
    <rPh sb="7" eb="8">
      <t>ベツ</t>
    </rPh>
    <rPh sb="9" eb="12">
      <t>コウレイシャ</t>
    </rPh>
    <phoneticPr fontId="4"/>
  </si>
  <si>
    <r>
      <rPr>
        <sz val="7"/>
        <rFont val="ＭＳ Ｐゴシック"/>
        <family val="3"/>
        <charset val="128"/>
      </rPr>
      <t>区分</t>
    </r>
    <rPh sb="0" eb="2">
      <t>クブン</t>
    </rPh>
    <phoneticPr fontId="4"/>
  </si>
  <si>
    <r>
      <rPr>
        <sz val="9"/>
        <rFont val="ＭＳ Ｐゴシック"/>
        <family val="3"/>
        <charset val="128"/>
      </rPr>
      <t>自動車等乗車中</t>
    </r>
    <rPh sb="0" eb="3">
      <t>ジドウシャ</t>
    </rPh>
    <rPh sb="3" eb="4">
      <t>トウ</t>
    </rPh>
    <rPh sb="4" eb="6">
      <t>ジョウシャ</t>
    </rPh>
    <rPh sb="6" eb="7">
      <t>チュウ</t>
    </rPh>
    <phoneticPr fontId="4"/>
  </si>
  <si>
    <r>
      <rPr>
        <sz val="7"/>
        <rFont val="ＭＳ Ｐゴシック"/>
        <family val="3"/>
        <charset val="128"/>
      </rPr>
      <t>行政区別</t>
    </r>
    <rPh sb="0" eb="2">
      <t>ギョウセイ</t>
    </rPh>
    <rPh sb="2" eb="3">
      <t>ク</t>
    </rPh>
    <rPh sb="3" eb="4">
      <t>ベツ</t>
    </rPh>
    <phoneticPr fontId="4"/>
  </si>
  <si>
    <r>
      <rPr>
        <sz val="9"/>
        <rFont val="ＭＳ Ｐゴシック"/>
        <family val="3"/>
        <charset val="128"/>
      </rPr>
      <t>死者数</t>
    </r>
    <rPh sb="0" eb="1">
      <t>シ</t>
    </rPh>
    <rPh sb="1" eb="2">
      <t>シャ</t>
    </rPh>
    <rPh sb="2" eb="3">
      <t>スウ</t>
    </rPh>
    <phoneticPr fontId="4"/>
  </si>
  <si>
    <r>
      <rPr>
        <sz val="9"/>
        <rFont val="ＭＳ Ｐゴシック"/>
        <family val="3"/>
        <charset val="128"/>
      </rPr>
      <t>負傷者数</t>
    </r>
    <rPh sb="0" eb="3">
      <t>フショウシャ</t>
    </rPh>
    <rPh sb="3" eb="4">
      <t>スウ</t>
    </rPh>
    <phoneticPr fontId="4"/>
  </si>
  <si>
    <r>
      <rPr>
        <sz val="8"/>
        <rFont val="ＭＳ Ｐゴシック"/>
        <family val="3"/>
        <charset val="128"/>
      </rPr>
      <t>内重傷者数</t>
    </r>
    <rPh sb="0" eb="5">
      <t>ウチジュウショウシャスウ</t>
    </rPh>
    <phoneticPr fontId="4"/>
  </si>
  <si>
    <r>
      <rPr>
        <sz val="12"/>
        <rFont val="ＭＳ Ｐゴシック"/>
        <family val="3"/>
        <charset val="128"/>
      </rPr>
      <t>法令違反別発生状況（高齢者）</t>
    </r>
    <rPh sb="0" eb="2">
      <t>ホウレイ</t>
    </rPh>
    <rPh sb="2" eb="4">
      <t>イハン</t>
    </rPh>
    <rPh sb="4" eb="5">
      <t>ベツ</t>
    </rPh>
    <rPh sb="5" eb="7">
      <t>ハッセイ</t>
    </rPh>
    <rPh sb="7" eb="9">
      <t>ジョウキョウ</t>
    </rPh>
    <rPh sb="10" eb="13">
      <t>コウレイシャ</t>
    </rPh>
    <phoneticPr fontId="4"/>
  </si>
  <si>
    <t>　　　　　　　　　　　　　　　　　　　　　　　区分
違反</t>
    <rPh sb="23" eb="25">
      <t>クブン</t>
    </rPh>
    <rPh sb="26" eb="28">
      <t>イハン</t>
    </rPh>
    <phoneticPr fontId="4"/>
  </si>
  <si>
    <t>令和２</t>
  </si>
  <si>
    <t>令和３</t>
    <phoneticPr fontId="4"/>
  </si>
  <si>
    <r>
      <rPr>
        <sz val="8"/>
        <rFont val="ＭＳ 明朝"/>
        <family val="1"/>
        <charset val="128"/>
      </rPr>
      <t>月別</t>
    </r>
    <rPh sb="0" eb="1">
      <t>ツキ</t>
    </rPh>
    <rPh sb="1" eb="2">
      <t>ベツ</t>
    </rPh>
    <phoneticPr fontId="4"/>
  </si>
  <si>
    <r>
      <rPr>
        <sz val="11"/>
        <rFont val="ＭＳ 明朝"/>
        <family val="1"/>
        <charset val="128"/>
      </rPr>
      <t>計</t>
    </r>
    <rPh sb="0" eb="1">
      <t>ケイ</t>
    </rPh>
    <phoneticPr fontId="4"/>
  </si>
  <si>
    <r>
      <rPr>
        <sz val="8"/>
        <rFont val="ＭＳ 明朝"/>
        <family val="1"/>
        <charset val="128"/>
      </rPr>
      <t>年齢別</t>
    </r>
    <rPh sb="0" eb="2">
      <t>ネンレイ</t>
    </rPh>
    <rPh sb="2" eb="3">
      <t>ベツ</t>
    </rPh>
    <phoneticPr fontId="4"/>
  </si>
  <si>
    <t>-</t>
  </si>
  <si>
    <r>
      <rPr>
        <sz val="12"/>
        <rFont val="ＭＳ Ｐゴシック"/>
        <family val="3"/>
        <charset val="128"/>
      </rPr>
      <t>年齢別・月別　（１５歳以下）</t>
    </r>
    <rPh sb="0" eb="2">
      <t>ネンレイ</t>
    </rPh>
    <rPh sb="2" eb="3">
      <t>ベツ</t>
    </rPh>
    <rPh sb="4" eb="5">
      <t>ツキ</t>
    </rPh>
    <rPh sb="5" eb="6">
      <t>ベツ</t>
    </rPh>
    <rPh sb="10" eb="11">
      <t>サイ</t>
    </rPh>
    <rPh sb="11" eb="13">
      <t>イカ</t>
    </rPh>
    <phoneticPr fontId="4"/>
  </si>
  <si>
    <r>
      <rPr>
        <sz val="8"/>
        <rFont val="ＭＳ Ｐゴシック"/>
        <family val="3"/>
        <charset val="128"/>
      </rPr>
      <t>月別</t>
    </r>
    <rPh sb="0" eb="2">
      <t>ツキベツ</t>
    </rPh>
    <phoneticPr fontId="4"/>
  </si>
  <si>
    <t>１歳
以下</t>
    <rPh sb="1" eb="2">
      <t>サイ</t>
    </rPh>
    <phoneticPr fontId="4"/>
  </si>
  <si>
    <r>
      <rPr>
        <sz val="10"/>
        <rFont val="ＭＳ Ｐゴシック"/>
        <family val="3"/>
        <charset val="128"/>
      </rPr>
      <t>内重傷者数</t>
    </r>
    <rPh sb="0" eb="1">
      <t>ウチ</t>
    </rPh>
    <rPh sb="1" eb="5">
      <t>ジュウショウシャスウ</t>
    </rPh>
    <phoneticPr fontId="4"/>
  </si>
  <si>
    <r>
      <rPr>
        <sz val="9"/>
        <rFont val="ＭＳ Ｐゴシック"/>
        <family val="3"/>
        <charset val="128"/>
      </rPr>
      <t>二輪車乗車中</t>
    </r>
    <rPh sb="0" eb="3">
      <t>ニリンシャ</t>
    </rPh>
    <rPh sb="3" eb="5">
      <t>ジョウシャ</t>
    </rPh>
    <rPh sb="5" eb="6">
      <t>チュウ</t>
    </rPh>
    <phoneticPr fontId="4"/>
  </si>
  <si>
    <r>
      <rPr>
        <sz val="9"/>
        <rFont val="ＭＳ Ｐゴシック"/>
        <family val="3"/>
        <charset val="128"/>
      </rPr>
      <t>負傷者数</t>
    </r>
    <rPh sb="0" eb="3">
      <t>フショウシャ</t>
    </rPh>
    <rPh sb="3" eb="4">
      <t>カズ</t>
    </rPh>
    <phoneticPr fontId="4"/>
  </si>
  <si>
    <r>
      <rPr>
        <sz val="7"/>
        <rFont val="ＭＳ Ｐゴシック"/>
        <family val="3"/>
        <charset val="128"/>
      </rPr>
      <t>内重傷者数</t>
    </r>
    <rPh sb="0" eb="1">
      <t>ウチ</t>
    </rPh>
    <rPh sb="1" eb="5">
      <t>ジュウショウシャスウ</t>
    </rPh>
    <phoneticPr fontId="4"/>
  </si>
  <si>
    <r>
      <rPr>
        <sz val="12"/>
        <rFont val="ＭＳ Ｐゴシック"/>
        <family val="3"/>
        <charset val="128"/>
      </rPr>
      <t>（４）若年者の事故（１６歳以上２４歳以下の者の事故）</t>
    </r>
    <rPh sb="3" eb="5">
      <t>ジャクネン</t>
    </rPh>
    <rPh sb="5" eb="6">
      <t>シャ</t>
    </rPh>
    <rPh sb="7" eb="9">
      <t>ジコ</t>
    </rPh>
    <rPh sb="12" eb="13">
      <t>サイ</t>
    </rPh>
    <rPh sb="13" eb="15">
      <t>イジョウ</t>
    </rPh>
    <rPh sb="17" eb="18">
      <t>サイ</t>
    </rPh>
    <rPh sb="18" eb="20">
      <t>イカ</t>
    </rPh>
    <rPh sb="21" eb="22">
      <t>モノ</t>
    </rPh>
    <rPh sb="23" eb="25">
      <t>ジコ</t>
    </rPh>
    <phoneticPr fontId="4"/>
  </si>
  <si>
    <r>
      <rPr>
        <sz val="12"/>
        <rFont val="ＭＳ Ｐゴシック"/>
        <family val="3"/>
        <charset val="128"/>
      </rPr>
      <t>若年者の交通事故の推移</t>
    </r>
    <rPh sb="0" eb="2">
      <t>ジャクネン</t>
    </rPh>
    <rPh sb="2" eb="3">
      <t>シャ</t>
    </rPh>
    <rPh sb="4" eb="6">
      <t>コウツウ</t>
    </rPh>
    <rPh sb="6" eb="8">
      <t>ジコ</t>
    </rPh>
    <rPh sb="9" eb="11">
      <t>スイイ</t>
    </rPh>
    <phoneticPr fontId="4"/>
  </si>
  <si>
    <t>令和２</t>
    <rPh sb="0" eb="2">
      <t>レイワ</t>
    </rPh>
    <phoneticPr fontId="4"/>
  </si>
  <si>
    <r>
      <rPr>
        <sz val="12"/>
        <rFont val="ＭＳ Ｐゴシック"/>
        <family val="3"/>
        <charset val="128"/>
      </rPr>
      <t>高校生の交通事故の推移</t>
    </r>
    <rPh sb="0" eb="3">
      <t>コウコウセイ</t>
    </rPh>
    <rPh sb="4" eb="6">
      <t>コウツウ</t>
    </rPh>
    <rPh sb="6" eb="8">
      <t>ジコ</t>
    </rPh>
    <rPh sb="9" eb="11">
      <t>スイイ</t>
    </rPh>
    <phoneticPr fontId="4"/>
  </si>
  <si>
    <r>
      <rPr>
        <sz val="12"/>
        <rFont val="ＭＳ Ｐゴシック"/>
        <family val="3"/>
        <charset val="128"/>
      </rPr>
      <t>年齢別・月別　（若年者）</t>
    </r>
    <rPh sb="0" eb="2">
      <t>ネンレイ</t>
    </rPh>
    <rPh sb="2" eb="3">
      <t>ベツ</t>
    </rPh>
    <rPh sb="4" eb="5">
      <t>ツキ</t>
    </rPh>
    <rPh sb="5" eb="6">
      <t>ベツ</t>
    </rPh>
    <rPh sb="8" eb="10">
      <t>ジャクネン</t>
    </rPh>
    <rPh sb="10" eb="11">
      <t>シャ</t>
    </rPh>
    <phoneticPr fontId="4"/>
  </si>
  <si>
    <t>内重傷者数</t>
    <rPh sb="0" eb="1">
      <t>ウチ</t>
    </rPh>
    <rPh sb="1" eb="5">
      <t>ジュウショウシャスウ</t>
    </rPh>
    <phoneticPr fontId="4"/>
  </si>
  <si>
    <r>
      <rPr>
        <sz val="12"/>
        <rFont val="ＭＳ Ｐゴシック"/>
        <family val="3"/>
        <charset val="128"/>
      </rPr>
      <t>行政区別・状態別（若年者）</t>
    </r>
    <rPh sb="0" eb="2">
      <t>ギョウセイ</t>
    </rPh>
    <rPh sb="2" eb="3">
      <t>ク</t>
    </rPh>
    <rPh sb="3" eb="4">
      <t>ベツ</t>
    </rPh>
    <rPh sb="5" eb="7">
      <t>ジョウタイ</t>
    </rPh>
    <rPh sb="7" eb="8">
      <t>ベツ</t>
    </rPh>
    <rPh sb="9" eb="11">
      <t>ジャクネン</t>
    </rPh>
    <rPh sb="11" eb="12">
      <t>シャ</t>
    </rPh>
    <phoneticPr fontId="4"/>
  </si>
  <si>
    <r>
      <rPr>
        <sz val="6"/>
        <rFont val="ＭＳ Ｐゴシック"/>
        <family val="3"/>
        <charset val="128"/>
      </rPr>
      <t>行政区別</t>
    </r>
    <rPh sb="0" eb="2">
      <t>ギョウセイ</t>
    </rPh>
    <rPh sb="2" eb="3">
      <t>ク</t>
    </rPh>
    <rPh sb="3" eb="4">
      <t>ベツ</t>
    </rPh>
    <phoneticPr fontId="4"/>
  </si>
  <si>
    <r>
      <rPr>
        <sz val="8"/>
        <rFont val="ＭＳ Ｐゴシック"/>
        <family val="3"/>
        <charset val="128"/>
      </rPr>
      <t>内重傷者数</t>
    </r>
    <rPh sb="0" eb="1">
      <t>ウチ</t>
    </rPh>
    <rPh sb="1" eb="5">
      <t>ジュウショウシャスウ</t>
    </rPh>
    <phoneticPr fontId="4"/>
  </si>
  <si>
    <r>
      <rPr>
        <sz val="12"/>
        <rFont val="ＭＳ Ｐゴシック"/>
        <family val="3"/>
        <charset val="128"/>
      </rPr>
      <t>法令違反別発生状況</t>
    </r>
    <r>
      <rPr>
        <sz val="12"/>
        <rFont val="Arial"/>
        <family val="2"/>
      </rPr>
      <t xml:space="preserve"> </t>
    </r>
    <r>
      <rPr>
        <sz val="12"/>
        <rFont val="ＭＳ Ｐゴシック"/>
        <family val="3"/>
        <charset val="128"/>
      </rPr>
      <t>（若年者）</t>
    </r>
    <rPh sb="0" eb="2">
      <t>ホウレイ</t>
    </rPh>
    <rPh sb="2" eb="4">
      <t>イハン</t>
    </rPh>
    <rPh sb="4" eb="5">
      <t>ベツ</t>
    </rPh>
    <rPh sb="5" eb="7">
      <t>ハッセイ</t>
    </rPh>
    <rPh sb="7" eb="9">
      <t>ジョウキョウ</t>
    </rPh>
    <rPh sb="11" eb="13">
      <t>ジャクネン</t>
    </rPh>
    <rPh sb="13" eb="14">
      <t>シャ</t>
    </rPh>
    <phoneticPr fontId="4"/>
  </si>
  <si>
    <r>
      <t xml:space="preserve"> </t>
    </r>
    <r>
      <rPr>
        <sz val="12"/>
        <rFont val="ＭＳ Ｐゴシック"/>
        <family val="3"/>
        <charset val="128"/>
      </rPr>
      <t>（５）歩行者の事故</t>
    </r>
    <rPh sb="4" eb="6">
      <t>ホコウ</t>
    </rPh>
    <rPh sb="6" eb="7">
      <t>シャ</t>
    </rPh>
    <rPh sb="8" eb="10">
      <t>ジコ</t>
    </rPh>
    <phoneticPr fontId="4"/>
  </si>
  <si>
    <r>
      <rPr>
        <sz val="12"/>
        <rFont val="ＭＳ Ｐゴシック"/>
        <family val="3"/>
        <charset val="128"/>
      </rPr>
      <t>歩行者の交通事故の推移</t>
    </r>
    <rPh sb="0" eb="3">
      <t>ホコウシャ</t>
    </rPh>
    <rPh sb="4" eb="6">
      <t>コウツウ</t>
    </rPh>
    <rPh sb="6" eb="8">
      <t>ジコ</t>
    </rPh>
    <rPh sb="9" eb="11">
      <t>スイイ</t>
    </rPh>
    <phoneticPr fontId="4"/>
  </si>
  <si>
    <t>令和４</t>
    <rPh sb="0" eb="2">
      <t>レイワ</t>
    </rPh>
    <phoneticPr fontId="4"/>
  </si>
  <si>
    <t>令和５</t>
    <rPh sb="0" eb="2">
      <t>レイワ</t>
    </rPh>
    <phoneticPr fontId="4"/>
  </si>
  <si>
    <r>
      <rPr>
        <sz val="12"/>
        <rFont val="ＭＳ Ｐゴシック"/>
        <family val="3"/>
        <charset val="128"/>
      </rPr>
      <t>事故類型別（歩行者）</t>
    </r>
    <rPh sb="0" eb="2">
      <t>ジコ</t>
    </rPh>
    <rPh sb="2" eb="4">
      <t>ルイケイ</t>
    </rPh>
    <rPh sb="4" eb="5">
      <t>ベツ</t>
    </rPh>
    <rPh sb="6" eb="9">
      <t>ホコウシャ</t>
    </rPh>
    <phoneticPr fontId="4"/>
  </si>
  <si>
    <t>類型別</t>
    <phoneticPr fontId="4"/>
  </si>
  <si>
    <r>
      <rPr>
        <sz val="12"/>
        <rFont val="ＭＳ Ｐゴシック"/>
        <family val="3"/>
        <charset val="128"/>
      </rPr>
      <t>月別発生状況（歩行者）</t>
    </r>
    <rPh sb="0" eb="2">
      <t>ツキベツ</t>
    </rPh>
    <rPh sb="2" eb="4">
      <t>ハッセイ</t>
    </rPh>
    <rPh sb="4" eb="6">
      <t>ジョウキョウ</t>
    </rPh>
    <rPh sb="7" eb="10">
      <t>ホコウシャ</t>
    </rPh>
    <phoneticPr fontId="4"/>
  </si>
  <si>
    <r>
      <rPr>
        <sz val="12"/>
        <rFont val="ＭＳ Ｐゴシック"/>
        <family val="3"/>
        <charset val="128"/>
      </rPr>
      <t>歩行者関連事故発生状況</t>
    </r>
    <rPh sb="0" eb="3">
      <t>ホコウシャ</t>
    </rPh>
    <rPh sb="3" eb="5">
      <t>カンレン</t>
    </rPh>
    <rPh sb="5" eb="7">
      <t>ジコ</t>
    </rPh>
    <rPh sb="7" eb="9">
      <t>ハッセイ</t>
    </rPh>
    <rPh sb="9" eb="11">
      <t>ジョウキョウ</t>
    </rPh>
    <phoneticPr fontId="4"/>
  </si>
  <si>
    <r>
      <rPr>
        <sz val="12"/>
        <rFont val="ＭＳ Ｐゴシック"/>
        <family val="3"/>
        <charset val="128"/>
      </rPr>
      <t>　　（行政区、状態別）</t>
    </r>
    <rPh sb="3" eb="6">
      <t>ギョウセイク</t>
    </rPh>
    <rPh sb="7" eb="9">
      <t>ジョウタイ</t>
    </rPh>
    <rPh sb="9" eb="10">
      <t>ベツ</t>
    </rPh>
    <phoneticPr fontId="4"/>
  </si>
  <si>
    <t>（人）</t>
    <phoneticPr fontId="4"/>
  </si>
  <si>
    <r>
      <rPr>
        <sz val="9"/>
        <rFont val="ＭＳ Ｐゴシック"/>
        <family val="3"/>
        <charset val="128"/>
      </rPr>
      <t>行政区分</t>
    </r>
    <rPh sb="0" eb="2">
      <t>ギョウセイ</t>
    </rPh>
    <rPh sb="2" eb="4">
      <t>クブン</t>
    </rPh>
    <phoneticPr fontId="4"/>
  </si>
  <si>
    <r>
      <rPr>
        <sz val="10"/>
        <rFont val="ＭＳ Ｐゴシック"/>
        <family val="3"/>
        <charset val="128"/>
      </rPr>
      <t>通行中</t>
    </r>
    <rPh sb="0" eb="2">
      <t>ツウコウ</t>
    </rPh>
    <rPh sb="2" eb="3">
      <t>チュウ</t>
    </rPh>
    <phoneticPr fontId="4"/>
  </si>
  <si>
    <r>
      <rPr>
        <sz val="10"/>
        <rFont val="ＭＳ Ｐゴシック"/>
        <family val="3"/>
        <charset val="128"/>
      </rPr>
      <t>横断中</t>
    </r>
    <rPh sb="0" eb="3">
      <t>オウダンチュウ</t>
    </rPh>
    <phoneticPr fontId="4"/>
  </si>
  <si>
    <r>
      <rPr>
        <sz val="9"/>
        <rFont val="ＭＳ Ｐゴシック"/>
        <family val="3"/>
        <charset val="128"/>
      </rPr>
      <t>通行中</t>
    </r>
    <rPh sb="0" eb="2">
      <t>ツウコウ</t>
    </rPh>
    <rPh sb="2" eb="3">
      <t>チュウ</t>
    </rPh>
    <phoneticPr fontId="4"/>
  </si>
  <si>
    <r>
      <rPr>
        <sz val="9"/>
        <rFont val="ＭＳ Ｐゴシック"/>
        <family val="3"/>
        <charset val="128"/>
      </rPr>
      <t>横断中</t>
    </r>
    <rPh sb="0" eb="3">
      <t>オウダンチュウ</t>
    </rPh>
    <phoneticPr fontId="4"/>
  </si>
  <si>
    <r>
      <rPr>
        <sz val="9"/>
        <rFont val="ＭＳ Ｐゴシック"/>
        <family val="3"/>
        <charset val="128"/>
      </rPr>
      <t>時間</t>
    </r>
    <rPh sb="0" eb="2">
      <t>ジカン</t>
    </rPh>
    <phoneticPr fontId="4"/>
  </si>
  <si>
    <r>
      <rPr>
        <sz val="9"/>
        <rFont val="ＭＳ Ｐゴシック"/>
        <family val="3"/>
        <charset val="128"/>
      </rPr>
      <t>通行中</t>
    </r>
    <rPh sb="0" eb="2">
      <t>ツウコウ</t>
    </rPh>
    <phoneticPr fontId="4"/>
  </si>
  <si>
    <r>
      <rPr>
        <sz val="9"/>
        <rFont val="ＭＳ Ｐゴシック"/>
        <family val="3"/>
        <charset val="128"/>
      </rPr>
      <t>横断中</t>
    </r>
  </si>
  <si>
    <r>
      <rPr>
        <sz val="9"/>
        <rFont val="ＭＳ Ｐゴシック"/>
        <family val="3"/>
        <charset val="128"/>
      </rPr>
      <t>その他</t>
    </r>
  </si>
  <si>
    <r>
      <t xml:space="preserve"> </t>
    </r>
    <r>
      <rPr>
        <sz val="12"/>
        <rFont val="ＭＳ Ｐゴシック"/>
        <family val="3"/>
        <charset val="128"/>
      </rPr>
      <t>（６）自転車の事故</t>
    </r>
    <rPh sb="4" eb="7">
      <t>ジテンシャ</t>
    </rPh>
    <rPh sb="8" eb="10">
      <t>ジコ</t>
    </rPh>
    <phoneticPr fontId="4"/>
  </si>
  <si>
    <r>
      <rPr>
        <sz val="12"/>
        <rFont val="ＭＳ Ｐゴシック"/>
        <family val="3"/>
        <charset val="128"/>
      </rPr>
      <t>　自転車の交通事故の推移</t>
    </r>
    <rPh sb="1" eb="4">
      <t>ジテンシャ</t>
    </rPh>
    <rPh sb="5" eb="7">
      <t>コウツウ</t>
    </rPh>
    <rPh sb="7" eb="9">
      <t>ジコ</t>
    </rPh>
    <rPh sb="10" eb="12">
      <t>スイイ</t>
    </rPh>
    <phoneticPr fontId="4"/>
  </si>
  <si>
    <r>
      <rPr>
        <sz val="12"/>
        <rFont val="ＭＳ Ｐゴシック"/>
        <family val="3"/>
        <charset val="128"/>
      </rPr>
      <t>年別</t>
    </r>
    <rPh sb="0" eb="2">
      <t>ネンベツ</t>
    </rPh>
    <phoneticPr fontId="4"/>
  </si>
  <si>
    <t>令和4</t>
    <rPh sb="0" eb="2">
      <t>レイワ</t>
    </rPh>
    <phoneticPr fontId="4"/>
  </si>
  <si>
    <t>令和5</t>
    <rPh sb="0" eb="2">
      <t>レイワ</t>
    </rPh>
    <phoneticPr fontId="4"/>
  </si>
  <si>
    <r>
      <rPr>
        <sz val="12"/>
        <rFont val="ＭＳ Ｐゴシック"/>
        <family val="3"/>
        <charset val="128"/>
      </rPr>
      <t>区分</t>
    </r>
    <rPh sb="0" eb="2">
      <t>クブン</t>
    </rPh>
    <phoneticPr fontId="4"/>
  </si>
  <si>
    <r>
      <rPr>
        <sz val="10"/>
        <rFont val="ＭＳ Ｐゴシック"/>
        <family val="3"/>
        <charset val="128"/>
      </rPr>
      <t>件数（件）</t>
    </r>
    <rPh sb="0" eb="2">
      <t>ケンスウ</t>
    </rPh>
    <rPh sb="3" eb="4">
      <t>ケン</t>
    </rPh>
    <phoneticPr fontId="4"/>
  </si>
  <si>
    <r>
      <rPr>
        <sz val="10"/>
        <rFont val="ＭＳ Ｐゴシック"/>
        <family val="3"/>
        <charset val="128"/>
      </rPr>
      <t>死者数①
（人）</t>
    </r>
    <rPh sb="0" eb="2">
      <t>シシャ</t>
    </rPh>
    <rPh sb="2" eb="3">
      <t>スウ</t>
    </rPh>
    <rPh sb="6" eb="7">
      <t>ヒト</t>
    </rPh>
    <phoneticPr fontId="4"/>
  </si>
  <si>
    <r>
      <rPr>
        <sz val="10"/>
        <rFont val="ＭＳ Ｐゴシック"/>
        <family val="3"/>
        <charset val="128"/>
      </rPr>
      <t>負傷者数
（人）</t>
    </r>
    <rPh sb="0" eb="1">
      <t>フ</t>
    </rPh>
    <rPh sb="1" eb="2">
      <t>キズ</t>
    </rPh>
    <rPh sb="2" eb="3">
      <t>モノ</t>
    </rPh>
    <rPh sb="3" eb="4">
      <t>スウ</t>
    </rPh>
    <rPh sb="6" eb="7">
      <t>ヒト</t>
    </rPh>
    <phoneticPr fontId="4"/>
  </si>
  <si>
    <r>
      <rPr>
        <sz val="10"/>
        <rFont val="ＭＳ Ｐゴシック"/>
        <family val="3"/>
        <charset val="128"/>
      </rPr>
      <t>内重傷者数
（人）</t>
    </r>
    <rPh sb="0" eb="1">
      <t>ウチ</t>
    </rPh>
    <rPh sb="1" eb="3">
      <t>ジュウショウ</t>
    </rPh>
    <rPh sb="3" eb="4">
      <t>モノ</t>
    </rPh>
    <rPh sb="4" eb="5">
      <t>スウ</t>
    </rPh>
    <rPh sb="7" eb="8">
      <t>ヒト</t>
    </rPh>
    <phoneticPr fontId="4"/>
  </si>
  <si>
    <r>
      <rPr>
        <sz val="10"/>
        <rFont val="ＭＳ Ｐゴシック"/>
        <family val="3"/>
        <charset val="128"/>
      </rPr>
      <t>全死者数②（人）</t>
    </r>
    <rPh sb="0" eb="1">
      <t>ゼン</t>
    </rPh>
    <rPh sb="1" eb="3">
      <t>シシャ</t>
    </rPh>
    <rPh sb="3" eb="4">
      <t>スウ</t>
    </rPh>
    <rPh sb="6" eb="7">
      <t>ヒト</t>
    </rPh>
    <phoneticPr fontId="4"/>
  </si>
  <si>
    <r>
      <rPr>
        <sz val="10"/>
        <rFont val="ＭＳ Ｐゴシック"/>
        <family val="3"/>
        <charset val="128"/>
      </rPr>
      <t>①</t>
    </r>
    <r>
      <rPr>
        <sz val="10"/>
        <rFont val="Arial"/>
        <family val="2"/>
      </rPr>
      <t>/</t>
    </r>
    <r>
      <rPr>
        <sz val="10"/>
        <rFont val="ＭＳ Ｐゴシック"/>
        <family val="3"/>
        <charset val="128"/>
      </rPr>
      <t xml:space="preserve">②
</t>
    </r>
    <r>
      <rPr>
        <sz val="10"/>
        <rFont val="Arial"/>
        <family val="2"/>
      </rPr>
      <t>×</t>
    </r>
    <r>
      <rPr>
        <sz val="10"/>
        <rFont val="ＭＳ Ｐゴシック"/>
        <family val="3"/>
        <charset val="128"/>
      </rPr>
      <t>１００（％）</t>
    </r>
    <phoneticPr fontId="4"/>
  </si>
  <si>
    <r>
      <rPr>
        <sz val="12"/>
        <rFont val="ＭＳ Ｐゴシック"/>
        <family val="3"/>
        <charset val="128"/>
      </rPr>
      <t>　月別発生状況（自転車）</t>
    </r>
    <rPh sb="1" eb="2">
      <t>ツキ</t>
    </rPh>
    <rPh sb="2" eb="3">
      <t>ベツ</t>
    </rPh>
    <rPh sb="3" eb="5">
      <t>ハッセイ</t>
    </rPh>
    <rPh sb="5" eb="7">
      <t>ジョウキョウ</t>
    </rPh>
    <rPh sb="8" eb="11">
      <t>ジテンシャ</t>
    </rPh>
    <phoneticPr fontId="4"/>
  </si>
  <si>
    <r>
      <rPr>
        <sz val="10"/>
        <rFont val="ＭＳ Ｐゴシック"/>
        <family val="3"/>
        <charset val="128"/>
      </rPr>
      <t>件数（件）</t>
    </r>
    <rPh sb="0" eb="1">
      <t>ケン</t>
    </rPh>
    <rPh sb="1" eb="2">
      <t>カズ</t>
    </rPh>
    <rPh sb="3" eb="4">
      <t>ケン</t>
    </rPh>
    <phoneticPr fontId="4"/>
  </si>
  <si>
    <r>
      <rPr>
        <sz val="10"/>
        <rFont val="ＭＳ Ｐゴシック"/>
        <family val="3"/>
        <charset val="128"/>
      </rPr>
      <t>死者数（人）</t>
    </r>
    <rPh sb="0" eb="1">
      <t>シ</t>
    </rPh>
    <rPh sb="1" eb="2">
      <t>モノ</t>
    </rPh>
    <rPh sb="2" eb="3">
      <t>スウ</t>
    </rPh>
    <rPh sb="4" eb="5">
      <t>ヒト</t>
    </rPh>
    <phoneticPr fontId="4"/>
  </si>
  <si>
    <r>
      <rPr>
        <sz val="10"/>
        <rFont val="ＭＳ Ｐゴシック"/>
        <family val="3"/>
        <charset val="128"/>
      </rPr>
      <t>負傷者数（人）</t>
    </r>
    <rPh sb="0" eb="3">
      <t>フショウシャ</t>
    </rPh>
    <rPh sb="3" eb="4">
      <t>スウ</t>
    </rPh>
    <rPh sb="5" eb="6">
      <t>ヒト</t>
    </rPh>
    <phoneticPr fontId="4"/>
  </si>
  <si>
    <t>内重傷者数（人）</t>
    <rPh sb="0" eb="1">
      <t>ウチ</t>
    </rPh>
    <rPh sb="1" eb="4">
      <t>ジュウショウシャ</t>
    </rPh>
    <rPh sb="4" eb="5">
      <t>スウ</t>
    </rPh>
    <rPh sb="6" eb="7">
      <t>ヒト</t>
    </rPh>
    <phoneticPr fontId="4"/>
  </si>
  <si>
    <t>自転車対自転車・自転車対歩行者関連事故の推移</t>
    <phoneticPr fontId="4"/>
  </si>
  <si>
    <r>
      <rPr>
        <sz val="12"/>
        <rFont val="ＭＳ Ｐゴシック"/>
        <family val="3"/>
        <charset val="128"/>
      </rPr>
      <t>自転車対歩行者</t>
    </r>
    <phoneticPr fontId="4"/>
  </si>
  <si>
    <r>
      <rPr>
        <sz val="12"/>
        <rFont val="ＭＳ Ｐゴシック"/>
        <family val="3"/>
        <charset val="128"/>
      </rPr>
      <t>事故類型別（自転車）</t>
    </r>
    <rPh sb="0" eb="2">
      <t>ジコ</t>
    </rPh>
    <rPh sb="2" eb="4">
      <t>ルイケイ</t>
    </rPh>
    <rPh sb="4" eb="5">
      <t>ベツ</t>
    </rPh>
    <rPh sb="6" eb="9">
      <t>ジテンシャ</t>
    </rPh>
    <phoneticPr fontId="4"/>
  </si>
  <si>
    <r>
      <rPr>
        <sz val="10"/>
        <rFont val="ＭＳ Ｐゴシック"/>
        <family val="3"/>
        <charset val="128"/>
      </rPr>
      <t>内重傷者数（人）</t>
    </r>
    <phoneticPr fontId="4"/>
  </si>
  <si>
    <r>
      <rPr>
        <sz val="12"/>
        <rFont val="ＭＳ Ｐゴシック"/>
        <family val="3"/>
        <charset val="128"/>
      </rPr>
      <t>自転車関連事故発生状況</t>
    </r>
    <rPh sb="0" eb="3">
      <t>ジテンシャ</t>
    </rPh>
    <rPh sb="3" eb="5">
      <t>カンレン</t>
    </rPh>
    <rPh sb="5" eb="7">
      <t>ジコ</t>
    </rPh>
    <rPh sb="7" eb="9">
      <t>ハッセイ</t>
    </rPh>
    <rPh sb="9" eb="11">
      <t>ジョウキョウ</t>
    </rPh>
    <phoneticPr fontId="4"/>
  </si>
  <si>
    <r>
      <rPr>
        <sz val="12"/>
        <rFont val="ＭＳ Ｐゴシック"/>
        <family val="3"/>
        <charset val="128"/>
      </rPr>
      <t>　　（行政区、類型別）</t>
    </r>
    <rPh sb="3" eb="6">
      <t>ギョウセイク</t>
    </rPh>
    <rPh sb="7" eb="9">
      <t>ルイケイ</t>
    </rPh>
    <rPh sb="9" eb="10">
      <t>ベツ</t>
    </rPh>
    <phoneticPr fontId="4"/>
  </si>
  <si>
    <t>区分</t>
    <rPh sb="0" eb="2">
      <t>クブン</t>
    </rPh>
    <phoneticPr fontId="4"/>
  </si>
  <si>
    <r>
      <rPr>
        <sz val="9"/>
        <rFont val="ＭＳ Ｐゴシック"/>
        <family val="3"/>
        <charset val="128"/>
      </rPr>
      <t>人対車両</t>
    </r>
    <rPh sb="0" eb="1">
      <t>ヒト</t>
    </rPh>
    <rPh sb="1" eb="2">
      <t>タイ</t>
    </rPh>
    <rPh sb="2" eb="4">
      <t>シャリョウ</t>
    </rPh>
    <phoneticPr fontId="4"/>
  </si>
  <si>
    <r>
      <rPr>
        <sz val="9"/>
        <rFont val="ＭＳ Ｐゴシック"/>
        <family val="3"/>
        <charset val="128"/>
      </rPr>
      <t>車両相互</t>
    </r>
    <rPh sb="0" eb="2">
      <t>シャリョウ</t>
    </rPh>
    <rPh sb="2" eb="4">
      <t>ソウゴ</t>
    </rPh>
    <phoneticPr fontId="4"/>
  </si>
  <si>
    <r>
      <rPr>
        <sz val="12"/>
        <rFont val="ＭＳ Ｐゴシック"/>
        <family val="3"/>
        <charset val="128"/>
      </rPr>
      <t>自転車関連事故発生状況</t>
    </r>
    <phoneticPr fontId="4"/>
  </si>
  <si>
    <r>
      <rPr>
        <sz val="12"/>
        <rFont val="ＭＳ Ｐゴシック"/>
        <family val="3"/>
        <charset val="128"/>
      </rPr>
      <t>　（時間別、類型別）</t>
    </r>
    <phoneticPr fontId="4"/>
  </si>
  <si>
    <r>
      <rPr>
        <sz val="12"/>
        <rFont val="ＭＳ Ｐゴシック"/>
        <family val="3"/>
        <charset val="128"/>
      </rPr>
      <t>（</t>
    </r>
    <r>
      <rPr>
        <sz val="12"/>
        <rFont val="Arial"/>
        <family val="2"/>
      </rPr>
      <t>7</t>
    </r>
    <r>
      <rPr>
        <sz val="12"/>
        <rFont val="ＭＳ Ｐゴシック"/>
        <family val="3"/>
        <charset val="128"/>
      </rPr>
      <t>）二輪車の事故</t>
    </r>
    <rPh sb="3" eb="6">
      <t>ニリンシャ</t>
    </rPh>
    <rPh sb="7" eb="9">
      <t>ジコ</t>
    </rPh>
    <phoneticPr fontId="4"/>
  </si>
  <si>
    <r>
      <t xml:space="preserve">   </t>
    </r>
    <r>
      <rPr>
        <sz val="12"/>
        <rFont val="ＭＳ Ｐゴシック"/>
        <family val="3"/>
        <charset val="128"/>
      </rPr>
      <t>①自動二輪車の交通事故発生状況</t>
    </r>
    <rPh sb="4" eb="6">
      <t>ジドウ</t>
    </rPh>
    <rPh sb="6" eb="9">
      <t>ニリンシャ</t>
    </rPh>
    <rPh sb="10" eb="12">
      <t>コウツウ</t>
    </rPh>
    <rPh sb="12" eb="14">
      <t>ジコ</t>
    </rPh>
    <rPh sb="14" eb="16">
      <t>ハッセイ</t>
    </rPh>
    <rPh sb="16" eb="18">
      <t>ジョウキョウ</t>
    </rPh>
    <phoneticPr fontId="4"/>
  </si>
  <si>
    <t>年別</t>
    <rPh sb="0" eb="2">
      <t>ネンベツ</t>
    </rPh>
    <phoneticPr fontId="4"/>
  </si>
  <si>
    <r>
      <rPr>
        <sz val="10"/>
        <rFont val="ＭＳ Ｐゴシック"/>
        <family val="3"/>
        <charset val="128"/>
      </rPr>
      <t>負傷者数（人）</t>
    </r>
    <rPh sb="0" eb="1">
      <t>フ</t>
    </rPh>
    <rPh sb="1" eb="2">
      <t>キズ</t>
    </rPh>
    <rPh sb="2" eb="3">
      <t>モノ</t>
    </rPh>
    <rPh sb="3" eb="4">
      <t>スウ</t>
    </rPh>
    <rPh sb="5" eb="6">
      <t>ヒト</t>
    </rPh>
    <phoneticPr fontId="4"/>
  </si>
  <si>
    <r>
      <rPr>
        <sz val="10"/>
        <rFont val="ＭＳ Ｐゴシック"/>
        <family val="3"/>
        <charset val="128"/>
      </rPr>
      <t>内重傷者数（人）</t>
    </r>
    <rPh sb="0" eb="1">
      <t>ウチ</t>
    </rPh>
    <rPh sb="1" eb="3">
      <t>ジュウショウ</t>
    </rPh>
    <rPh sb="3" eb="4">
      <t>モノ</t>
    </rPh>
    <rPh sb="4" eb="5">
      <t>スウ</t>
    </rPh>
    <rPh sb="6" eb="7">
      <t>ヒト</t>
    </rPh>
    <phoneticPr fontId="4"/>
  </si>
  <si>
    <r>
      <rPr>
        <sz val="12"/>
        <rFont val="ＭＳ Ｐゴシック"/>
        <family val="3"/>
        <charset val="128"/>
      </rPr>
      <t>事故類型別（自動二輪車）</t>
    </r>
    <rPh sb="0" eb="2">
      <t>ジコ</t>
    </rPh>
    <rPh sb="2" eb="4">
      <t>ルイケイ</t>
    </rPh>
    <rPh sb="4" eb="5">
      <t>ベツ</t>
    </rPh>
    <rPh sb="6" eb="8">
      <t>ジドウ</t>
    </rPh>
    <rPh sb="8" eb="11">
      <t>ニリンシャ</t>
    </rPh>
    <phoneticPr fontId="4"/>
  </si>
  <si>
    <r>
      <rPr>
        <sz val="12"/>
        <rFont val="ＭＳ Ｐゴシック"/>
        <family val="3"/>
        <charset val="128"/>
      </rPr>
      <t>自動二輪車関連事故発生状況</t>
    </r>
    <rPh sb="0" eb="2">
      <t>ジドウ</t>
    </rPh>
    <rPh sb="2" eb="5">
      <t>ニリンシャ</t>
    </rPh>
    <rPh sb="5" eb="7">
      <t>カンレン</t>
    </rPh>
    <rPh sb="7" eb="9">
      <t>ジコ</t>
    </rPh>
    <rPh sb="9" eb="11">
      <t>ハッセイ</t>
    </rPh>
    <rPh sb="11" eb="13">
      <t>ジョウキョウ</t>
    </rPh>
    <phoneticPr fontId="4"/>
  </si>
  <si>
    <r>
      <rPr>
        <sz val="8"/>
        <rFont val="ＭＳ Ｐゴシック"/>
        <family val="3"/>
        <charset val="128"/>
      </rPr>
      <t>行政区分</t>
    </r>
    <rPh sb="0" eb="2">
      <t>ギョウセイ</t>
    </rPh>
    <rPh sb="2" eb="4">
      <t>クブン</t>
    </rPh>
    <phoneticPr fontId="4"/>
  </si>
  <si>
    <r>
      <rPr>
        <sz val="12"/>
        <rFont val="ＭＳ Ｐゴシック"/>
        <family val="3"/>
        <charset val="128"/>
      </rPr>
      <t>　　（時間別、類型別）</t>
    </r>
    <rPh sb="3" eb="5">
      <t>ジカン</t>
    </rPh>
    <rPh sb="5" eb="6">
      <t>ベツ</t>
    </rPh>
    <rPh sb="7" eb="9">
      <t>ルイケイ</t>
    </rPh>
    <rPh sb="9" eb="10">
      <t>ベツ</t>
    </rPh>
    <phoneticPr fontId="4"/>
  </si>
  <si>
    <r>
      <rPr>
        <sz val="10"/>
        <rFont val="ＭＳ Ｐゴシック"/>
        <family val="3"/>
        <charset val="128"/>
      </rPr>
      <t>昭和</t>
    </r>
    <r>
      <rPr>
        <sz val="10"/>
        <rFont val="Arial"/>
        <family val="2"/>
      </rPr>
      <t>61</t>
    </r>
    <rPh sb="0" eb="2">
      <t>ショウワ</t>
    </rPh>
    <phoneticPr fontId="4"/>
  </si>
  <si>
    <r>
      <rPr>
        <sz val="10"/>
        <rFont val="ＭＳ Ｐゴシック"/>
        <family val="3"/>
        <charset val="128"/>
      </rPr>
      <t>令和元</t>
    </r>
    <rPh sb="0" eb="2">
      <t>レイワ</t>
    </rPh>
    <rPh sb="2" eb="3">
      <t>モト</t>
    </rPh>
    <phoneticPr fontId="4"/>
  </si>
  <si>
    <r>
      <rPr>
        <sz val="10"/>
        <rFont val="ＭＳ Ｐゴシック"/>
        <family val="3"/>
        <charset val="128"/>
      </rPr>
      <t>令和２</t>
    </r>
    <rPh sb="0" eb="2">
      <t>レイワ</t>
    </rPh>
    <phoneticPr fontId="4"/>
  </si>
  <si>
    <r>
      <rPr>
        <sz val="10"/>
        <rFont val="ＭＳ Ｐゴシック"/>
        <family val="3"/>
        <charset val="128"/>
      </rPr>
      <t>令和３</t>
    </r>
    <rPh sb="0" eb="2">
      <t>レイワ</t>
    </rPh>
    <phoneticPr fontId="4"/>
  </si>
  <si>
    <r>
      <rPr>
        <sz val="10"/>
        <rFont val="ＭＳ Ｐゴシック"/>
        <family val="3"/>
        <charset val="128"/>
      </rPr>
      <t>令和４</t>
    </r>
    <rPh sb="0" eb="2">
      <t>レイワ</t>
    </rPh>
    <phoneticPr fontId="4"/>
  </si>
  <si>
    <r>
      <rPr>
        <sz val="10"/>
        <rFont val="ＭＳ Ｐゴシック"/>
        <family val="3"/>
        <charset val="128"/>
      </rPr>
      <t>令和５</t>
    </r>
    <r>
      <rPr>
        <sz val="11"/>
        <color theme="1"/>
        <rFont val="游ゴシック"/>
        <family val="2"/>
        <charset val="128"/>
        <scheme val="minor"/>
      </rPr>
      <t/>
    </r>
    <rPh sb="0" eb="2">
      <t>レイワ</t>
    </rPh>
    <phoneticPr fontId="4"/>
  </si>
  <si>
    <r>
      <rPr>
        <sz val="12"/>
        <rFont val="ＭＳ Ｐゴシック"/>
        <family val="3"/>
        <charset val="128"/>
      </rPr>
      <t>（８）飲酒運転による事故</t>
    </r>
    <rPh sb="3" eb="5">
      <t>インシュ</t>
    </rPh>
    <rPh sb="5" eb="7">
      <t>ウンテン</t>
    </rPh>
    <rPh sb="10" eb="12">
      <t>ジコ</t>
    </rPh>
    <phoneticPr fontId="4"/>
  </si>
  <si>
    <t>年別</t>
    <phoneticPr fontId="4"/>
  </si>
  <si>
    <r>
      <rPr>
        <sz val="12"/>
        <rFont val="ＭＳ Ｐゴシック"/>
        <family val="3"/>
        <charset val="128"/>
      </rPr>
      <t>令和元</t>
    </r>
    <rPh sb="0" eb="2">
      <t>レイワ</t>
    </rPh>
    <rPh sb="2" eb="3">
      <t>モト</t>
    </rPh>
    <phoneticPr fontId="4"/>
  </si>
  <si>
    <r>
      <rPr>
        <sz val="12"/>
        <rFont val="ＭＳ Ｐゴシック"/>
        <family val="3"/>
        <charset val="128"/>
      </rPr>
      <t>令和２</t>
    </r>
    <rPh sb="0" eb="2">
      <t>レイワ</t>
    </rPh>
    <phoneticPr fontId="4"/>
  </si>
  <si>
    <r>
      <rPr>
        <sz val="12"/>
        <rFont val="ＭＳ Ｐゴシック"/>
        <family val="3"/>
        <charset val="128"/>
      </rPr>
      <t>令和３</t>
    </r>
    <rPh sb="0" eb="2">
      <t>レイワ</t>
    </rPh>
    <phoneticPr fontId="4"/>
  </si>
  <si>
    <r>
      <rPr>
        <sz val="12"/>
        <rFont val="ＭＳ Ｐゴシック"/>
        <family val="3"/>
        <charset val="128"/>
      </rPr>
      <t>令和４</t>
    </r>
    <rPh sb="0" eb="2">
      <t>レイワ</t>
    </rPh>
    <phoneticPr fontId="4"/>
  </si>
  <si>
    <t>月別</t>
    <phoneticPr fontId="4"/>
  </si>
  <si>
    <r>
      <rPr>
        <sz val="8"/>
        <rFont val="ＭＳ Ｐゴシック"/>
        <family val="3"/>
        <charset val="128"/>
      </rPr>
      <t>区分</t>
    </r>
    <rPh sb="0" eb="2">
      <t>クブン</t>
    </rPh>
    <phoneticPr fontId="4"/>
  </si>
  <si>
    <r>
      <rPr>
        <sz val="8"/>
        <rFont val="ＭＳ Ｐゴシック"/>
        <family val="3"/>
        <charset val="128"/>
      </rPr>
      <t>時間</t>
    </r>
    <rPh sb="0" eb="2">
      <t>ジカン</t>
    </rPh>
    <phoneticPr fontId="4"/>
  </si>
  <si>
    <t>夜　間</t>
    <rPh sb="0" eb="1">
      <t>ヨル</t>
    </rPh>
    <rPh sb="2" eb="3">
      <t>アイダ</t>
    </rPh>
    <phoneticPr fontId="4"/>
  </si>
  <si>
    <r>
      <rPr>
        <sz val="12"/>
        <rFont val="ＭＳ Ｐゴシック"/>
        <family val="3"/>
        <charset val="128"/>
      </rPr>
      <t>付表　　大都市の交通事故発生状況の比較</t>
    </r>
    <rPh sb="0" eb="2">
      <t>フヒョウ</t>
    </rPh>
    <rPh sb="4" eb="7">
      <t>ダイトシ</t>
    </rPh>
    <rPh sb="8" eb="10">
      <t>コウツウ</t>
    </rPh>
    <rPh sb="10" eb="12">
      <t>ジコ</t>
    </rPh>
    <rPh sb="12" eb="14">
      <t>ハッセイ</t>
    </rPh>
    <rPh sb="14" eb="16">
      <t>ジョウキョウ</t>
    </rPh>
    <rPh sb="17" eb="19">
      <t>ヒカク</t>
    </rPh>
    <phoneticPr fontId="4"/>
  </si>
  <si>
    <r>
      <rPr>
        <sz val="12"/>
        <rFont val="ＭＳ Ｐゴシック"/>
        <family val="3"/>
        <charset val="128"/>
      </rPr>
      <t>令和５</t>
    </r>
    <r>
      <rPr>
        <sz val="11"/>
        <color theme="1"/>
        <rFont val="游ゴシック"/>
        <family val="2"/>
        <charset val="128"/>
        <scheme val="minor"/>
      </rPr>
      <t/>
    </r>
    <rPh sb="0" eb="2">
      <t>レイワ</t>
    </rPh>
    <phoneticPr fontId="4"/>
  </si>
  <si>
    <r>
      <rPr>
        <sz val="9"/>
        <rFont val="ＭＳ Ｐゴシック"/>
        <family val="3"/>
        <charset val="128"/>
      </rPr>
      <t>幹線道路の事故率（％）</t>
    </r>
    <rPh sb="0" eb="2">
      <t>カンセン</t>
    </rPh>
    <rPh sb="2" eb="4">
      <t>ドウロ</t>
    </rPh>
    <rPh sb="5" eb="7">
      <t>ジコ</t>
    </rPh>
    <rPh sb="7" eb="8">
      <t>リツ</t>
    </rPh>
    <phoneticPr fontId="4"/>
  </si>
  <si>
    <t>一般原動機付自転車の交通事故の推移</t>
    <rPh sb="0" eb="2">
      <t>イッパン</t>
    </rPh>
    <rPh sb="2" eb="5">
      <t>ゲンドウキ</t>
    </rPh>
    <rPh sb="5" eb="6">
      <t>ツキ</t>
    </rPh>
    <rPh sb="6" eb="9">
      <t>ジテンシャ</t>
    </rPh>
    <rPh sb="10" eb="12">
      <t>コウツウ</t>
    </rPh>
    <rPh sb="12" eb="14">
      <t>ジコ</t>
    </rPh>
    <rPh sb="15" eb="17">
      <t>スイイ</t>
    </rPh>
    <phoneticPr fontId="4"/>
  </si>
  <si>
    <t>事故類型別（一般原動機付自転車）</t>
    <rPh sb="0" eb="2">
      <t>ジコ</t>
    </rPh>
    <rPh sb="2" eb="4">
      <t>ルイケイ</t>
    </rPh>
    <rPh sb="4" eb="5">
      <t>ベツ</t>
    </rPh>
    <rPh sb="6" eb="8">
      <t>イッパン</t>
    </rPh>
    <rPh sb="8" eb="11">
      <t>ゲンドウキ</t>
    </rPh>
    <rPh sb="11" eb="12">
      <t>ツキ</t>
    </rPh>
    <rPh sb="12" eb="15">
      <t>ジテンシャ</t>
    </rPh>
    <phoneticPr fontId="4"/>
  </si>
  <si>
    <t>一般原動機付自転車関連事故発生状況</t>
    <rPh sb="0" eb="2">
      <t>イッパン</t>
    </rPh>
    <rPh sb="2" eb="5">
      <t>ゲンドウキ</t>
    </rPh>
    <rPh sb="5" eb="6">
      <t>ヅケ</t>
    </rPh>
    <rPh sb="6" eb="9">
      <t>ジテンシャ</t>
    </rPh>
    <rPh sb="9" eb="11">
      <t>カンレン</t>
    </rPh>
    <rPh sb="11" eb="13">
      <t>ジコ</t>
    </rPh>
    <rPh sb="13" eb="15">
      <t>ハッセイ</t>
    </rPh>
    <rPh sb="15" eb="17">
      <t>ジョウキョウ</t>
    </rPh>
    <phoneticPr fontId="4"/>
  </si>
  <si>
    <r>
      <t xml:space="preserve"> </t>
    </r>
    <r>
      <rPr>
        <sz val="12"/>
        <rFont val="ＭＳ Ｐゴシック"/>
        <family val="3"/>
        <charset val="128"/>
      </rPr>
      <t>②一般原動機付自転車の交通事故発生状況</t>
    </r>
    <rPh sb="2" eb="4">
      <t>イッパン</t>
    </rPh>
    <rPh sb="4" eb="7">
      <t>ゲンドウキ</t>
    </rPh>
    <rPh sb="7" eb="8">
      <t>ツキ</t>
    </rPh>
    <rPh sb="8" eb="11">
      <t>ジテンシャ</t>
    </rPh>
    <rPh sb="12" eb="14">
      <t>コウツウ</t>
    </rPh>
    <rPh sb="14" eb="16">
      <t>ジコ</t>
    </rPh>
    <rPh sb="16" eb="18">
      <t>ハッセイ</t>
    </rPh>
    <rPh sb="18" eb="20">
      <t>ジョウキョウ</t>
    </rPh>
    <phoneticPr fontId="4"/>
  </si>
  <si>
    <t>令和６年</t>
    <rPh sb="0" eb="2">
      <t>レイワ</t>
    </rPh>
    <rPh sb="3" eb="4">
      <t>ネン</t>
    </rPh>
    <phoneticPr fontId="4"/>
  </si>
  <si>
    <t>R6</t>
  </si>
  <si>
    <t>内こども</t>
    <rPh sb="0" eb="1">
      <t>ウチ</t>
    </rPh>
    <phoneticPr fontId="4"/>
  </si>
  <si>
    <t>こども</t>
    <phoneticPr fontId="4"/>
  </si>
  <si>
    <t>左</t>
    <rPh sb="0" eb="1">
      <t>ヒダリ</t>
    </rPh>
    <phoneticPr fontId="4"/>
  </si>
  <si>
    <t>右</t>
    <rPh sb="0" eb="1">
      <t>ミギ</t>
    </rPh>
    <phoneticPr fontId="4"/>
  </si>
  <si>
    <t>件数</t>
    <rPh sb="0" eb="2">
      <t>ケンスウ</t>
    </rPh>
    <phoneticPr fontId="4"/>
  </si>
  <si>
    <t>死者数</t>
    <rPh sb="0" eb="3">
      <t>シシャスウ</t>
    </rPh>
    <phoneticPr fontId="4"/>
  </si>
  <si>
    <t>負傷者数</t>
    <rPh sb="0" eb="4">
      <t>フショウシャスウ</t>
    </rPh>
    <phoneticPr fontId="4"/>
  </si>
  <si>
    <t>重傷者数</t>
    <rPh sb="0" eb="4">
      <t>ジュウショウシャスウ</t>
    </rPh>
    <phoneticPr fontId="4"/>
  </si>
  <si>
    <r>
      <t>令和６</t>
    </r>
    <r>
      <rPr>
        <sz val="11"/>
        <color theme="1"/>
        <rFont val="游ゴシック"/>
        <family val="2"/>
        <charset val="128"/>
        <scheme val="minor"/>
      </rPr>
      <t/>
    </r>
    <rPh sb="0" eb="2">
      <t>レイワ</t>
    </rPh>
    <phoneticPr fontId="4"/>
  </si>
  <si>
    <r>
      <t xml:space="preserve"> </t>
    </r>
    <r>
      <rPr>
        <sz val="12"/>
        <rFont val="ＭＳ Ｐゴシック"/>
        <family val="3"/>
        <charset val="128"/>
      </rPr>
      <t>（３）こどもの事故</t>
    </r>
    <rPh sb="8" eb="10">
      <t>ジコ</t>
    </rPh>
    <phoneticPr fontId="4"/>
  </si>
  <si>
    <r>
      <rPr>
        <sz val="12"/>
        <rFont val="ＭＳ Ｐゴシック"/>
        <family val="3"/>
        <charset val="128"/>
      </rPr>
      <t>　</t>
    </r>
    <r>
      <rPr>
        <sz val="12"/>
        <rFont val="Arial"/>
        <family val="2"/>
      </rPr>
      <t xml:space="preserve"> </t>
    </r>
    <r>
      <rPr>
        <sz val="12"/>
        <rFont val="ＭＳ Ｐゴシック"/>
        <family val="3"/>
        <charset val="128"/>
      </rPr>
      <t>こどもの交通事故の推移</t>
    </r>
    <rPh sb="6" eb="8">
      <t>コウツウ</t>
    </rPh>
    <rPh sb="8" eb="10">
      <t>ジコ</t>
    </rPh>
    <rPh sb="11" eb="13">
      <t>スイイ</t>
    </rPh>
    <phoneticPr fontId="4"/>
  </si>
  <si>
    <t>行政区別・状態別（こども）</t>
    <rPh sb="0" eb="2">
      <t>ギョウセイ</t>
    </rPh>
    <rPh sb="2" eb="3">
      <t>ク</t>
    </rPh>
    <rPh sb="3" eb="4">
      <t>ベツ</t>
    </rPh>
    <rPh sb="5" eb="7">
      <t>ジョウタイ</t>
    </rPh>
    <rPh sb="7" eb="8">
      <t>ベツ</t>
    </rPh>
    <phoneticPr fontId="4"/>
  </si>
  <si>
    <r>
      <rPr>
        <sz val="12"/>
        <rFont val="ＭＳ Ｐゴシック"/>
        <family val="3"/>
        <charset val="128"/>
      </rPr>
      <t>法令違反別発生状況</t>
    </r>
    <r>
      <rPr>
        <sz val="12"/>
        <rFont val="Arial"/>
        <family val="2"/>
      </rPr>
      <t xml:space="preserve"> </t>
    </r>
    <r>
      <rPr>
        <sz val="12"/>
        <rFont val="ＭＳ Ｐゴシック"/>
        <family val="3"/>
        <charset val="128"/>
      </rPr>
      <t>（こども）</t>
    </r>
    <rPh sb="0" eb="2">
      <t>ホウレイ</t>
    </rPh>
    <rPh sb="2" eb="4">
      <t>イハン</t>
    </rPh>
    <rPh sb="4" eb="5">
      <t>ベツ</t>
    </rPh>
    <rPh sb="5" eb="7">
      <t>ハッセイ</t>
    </rPh>
    <rPh sb="7" eb="9">
      <t>ジョウキョウ</t>
    </rPh>
    <phoneticPr fontId="4"/>
  </si>
  <si>
    <t>令和６</t>
    <rPh sb="0" eb="2">
      <t>レイワ</t>
    </rPh>
    <phoneticPr fontId="4"/>
  </si>
  <si>
    <t>令和6</t>
    <rPh sb="0" eb="2">
      <t>レイワ</t>
    </rPh>
    <phoneticPr fontId="4"/>
  </si>
  <si>
    <r>
      <rPr>
        <sz val="11"/>
        <rFont val="ＭＳ Ｐゴシック"/>
        <family val="3"/>
        <charset val="128"/>
      </rPr>
      <t>路線別発生状況</t>
    </r>
    <rPh sb="0" eb="2">
      <t>ロセン</t>
    </rPh>
    <rPh sb="2" eb="3">
      <t>ベツ</t>
    </rPh>
    <rPh sb="3" eb="5">
      <t>ハッセイ</t>
    </rPh>
    <rPh sb="5" eb="7">
      <t>ジョウキョウ</t>
    </rPh>
    <phoneticPr fontId="4"/>
  </si>
  <si>
    <r>
      <rPr>
        <sz val="11"/>
        <rFont val="ＭＳ Ｐゴシック"/>
        <family val="3"/>
        <charset val="128"/>
      </rPr>
      <t>路　　線　　別</t>
    </r>
    <rPh sb="0" eb="1">
      <t>ミチ</t>
    </rPh>
    <rPh sb="3" eb="4">
      <t>セン</t>
    </rPh>
    <rPh sb="6" eb="7">
      <t>ベツ</t>
    </rPh>
    <phoneticPr fontId="4"/>
  </si>
  <si>
    <r>
      <rPr>
        <sz val="11"/>
        <rFont val="ＭＳ Ｐゴシック"/>
        <family val="3"/>
        <charset val="128"/>
      </rPr>
      <t>幹
線
道
路</t>
    </r>
    <rPh sb="0" eb="1">
      <t>ミキ</t>
    </rPh>
    <rPh sb="6" eb="7">
      <t>セン</t>
    </rPh>
    <rPh sb="12" eb="13">
      <t>ミチ</t>
    </rPh>
    <rPh sb="18" eb="19">
      <t>ロ</t>
    </rPh>
    <phoneticPr fontId="4"/>
  </si>
  <si>
    <r>
      <rPr>
        <sz val="11"/>
        <rFont val="ＭＳ Ｐゴシック"/>
        <family val="3"/>
        <charset val="128"/>
      </rPr>
      <t>国
道</t>
    </r>
    <rPh sb="0" eb="1">
      <t>クニ</t>
    </rPh>
    <rPh sb="6" eb="7">
      <t>ミチ</t>
    </rPh>
    <phoneticPr fontId="4"/>
  </si>
  <si>
    <r>
      <rPr>
        <sz val="11"/>
        <rFont val="ＭＳ Ｐゴシック"/>
        <family val="3"/>
        <charset val="128"/>
      </rPr>
      <t>一
般
府
道</t>
    </r>
    <rPh sb="0" eb="1">
      <t>イチ</t>
    </rPh>
    <rPh sb="3" eb="4">
      <t>バン</t>
    </rPh>
    <rPh sb="6" eb="7">
      <t>フ</t>
    </rPh>
    <rPh sb="9" eb="10">
      <t>ドウ</t>
    </rPh>
    <phoneticPr fontId="4"/>
  </si>
  <si>
    <r>
      <rPr>
        <sz val="11"/>
        <rFont val="ＭＳ Ｐゴシック"/>
        <family val="3"/>
        <charset val="128"/>
      </rPr>
      <t>大
阪
市
道</t>
    </r>
    <rPh sb="0" eb="1">
      <t>ダイ</t>
    </rPh>
    <rPh sb="4" eb="5">
      <t>サカ</t>
    </rPh>
    <rPh sb="8" eb="9">
      <t>イチ</t>
    </rPh>
    <rPh sb="12" eb="13">
      <t>ドウ</t>
    </rPh>
    <phoneticPr fontId="4"/>
  </si>
  <si>
    <r>
      <rPr>
        <sz val="11"/>
        <rFont val="ＭＳ Ｐゴシック"/>
        <family val="3"/>
        <charset val="128"/>
      </rPr>
      <t>主
要
地
方
道</t>
    </r>
    <phoneticPr fontId="4"/>
  </si>
  <si>
    <r>
      <rPr>
        <sz val="11"/>
        <rFont val="ＭＳ Ｐゴシック"/>
        <family val="3"/>
        <charset val="128"/>
      </rPr>
      <t>幹線道路計</t>
    </r>
    <rPh sb="0" eb="2">
      <t>カンセン</t>
    </rPh>
    <rPh sb="2" eb="4">
      <t>ドウロ</t>
    </rPh>
    <rPh sb="4" eb="5">
      <t>ケイ</t>
    </rPh>
    <phoneticPr fontId="4"/>
  </si>
  <si>
    <r>
      <rPr>
        <sz val="11"/>
        <rFont val="ＭＳ Ｐゴシック"/>
        <family val="3"/>
        <charset val="128"/>
      </rPr>
      <t>その他</t>
    </r>
    <rPh sb="2" eb="3">
      <t>タ</t>
    </rPh>
    <phoneticPr fontId="4"/>
  </si>
  <si>
    <t>国道</t>
    <rPh sb="0" eb="2">
      <t>コクドウ</t>
    </rPh>
    <phoneticPr fontId="4"/>
  </si>
  <si>
    <t>主要地方道</t>
    <rPh sb="0" eb="2">
      <t>シュヨウ</t>
    </rPh>
    <rPh sb="2" eb="4">
      <t>チホウ</t>
    </rPh>
    <rPh sb="4" eb="5">
      <t>ドウ</t>
    </rPh>
    <phoneticPr fontId="4"/>
  </si>
  <si>
    <t>一般府道</t>
    <rPh sb="0" eb="2">
      <t>イッパン</t>
    </rPh>
    <rPh sb="2" eb="4">
      <t>フドウ</t>
    </rPh>
    <phoneticPr fontId="4"/>
  </si>
  <si>
    <t>大阪市道</t>
    <rPh sb="0" eb="4">
      <t>オオサカシドウ</t>
    </rPh>
    <phoneticPr fontId="4"/>
  </si>
  <si>
    <t>その他</t>
    <rPh sb="2" eb="3">
      <t>ホカ</t>
    </rPh>
    <phoneticPr fontId="4"/>
  </si>
  <si>
    <t>件数</t>
    <rPh sb="0" eb="2">
      <t>ケンスウ</t>
    </rPh>
    <phoneticPr fontId="4"/>
  </si>
  <si>
    <t>死者数</t>
    <rPh sb="0" eb="3">
      <t>シシャスウ</t>
    </rPh>
    <phoneticPr fontId="4"/>
  </si>
  <si>
    <t>負傷者数</t>
    <rPh sb="0" eb="4">
      <t>フショウシャスウ</t>
    </rPh>
    <phoneticPr fontId="4"/>
  </si>
  <si>
    <t>重傷者数</t>
    <rPh sb="0" eb="4">
      <t>ジュウショウシャスウ</t>
    </rPh>
    <phoneticPr fontId="4"/>
  </si>
  <si>
    <t>総数</t>
    <rPh sb="0" eb="2">
      <t>ソウスウ</t>
    </rPh>
    <phoneticPr fontId="4"/>
  </si>
  <si>
    <t>出合頭</t>
    <rPh sb="0" eb="2">
      <t>デアイ</t>
    </rPh>
    <rPh sb="2" eb="3">
      <t>ガシラ</t>
    </rPh>
    <phoneticPr fontId="4"/>
  </si>
  <si>
    <t>人対車両</t>
    <rPh sb="0" eb="1">
      <t>ヒト</t>
    </rPh>
    <rPh sb="1" eb="2">
      <t>タイ</t>
    </rPh>
    <rPh sb="2" eb="4">
      <t>シャリョウ</t>
    </rPh>
    <phoneticPr fontId="4"/>
  </si>
  <si>
    <t>車両相互</t>
    <rPh sb="0" eb="2">
      <t>シャリョウ</t>
    </rPh>
    <rPh sb="2" eb="4">
      <t>ソウゴ</t>
    </rPh>
    <phoneticPr fontId="4"/>
  </si>
  <si>
    <t>車両単独</t>
    <rPh sb="0" eb="2">
      <t>シャリョウ</t>
    </rPh>
    <rPh sb="2" eb="4">
      <t>タンドク</t>
    </rPh>
    <phoneticPr fontId="4"/>
  </si>
  <si>
    <t>列車</t>
    <rPh sb="0" eb="2">
      <t>レッシャ</t>
    </rPh>
    <phoneticPr fontId="4"/>
  </si>
  <si>
    <t>死者</t>
    <rPh sb="0" eb="2">
      <t>シシャ</t>
    </rPh>
    <phoneticPr fontId="4"/>
  </si>
  <si>
    <t>負傷者</t>
    <rPh sb="0" eb="3">
      <t>フショウシャ</t>
    </rPh>
    <phoneticPr fontId="4"/>
  </si>
  <si>
    <t>総計</t>
    <rPh sb="0" eb="2">
      <t>ソウケイ</t>
    </rPh>
    <phoneticPr fontId="4"/>
  </si>
  <si>
    <r>
      <rPr>
        <sz val="12"/>
        <rFont val="ＭＳ Ｐゴシック"/>
        <family val="3"/>
        <charset val="128"/>
      </rPr>
      <t>自転車対自転車</t>
    </r>
    <rPh sb="0" eb="3">
      <t>ジテンシャ</t>
    </rPh>
    <rPh sb="3" eb="4">
      <t>タイ</t>
    </rPh>
    <rPh sb="4" eb="7">
      <t>ジテンシャ</t>
    </rPh>
    <phoneticPr fontId="44"/>
  </si>
  <si>
    <r>
      <t>　</t>
    </r>
    <r>
      <rPr>
        <sz val="10"/>
        <rFont val="ＭＳ Ｐゴシック"/>
        <family val="3"/>
        <charset val="128"/>
      </rPr>
      <t>　　年別区分
　</t>
    </r>
    <rPh sb="3" eb="5">
      <t>ネンベツ</t>
    </rPh>
    <rPh sb="5" eb="7">
      <t>クブン</t>
    </rPh>
    <phoneticPr fontId="4"/>
  </si>
  <si>
    <r>
      <rPr>
        <sz val="10"/>
        <rFont val="ＭＳ Ｐゴシック"/>
        <family val="3"/>
        <charset val="128"/>
      </rPr>
      <t>令和６</t>
    </r>
    <r>
      <rPr>
        <sz val="11"/>
        <color theme="1"/>
        <rFont val="游ゴシック"/>
        <family val="2"/>
        <charset val="128"/>
        <scheme val="minor"/>
      </rPr>
      <t/>
    </r>
    <rPh sb="0" eb="2">
      <t>レイワ</t>
    </rPh>
    <phoneticPr fontId="4"/>
  </si>
  <si>
    <r>
      <rPr>
        <sz val="12"/>
        <rFont val="ＭＳ Ｐゴシック"/>
        <family val="3"/>
        <charset val="128"/>
      </rPr>
      <t>令和６</t>
    </r>
    <r>
      <rPr>
        <sz val="11"/>
        <color theme="1"/>
        <rFont val="游ゴシック"/>
        <family val="2"/>
        <charset val="128"/>
        <scheme val="minor"/>
      </rPr>
      <t/>
    </r>
    <rPh sb="0" eb="2">
      <t>レイワ</t>
    </rPh>
    <phoneticPr fontId="4"/>
  </si>
  <si>
    <t>年</t>
    <rPh sb="0" eb="1">
      <t>ネン</t>
    </rPh>
    <phoneticPr fontId="4"/>
  </si>
  <si>
    <r>
      <rPr>
        <sz val="6"/>
        <rFont val="ＭＳ Ｐゴシック"/>
        <family val="3"/>
        <charset val="128"/>
      </rPr>
      <t>月別　</t>
    </r>
    <r>
      <rPr>
        <sz val="6"/>
        <rFont val="Arial"/>
        <family val="2"/>
      </rPr>
      <t xml:space="preserve"> </t>
    </r>
    <r>
      <rPr>
        <sz val="6"/>
        <rFont val="ＭＳ Ｐゴシック"/>
        <family val="3"/>
        <charset val="128"/>
      </rPr>
      <t>　　</t>
    </r>
    <r>
      <rPr>
        <sz val="6"/>
        <rFont val="Arial"/>
        <family val="2"/>
      </rPr>
      <t xml:space="preserve">  </t>
    </r>
    <r>
      <rPr>
        <sz val="6"/>
        <rFont val="ＭＳ Ｐゴシック"/>
        <family val="3"/>
        <charset val="128"/>
      </rPr>
      <t>道路別</t>
    </r>
    <rPh sb="0" eb="1">
      <t>ツキ</t>
    </rPh>
    <rPh sb="1" eb="2">
      <t>ベツ</t>
    </rPh>
    <rPh sb="8" eb="10">
      <t>ドウロ</t>
    </rPh>
    <rPh sb="10" eb="11">
      <t>ベツ</t>
    </rPh>
    <phoneticPr fontId="4"/>
  </si>
  <si>
    <t>令和6年</t>
    <rPh sb="0" eb="2">
      <t>レイワ</t>
    </rPh>
    <rPh sb="3" eb="4">
      <t>ネン</t>
    </rPh>
    <phoneticPr fontId="4"/>
  </si>
  <si>
    <t>令和7年</t>
    <rPh sb="0" eb="2">
      <t>レイワ</t>
    </rPh>
    <rPh sb="3" eb="4">
      <t>ネン</t>
    </rPh>
    <phoneticPr fontId="4"/>
  </si>
  <si>
    <t>R7</t>
  </si>
  <si>
    <t>令和７年</t>
    <rPh sb="0" eb="2">
      <t>レイワ</t>
    </rPh>
    <rPh sb="3" eb="4">
      <t>ネン</t>
    </rPh>
    <phoneticPr fontId="4"/>
  </si>
  <si>
    <r>
      <t>令和７</t>
    </r>
    <r>
      <rPr>
        <sz val="11"/>
        <color theme="1"/>
        <rFont val="游ゴシック"/>
        <family val="2"/>
        <charset val="128"/>
        <scheme val="minor"/>
      </rPr>
      <t/>
    </r>
    <rPh sb="0" eb="2">
      <t>レイワ</t>
    </rPh>
    <phoneticPr fontId="4"/>
  </si>
  <si>
    <t>Ｒ７</t>
    <phoneticPr fontId="4"/>
  </si>
  <si>
    <t>Ｒ６</t>
  </si>
  <si>
    <t>Ｒ６</t>
    <phoneticPr fontId="4"/>
  </si>
  <si>
    <t>令和７</t>
    <rPh sb="0" eb="2">
      <t>レイワ</t>
    </rPh>
    <phoneticPr fontId="4"/>
  </si>
  <si>
    <t>令和7</t>
    <rPh sb="0" eb="2">
      <t>レイワ</t>
    </rPh>
    <phoneticPr fontId="4"/>
  </si>
  <si>
    <t>１．令和7年中の交通事故の概要</t>
    <rPh sb="2" eb="4">
      <t>レイワ</t>
    </rPh>
    <rPh sb="5" eb="6">
      <t>ネン</t>
    </rPh>
    <rPh sb="6" eb="7">
      <t>チュウ</t>
    </rPh>
    <rPh sb="8" eb="12">
      <t>コウツウジコ</t>
    </rPh>
    <rPh sb="13" eb="15">
      <t>ガイヨウ</t>
    </rPh>
    <phoneticPr fontId="4"/>
  </si>
  <si>
    <t>自転車乗用中</t>
    <rPh sb="0" eb="3">
      <t>ジテンシャ</t>
    </rPh>
    <rPh sb="3" eb="5">
      <t>ジョウヨウ</t>
    </rPh>
    <rPh sb="5" eb="6">
      <t>チュウ</t>
    </rPh>
    <phoneticPr fontId="4"/>
  </si>
  <si>
    <t>一般原付乗車中</t>
    <rPh sb="0" eb="2">
      <t>イッパン</t>
    </rPh>
    <rPh sb="2" eb="4">
      <t>ゲンツキ</t>
    </rPh>
    <rPh sb="4" eb="7">
      <t>ジョウシャチュウ</t>
    </rPh>
    <phoneticPr fontId="4"/>
  </si>
  <si>
    <r>
      <t>11</t>
    </r>
    <r>
      <rPr>
        <sz val="11"/>
        <rFont val="ＭＳ Ｐゴシック"/>
        <family val="3"/>
        <charset val="128"/>
      </rPr>
      <t>次</t>
    </r>
    <rPh sb="2" eb="3">
      <t>ツギ</t>
    </rPh>
    <phoneticPr fontId="4"/>
  </si>
  <si>
    <t>件数</t>
    <rPh sb="0" eb="2">
      <t>ケンスウ</t>
    </rPh>
    <phoneticPr fontId="4"/>
  </si>
  <si>
    <t>死者数</t>
    <rPh sb="0" eb="3">
      <t>シシャスウ</t>
    </rPh>
    <phoneticPr fontId="4"/>
  </si>
  <si>
    <t>負傷者数</t>
    <rPh sb="0" eb="4">
      <t>フショウシャスウ</t>
    </rPh>
    <phoneticPr fontId="4"/>
  </si>
  <si>
    <r>
      <rPr>
        <sz val="11"/>
        <rFont val="Arial Unicode MS"/>
        <family val="3"/>
        <charset val="128"/>
      </rPr>
      <t>（</t>
    </r>
    <r>
      <rPr>
        <sz val="11"/>
        <rFont val="Arial"/>
        <family val="2"/>
      </rPr>
      <t>2025</t>
    </r>
    <r>
      <rPr>
        <sz val="11"/>
        <rFont val="Arial Unicode MS"/>
        <family val="3"/>
        <charset val="128"/>
      </rPr>
      <t>年）</t>
    </r>
    <rPh sb="5" eb="6">
      <t>ネン</t>
    </rPh>
    <phoneticPr fontId="4"/>
  </si>
  <si>
    <r>
      <rPr>
        <sz val="11"/>
        <rFont val="Arial Unicode MS"/>
        <family val="3"/>
        <charset val="128"/>
      </rPr>
      <t>昭和</t>
    </r>
    <r>
      <rPr>
        <sz val="11"/>
        <rFont val="Arial"/>
        <family val="3"/>
      </rPr>
      <t>45</t>
    </r>
    <r>
      <rPr>
        <sz val="11"/>
        <rFont val="Arial Unicode MS"/>
        <family val="3"/>
        <charset val="128"/>
      </rPr>
      <t>年との比較</t>
    </r>
    <rPh sb="0" eb="2">
      <t>ショウワ</t>
    </rPh>
    <rPh sb="4" eb="5">
      <t>ネン</t>
    </rPh>
    <rPh sb="7" eb="9">
      <t>ヒカク</t>
    </rPh>
    <phoneticPr fontId="4"/>
  </si>
  <si>
    <t/>
  </si>
  <si>
    <t>３．令和7年中の大阪市の交通事故の発生状況</t>
    <rPh sb="2" eb="4">
      <t>レイワ</t>
    </rPh>
    <rPh sb="5" eb="6">
      <t>ネン</t>
    </rPh>
    <rPh sb="6" eb="7">
      <t>チュウ</t>
    </rPh>
    <rPh sb="8" eb="11">
      <t>オオサカシ</t>
    </rPh>
    <rPh sb="12" eb="14">
      <t>コウツウ</t>
    </rPh>
    <rPh sb="14" eb="16">
      <t>ジコ</t>
    </rPh>
    <rPh sb="17" eb="19">
      <t>ハッセイ</t>
    </rPh>
    <rPh sb="19" eb="21">
      <t>ジョウキョウ</t>
    </rPh>
    <phoneticPr fontId="4"/>
  </si>
  <si>
    <r>
      <rPr>
        <sz val="11"/>
        <rFont val="ＭＳ Ｐゴシック"/>
        <family val="3"/>
        <charset val="128"/>
      </rPr>
      <t>人口</t>
    </r>
    <rPh sb="0" eb="2">
      <t>ジンコウ</t>
    </rPh>
    <phoneticPr fontId="4"/>
  </si>
  <si>
    <r>
      <rPr>
        <sz val="11"/>
        <rFont val="ＭＳ Ｐゴシック"/>
        <family val="3"/>
        <charset val="128"/>
      </rPr>
      <t>件数</t>
    </r>
    <rPh sb="0" eb="2">
      <t>ケンスウ</t>
    </rPh>
    <phoneticPr fontId="4"/>
  </si>
  <si>
    <r>
      <rPr>
        <sz val="11"/>
        <rFont val="ＭＳ Ｐゴシック"/>
        <family val="3"/>
        <charset val="128"/>
      </rPr>
      <t>死者</t>
    </r>
    <rPh sb="0" eb="2">
      <t>シシャ</t>
    </rPh>
    <phoneticPr fontId="4"/>
  </si>
  <si>
    <r>
      <rPr>
        <sz val="11"/>
        <rFont val="ＭＳ Ｐゴシック"/>
        <family val="3"/>
        <charset val="128"/>
      </rPr>
      <t>傷者</t>
    </r>
    <rPh sb="0" eb="2">
      <t>ショウシャ</t>
    </rPh>
    <phoneticPr fontId="4"/>
  </si>
  <si>
    <r>
      <rPr>
        <sz val="11"/>
        <rFont val="ＭＳ Ｐゴシック"/>
        <family val="3"/>
        <charset val="128"/>
      </rPr>
      <t>北</t>
    </r>
    <rPh sb="0" eb="1">
      <t>キタ</t>
    </rPh>
    <phoneticPr fontId="4"/>
  </si>
  <si>
    <r>
      <rPr>
        <sz val="11"/>
        <rFont val="ＭＳ Ｐゴシック"/>
        <family val="3"/>
        <charset val="128"/>
      </rPr>
      <t>都島</t>
    </r>
    <rPh sb="0" eb="2">
      <t>ミヤコジマ</t>
    </rPh>
    <phoneticPr fontId="4"/>
  </si>
  <si>
    <r>
      <rPr>
        <sz val="11"/>
        <rFont val="ＭＳ Ｐゴシック"/>
        <family val="3"/>
        <charset val="128"/>
      </rPr>
      <t>福島</t>
    </r>
    <rPh sb="0" eb="2">
      <t>フクシマ</t>
    </rPh>
    <phoneticPr fontId="4"/>
  </si>
  <si>
    <r>
      <rPr>
        <sz val="11"/>
        <rFont val="ＭＳ Ｐゴシック"/>
        <family val="3"/>
        <charset val="128"/>
      </rPr>
      <t>内
重傷者数</t>
    </r>
    <rPh sb="0" eb="1">
      <t>ウチ</t>
    </rPh>
    <rPh sb="2" eb="6">
      <t>ジュウショウシャスウ</t>
    </rPh>
    <phoneticPr fontId="4"/>
  </si>
  <si>
    <r>
      <rPr>
        <sz val="11"/>
        <rFont val="ＭＳ Ｐゴシック"/>
        <family val="3"/>
        <charset val="128"/>
      </rPr>
      <t>此花</t>
    </r>
    <rPh sb="0" eb="2">
      <t>コノハナ</t>
    </rPh>
    <phoneticPr fontId="4"/>
  </si>
  <si>
    <r>
      <rPr>
        <sz val="11"/>
        <rFont val="ＭＳ Ｐゴシック"/>
        <family val="3"/>
        <charset val="128"/>
      </rPr>
      <t>中央</t>
    </r>
    <rPh sb="0" eb="2">
      <t>チュウオウ</t>
    </rPh>
    <phoneticPr fontId="4"/>
  </si>
  <si>
    <r>
      <rPr>
        <sz val="11"/>
        <rFont val="ＭＳ Ｐゴシック"/>
        <family val="3"/>
        <charset val="128"/>
      </rPr>
      <t>西</t>
    </r>
    <rPh sb="0" eb="1">
      <t>ニシ</t>
    </rPh>
    <phoneticPr fontId="4"/>
  </si>
  <si>
    <r>
      <rPr>
        <sz val="11"/>
        <rFont val="ＭＳ Ｐゴシック"/>
        <family val="3"/>
        <charset val="128"/>
      </rPr>
      <t>港</t>
    </r>
    <rPh sb="0" eb="1">
      <t>ミナト</t>
    </rPh>
    <phoneticPr fontId="4"/>
  </si>
  <si>
    <r>
      <rPr>
        <sz val="11"/>
        <rFont val="ＭＳ Ｐゴシック"/>
        <family val="3"/>
        <charset val="128"/>
      </rPr>
      <t>大正</t>
    </r>
    <rPh sb="0" eb="2">
      <t>タイショウ</t>
    </rPh>
    <phoneticPr fontId="4"/>
  </si>
  <si>
    <r>
      <rPr>
        <sz val="11"/>
        <rFont val="ＭＳ Ｐゴシック"/>
        <family val="3"/>
        <charset val="128"/>
      </rPr>
      <t>天王寺</t>
    </r>
    <rPh sb="0" eb="3">
      <t>テンノウジ</t>
    </rPh>
    <phoneticPr fontId="4"/>
  </si>
  <si>
    <r>
      <rPr>
        <sz val="11"/>
        <rFont val="ＭＳ Ｐゴシック"/>
        <family val="3"/>
        <charset val="128"/>
      </rPr>
      <t>浪速</t>
    </r>
    <rPh sb="0" eb="2">
      <t>ナニワ</t>
    </rPh>
    <phoneticPr fontId="4"/>
  </si>
  <si>
    <r>
      <rPr>
        <sz val="11"/>
        <rFont val="ＭＳ Ｐゴシック"/>
        <family val="3"/>
        <charset val="128"/>
      </rPr>
      <t>西淀川</t>
    </r>
    <rPh sb="0" eb="3">
      <t>ニシヨドガワ</t>
    </rPh>
    <phoneticPr fontId="4"/>
  </si>
  <si>
    <r>
      <rPr>
        <sz val="11"/>
        <rFont val="ＭＳ Ｐゴシック"/>
        <family val="3"/>
        <charset val="128"/>
      </rPr>
      <t>淀川</t>
    </r>
    <rPh sb="0" eb="2">
      <t>ヨドガワ</t>
    </rPh>
    <phoneticPr fontId="4"/>
  </si>
  <si>
    <r>
      <rPr>
        <sz val="11"/>
        <rFont val="ＭＳ Ｐゴシック"/>
        <family val="3"/>
        <charset val="128"/>
      </rPr>
      <t>東淀川</t>
    </r>
    <rPh sb="0" eb="3">
      <t>ヒガシヨドガワ</t>
    </rPh>
    <phoneticPr fontId="4"/>
  </si>
  <si>
    <r>
      <rPr>
        <sz val="11"/>
        <rFont val="ＭＳ Ｐゴシック"/>
        <family val="3"/>
        <charset val="128"/>
      </rPr>
      <t>東成</t>
    </r>
    <rPh sb="0" eb="2">
      <t>ヒガシナリ</t>
    </rPh>
    <phoneticPr fontId="4"/>
  </si>
  <si>
    <r>
      <rPr>
        <sz val="11"/>
        <rFont val="ＭＳ Ｐゴシック"/>
        <family val="3"/>
        <charset val="128"/>
      </rPr>
      <t>生野</t>
    </r>
    <rPh sb="0" eb="2">
      <t>イクノ</t>
    </rPh>
    <phoneticPr fontId="4"/>
  </si>
  <si>
    <r>
      <rPr>
        <sz val="11"/>
        <rFont val="ＭＳ Ｐゴシック"/>
        <family val="3"/>
        <charset val="128"/>
      </rPr>
      <t>旭</t>
    </r>
    <rPh sb="0" eb="1">
      <t>アサヒ</t>
    </rPh>
    <phoneticPr fontId="4"/>
  </si>
  <si>
    <r>
      <rPr>
        <sz val="11"/>
        <rFont val="ＭＳ Ｐゴシック"/>
        <family val="3"/>
        <charset val="128"/>
      </rPr>
      <t>城東</t>
    </r>
    <rPh sb="0" eb="2">
      <t>ジョウトウ</t>
    </rPh>
    <phoneticPr fontId="4"/>
  </si>
  <si>
    <r>
      <rPr>
        <sz val="11"/>
        <rFont val="ＭＳ Ｐゴシック"/>
        <family val="3"/>
        <charset val="128"/>
      </rPr>
      <t>鶴見</t>
    </r>
    <rPh sb="0" eb="2">
      <t>ツルミ</t>
    </rPh>
    <phoneticPr fontId="4"/>
  </si>
  <si>
    <r>
      <rPr>
        <sz val="11"/>
        <rFont val="ＭＳ Ｐゴシック"/>
        <family val="3"/>
        <charset val="128"/>
      </rPr>
      <t>阿倍野</t>
    </r>
    <rPh sb="0" eb="3">
      <t>アベノ</t>
    </rPh>
    <phoneticPr fontId="4"/>
  </si>
  <si>
    <r>
      <rPr>
        <sz val="11"/>
        <rFont val="ＭＳ Ｐゴシック"/>
        <family val="3"/>
        <charset val="128"/>
      </rPr>
      <t>住之江</t>
    </r>
    <rPh sb="0" eb="3">
      <t>スミノエ</t>
    </rPh>
    <phoneticPr fontId="4"/>
  </si>
  <si>
    <r>
      <rPr>
        <sz val="11"/>
        <rFont val="ＭＳ Ｐゴシック"/>
        <family val="3"/>
        <charset val="128"/>
      </rPr>
      <t>住吉</t>
    </r>
    <rPh sb="0" eb="2">
      <t>スミヨシ</t>
    </rPh>
    <phoneticPr fontId="4"/>
  </si>
  <si>
    <r>
      <rPr>
        <sz val="11"/>
        <rFont val="ＭＳ Ｐゴシック"/>
        <family val="3"/>
        <charset val="128"/>
      </rPr>
      <t>東住吉</t>
    </r>
    <rPh sb="0" eb="3">
      <t>ヒガシスミヨシ</t>
    </rPh>
    <phoneticPr fontId="4"/>
  </si>
  <si>
    <r>
      <rPr>
        <sz val="11"/>
        <rFont val="ＭＳ Ｐゴシック"/>
        <family val="3"/>
        <charset val="128"/>
      </rPr>
      <t>平野</t>
    </r>
    <rPh sb="0" eb="2">
      <t>ヒラノ</t>
    </rPh>
    <phoneticPr fontId="4"/>
  </si>
  <si>
    <r>
      <rPr>
        <sz val="11"/>
        <rFont val="ＭＳ Ｐゴシック"/>
        <family val="3"/>
        <charset val="128"/>
      </rPr>
      <t>西成</t>
    </r>
    <rPh sb="0" eb="2">
      <t>ニシナリ</t>
    </rPh>
    <phoneticPr fontId="4"/>
  </si>
  <si>
    <r>
      <rPr>
        <sz val="11"/>
        <rFont val="ＭＳ Ｐゴシック"/>
        <family val="3"/>
        <charset val="128"/>
      </rPr>
      <t>合計</t>
    </r>
    <rPh sb="0" eb="2">
      <t>ゴウケイ</t>
    </rPh>
    <phoneticPr fontId="4"/>
  </si>
  <si>
    <r>
      <rPr>
        <sz val="11"/>
        <rFont val="ＭＳ Ｐゴシック"/>
        <family val="3"/>
        <charset val="128"/>
      </rPr>
      <t>道路種別、月別発生件数、死者数、傷者数</t>
    </r>
    <rPh sb="0" eb="2">
      <t>ドウロ</t>
    </rPh>
    <rPh sb="2" eb="4">
      <t>シュベツ</t>
    </rPh>
    <rPh sb="5" eb="7">
      <t>ツキベツ</t>
    </rPh>
    <rPh sb="7" eb="9">
      <t>ハッセイ</t>
    </rPh>
    <rPh sb="9" eb="11">
      <t>ケンスウ</t>
    </rPh>
    <rPh sb="12" eb="15">
      <t>シシャスウ</t>
    </rPh>
    <rPh sb="16" eb="18">
      <t>ショウシャ</t>
    </rPh>
    <rPh sb="18" eb="19">
      <t>スウ</t>
    </rPh>
    <phoneticPr fontId="4"/>
  </si>
  <si>
    <r>
      <rPr>
        <sz val="11"/>
        <rFont val="ＭＳ Ｐゴシック"/>
        <family val="3"/>
        <charset val="128"/>
      </rPr>
      <t>件　　数</t>
    </r>
    <rPh sb="0" eb="1">
      <t>ケン</t>
    </rPh>
    <rPh sb="3" eb="4">
      <t>カズ</t>
    </rPh>
    <phoneticPr fontId="4"/>
  </si>
  <si>
    <r>
      <rPr>
        <sz val="11"/>
        <rFont val="ＭＳ Ｐゴシック"/>
        <family val="3"/>
        <charset val="128"/>
      </rPr>
      <t>死　　者　　数</t>
    </r>
    <rPh sb="0" eb="1">
      <t>シ</t>
    </rPh>
    <rPh sb="3" eb="4">
      <t>シャ</t>
    </rPh>
    <rPh sb="6" eb="7">
      <t>スウ</t>
    </rPh>
    <phoneticPr fontId="4"/>
  </si>
  <si>
    <r>
      <rPr>
        <sz val="11"/>
        <rFont val="ＭＳ Ｐゴシック"/>
        <family val="3"/>
        <charset val="128"/>
      </rPr>
      <t>負　　傷　　者　　数</t>
    </r>
    <rPh sb="0" eb="1">
      <t>フ</t>
    </rPh>
    <rPh sb="3" eb="4">
      <t>キズ</t>
    </rPh>
    <rPh sb="6" eb="7">
      <t>シャ</t>
    </rPh>
    <rPh sb="9" eb="10">
      <t>スウ</t>
    </rPh>
    <phoneticPr fontId="4"/>
  </si>
  <si>
    <r>
      <rPr>
        <sz val="11"/>
        <rFont val="ＭＳ Ｐゴシック"/>
        <family val="3"/>
        <charset val="128"/>
      </rPr>
      <t>内　重　傷　者　数</t>
    </r>
    <phoneticPr fontId="4"/>
  </si>
  <si>
    <r>
      <rPr>
        <sz val="11"/>
        <rFont val="ＭＳ Ｐゴシック"/>
        <family val="3"/>
        <charset val="128"/>
      </rPr>
      <t>道路種別交通事故発生率推移</t>
    </r>
    <rPh sb="0" eb="2">
      <t>ドウロ</t>
    </rPh>
    <rPh sb="2" eb="4">
      <t>シュベツ</t>
    </rPh>
    <rPh sb="4" eb="6">
      <t>コウツウ</t>
    </rPh>
    <rPh sb="6" eb="8">
      <t>ジコ</t>
    </rPh>
    <rPh sb="8" eb="10">
      <t>ハッセイ</t>
    </rPh>
    <rPh sb="10" eb="11">
      <t>リツ</t>
    </rPh>
    <rPh sb="11" eb="13">
      <t>スイイ</t>
    </rPh>
    <phoneticPr fontId="4"/>
  </si>
  <si>
    <r>
      <rPr>
        <sz val="11"/>
        <rFont val="ＭＳ Ｐゴシック"/>
        <family val="3"/>
        <charset val="128"/>
      </rPr>
      <t>年別</t>
    </r>
    <rPh sb="0" eb="2">
      <t>ネンベツ</t>
    </rPh>
    <phoneticPr fontId="4"/>
  </si>
  <si>
    <r>
      <rPr>
        <sz val="11"/>
        <rFont val="ＭＳ Ｐゴシック"/>
        <family val="3"/>
        <charset val="128"/>
      </rPr>
      <t>昭和</t>
    </r>
    <r>
      <rPr>
        <sz val="11"/>
        <rFont val="Arial"/>
        <family val="2"/>
      </rPr>
      <t>46</t>
    </r>
    <rPh sb="0" eb="2">
      <t>ショウワ</t>
    </rPh>
    <phoneticPr fontId="4"/>
  </si>
  <si>
    <r>
      <rPr>
        <sz val="11"/>
        <rFont val="ＭＳ Ｐゴシック"/>
        <family val="3"/>
        <charset val="128"/>
      </rPr>
      <t>平成</t>
    </r>
    <r>
      <rPr>
        <sz val="11"/>
        <rFont val="Arial"/>
        <family val="2"/>
      </rPr>
      <t>28</t>
    </r>
    <rPh sb="0" eb="2">
      <t>ヘイセイ</t>
    </rPh>
    <phoneticPr fontId="4"/>
  </si>
  <si>
    <r>
      <rPr>
        <sz val="11"/>
        <rFont val="ＭＳ Ｐゴシック"/>
        <family val="3"/>
        <charset val="128"/>
      </rPr>
      <t>平成</t>
    </r>
    <r>
      <rPr>
        <sz val="11"/>
        <rFont val="Arial"/>
        <family val="2"/>
      </rPr>
      <t>29</t>
    </r>
    <rPh sb="0" eb="2">
      <t>ヘイセイ</t>
    </rPh>
    <phoneticPr fontId="4"/>
  </si>
  <si>
    <r>
      <rPr>
        <sz val="11"/>
        <rFont val="ＭＳ Ｐゴシック"/>
        <family val="3"/>
        <charset val="128"/>
      </rPr>
      <t>平成</t>
    </r>
    <r>
      <rPr>
        <sz val="11"/>
        <rFont val="Arial"/>
        <family val="2"/>
      </rPr>
      <t>30</t>
    </r>
    <rPh sb="0" eb="2">
      <t>ヘイセイ</t>
    </rPh>
    <phoneticPr fontId="4"/>
  </si>
  <si>
    <r>
      <rPr>
        <sz val="11"/>
        <rFont val="ＭＳ Ｐゴシック"/>
        <family val="3"/>
        <charset val="128"/>
      </rPr>
      <t>令和元</t>
    </r>
    <rPh sb="0" eb="2">
      <t>レイワ</t>
    </rPh>
    <rPh sb="2" eb="3">
      <t>モト</t>
    </rPh>
    <phoneticPr fontId="4"/>
  </si>
  <si>
    <r>
      <rPr>
        <sz val="11"/>
        <rFont val="ＭＳ Ｐゴシック"/>
        <family val="3"/>
        <charset val="128"/>
      </rPr>
      <t>令和２</t>
    </r>
    <rPh sb="0" eb="2">
      <t>レイワ</t>
    </rPh>
    <phoneticPr fontId="4"/>
  </si>
  <si>
    <r>
      <rPr>
        <sz val="11"/>
        <rFont val="ＭＳ Ｐゴシック"/>
        <family val="3"/>
        <charset val="128"/>
      </rPr>
      <t>令和３</t>
    </r>
    <rPh sb="0" eb="2">
      <t>レイワ</t>
    </rPh>
    <phoneticPr fontId="4"/>
  </si>
  <si>
    <r>
      <rPr>
        <sz val="11"/>
        <rFont val="ＭＳ Ｐゴシック"/>
        <family val="3"/>
        <charset val="128"/>
      </rPr>
      <t>令和４</t>
    </r>
    <rPh sb="0" eb="2">
      <t>レイワ</t>
    </rPh>
    <phoneticPr fontId="4"/>
  </si>
  <si>
    <r>
      <rPr>
        <sz val="11"/>
        <rFont val="ＭＳ Ｐゴシック"/>
        <family val="3"/>
        <charset val="128"/>
      </rPr>
      <t>令和５</t>
    </r>
    <r>
      <rPr>
        <sz val="11"/>
        <color theme="1"/>
        <rFont val="游ゴシック"/>
        <family val="2"/>
        <charset val="128"/>
        <scheme val="minor"/>
      </rPr>
      <t/>
    </r>
    <rPh sb="0" eb="2">
      <t>レイワ</t>
    </rPh>
    <phoneticPr fontId="4"/>
  </si>
  <si>
    <r>
      <rPr>
        <sz val="11"/>
        <rFont val="ＭＳ Ｐゴシック"/>
        <family val="3"/>
        <charset val="128"/>
      </rPr>
      <t>令和６</t>
    </r>
    <rPh sb="0" eb="2">
      <t>レイワ</t>
    </rPh>
    <phoneticPr fontId="4"/>
  </si>
  <si>
    <r>
      <rPr>
        <sz val="11"/>
        <rFont val="ＭＳ Ｐゴシック"/>
        <family val="3"/>
        <charset val="128"/>
      </rPr>
      <t>区分</t>
    </r>
    <rPh sb="0" eb="2">
      <t>クブン</t>
    </rPh>
    <phoneticPr fontId="4"/>
  </si>
  <si>
    <r>
      <rPr>
        <sz val="11"/>
        <rFont val="ＭＳ Ｐゴシック"/>
        <family val="3"/>
        <charset val="128"/>
      </rPr>
      <t>件
数</t>
    </r>
    <rPh sb="0" eb="1">
      <t>ケン</t>
    </rPh>
    <rPh sb="3" eb="4">
      <t>スウ</t>
    </rPh>
    <phoneticPr fontId="4"/>
  </si>
  <si>
    <r>
      <rPr>
        <sz val="11"/>
        <rFont val="ＭＳ Ｐゴシック"/>
        <family val="3"/>
        <charset val="128"/>
      </rPr>
      <t>死
者
数</t>
    </r>
    <rPh sb="0" eb="1">
      <t>シ</t>
    </rPh>
    <rPh sb="2" eb="3">
      <t>シャ</t>
    </rPh>
    <rPh sb="4" eb="5">
      <t>スウ</t>
    </rPh>
    <phoneticPr fontId="4"/>
  </si>
  <si>
    <r>
      <rPr>
        <sz val="11"/>
        <rFont val="ＭＳ Ｐゴシック"/>
        <family val="3"/>
        <charset val="128"/>
      </rPr>
      <t>負
傷
者
数</t>
    </r>
    <rPh sb="0" eb="1">
      <t>フ</t>
    </rPh>
    <rPh sb="2" eb="3">
      <t>キズ</t>
    </rPh>
    <rPh sb="4" eb="5">
      <t>モノ</t>
    </rPh>
    <rPh sb="6" eb="7">
      <t>スウ</t>
    </rPh>
    <phoneticPr fontId="4"/>
  </si>
  <si>
    <r>
      <rPr>
        <sz val="11"/>
        <rFont val="ＭＳ Ｐゴシック"/>
        <family val="3"/>
        <charset val="128"/>
      </rPr>
      <t>内重傷者数</t>
    </r>
    <phoneticPr fontId="4"/>
  </si>
  <si>
    <r>
      <rPr>
        <sz val="11"/>
        <rFont val="ＭＳ Ｐゴシック"/>
        <family val="3"/>
        <charset val="128"/>
      </rPr>
      <t>昼・夜間別発生状況対前年比</t>
    </r>
    <rPh sb="0" eb="1">
      <t>ヒル</t>
    </rPh>
    <rPh sb="2" eb="4">
      <t>ヤカン</t>
    </rPh>
    <rPh sb="4" eb="5">
      <t>ベツ</t>
    </rPh>
    <rPh sb="5" eb="7">
      <t>ハッセイ</t>
    </rPh>
    <rPh sb="7" eb="9">
      <t>ジョウキョウ</t>
    </rPh>
    <rPh sb="9" eb="10">
      <t>タイ</t>
    </rPh>
    <rPh sb="10" eb="13">
      <t>ゼンネンヒ</t>
    </rPh>
    <phoneticPr fontId="4"/>
  </si>
  <si>
    <r>
      <t>(</t>
    </r>
    <r>
      <rPr>
        <sz val="11"/>
        <rFont val="ＭＳ Ｐゴシック"/>
        <family val="3"/>
        <charset val="128"/>
      </rPr>
      <t>件</t>
    </r>
    <r>
      <rPr>
        <sz val="11"/>
        <rFont val="Arial"/>
        <family val="2"/>
      </rPr>
      <t>)</t>
    </r>
    <rPh sb="1" eb="2">
      <t>ケン</t>
    </rPh>
    <phoneticPr fontId="4"/>
  </si>
  <si>
    <r>
      <rPr>
        <sz val="11"/>
        <rFont val="ＭＳ Ｐゴシック"/>
        <family val="3"/>
        <charset val="128"/>
      </rPr>
      <t>死　者　数</t>
    </r>
    <rPh sb="0" eb="1">
      <t>シ</t>
    </rPh>
    <rPh sb="2" eb="3">
      <t>モノ</t>
    </rPh>
    <rPh sb="4" eb="5">
      <t>スウ</t>
    </rPh>
    <phoneticPr fontId="4"/>
  </si>
  <si>
    <r>
      <t>(</t>
    </r>
    <r>
      <rPr>
        <sz val="11"/>
        <rFont val="ＭＳ Ｐゴシック"/>
        <family val="3"/>
        <charset val="128"/>
      </rPr>
      <t>人</t>
    </r>
    <r>
      <rPr>
        <sz val="11"/>
        <rFont val="Arial"/>
        <family val="2"/>
      </rPr>
      <t>)</t>
    </r>
    <rPh sb="1" eb="2">
      <t>ヒト</t>
    </rPh>
    <phoneticPr fontId="4"/>
  </si>
  <si>
    <r>
      <rPr>
        <sz val="11"/>
        <rFont val="ＭＳ Ｐゴシック"/>
        <family val="3"/>
        <charset val="128"/>
      </rPr>
      <t>負　傷　者　数</t>
    </r>
    <rPh sb="0" eb="1">
      <t>フ</t>
    </rPh>
    <rPh sb="2" eb="3">
      <t>キズ</t>
    </rPh>
    <rPh sb="4" eb="5">
      <t>シャ</t>
    </rPh>
    <rPh sb="6" eb="7">
      <t>スウ</t>
    </rPh>
    <phoneticPr fontId="4"/>
  </si>
  <si>
    <r>
      <t>(</t>
    </r>
    <r>
      <rPr>
        <sz val="11"/>
        <rFont val="ＭＳ Ｐゴシック"/>
        <family val="3"/>
        <charset val="128"/>
      </rPr>
      <t>人</t>
    </r>
    <r>
      <rPr>
        <sz val="11"/>
        <rFont val="Arial"/>
        <family val="2"/>
      </rPr>
      <t>)</t>
    </r>
    <phoneticPr fontId="4"/>
  </si>
  <si>
    <r>
      <rPr>
        <sz val="11"/>
        <rFont val="ＭＳ Ｐゴシック"/>
        <family val="3"/>
        <charset val="128"/>
      </rPr>
      <t>総</t>
    </r>
    <r>
      <rPr>
        <sz val="11"/>
        <rFont val="Arial"/>
        <family val="2"/>
      </rPr>
      <t xml:space="preserve">   </t>
    </r>
    <r>
      <rPr>
        <sz val="11"/>
        <rFont val="ＭＳ Ｐゴシック"/>
        <family val="3"/>
        <charset val="128"/>
      </rPr>
      <t>数</t>
    </r>
    <rPh sb="0" eb="1">
      <t>フサ</t>
    </rPh>
    <rPh sb="4" eb="5">
      <t>カズ</t>
    </rPh>
    <phoneticPr fontId="4"/>
  </si>
  <si>
    <r>
      <rPr>
        <sz val="11"/>
        <rFont val="ＭＳ Ｐゴシック"/>
        <family val="3"/>
        <charset val="128"/>
      </rPr>
      <t>夜</t>
    </r>
    <rPh sb="0" eb="1">
      <t>ヨル</t>
    </rPh>
    <phoneticPr fontId="4"/>
  </si>
  <si>
    <r>
      <rPr>
        <sz val="11"/>
        <rFont val="ＭＳ Ｐゴシック"/>
        <family val="3"/>
        <charset val="128"/>
      </rPr>
      <t>間</t>
    </r>
    <rPh sb="0" eb="1">
      <t>アイダ</t>
    </rPh>
    <phoneticPr fontId="4"/>
  </si>
  <si>
    <r>
      <rPr>
        <sz val="11"/>
        <rFont val="ＭＳ Ｐゴシック"/>
        <family val="3"/>
        <charset val="128"/>
      </rPr>
      <t>昼間計</t>
    </r>
    <rPh sb="0" eb="2">
      <t>チュウカン</t>
    </rPh>
    <rPh sb="2" eb="3">
      <t>ケイ</t>
    </rPh>
    <phoneticPr fontId="4"/>
  </si>
  <si>
    <r>
      <rPr>
        <sz val="11"/>
        <rFont val="ＭＳ Ｐゴシック"/>
        <family val="3"/>
        <charset val="128"/>
      </rPr>
      <t>夜間計</t>
    </r>
    <rPh sb="0" eb="2">
      <t>ヤカン</t>
    </rPh>
    <rPh sb="2" eb="3">
      <t>ケイ</t>
    </rPh>
    <phoneticPr fontId="4"/>
  </si>
  <si>
    <r>
      <rPr>
        <sz val="11"/>
        <rFont val="ＭＳ Ｐゴシック"/>
        <family val="3"/>
        <charset val="128"/>
      </rPr>
      <t>総数</t>
    </r>
    <rPh sb="0" eb="2">
      <t>ソウスウ</t>
    </rPh>
    <phoneticPr fontId="4"/>
  </si>
  <si>
    <r>
      <rPr>
        <sz val="11"/>
        <rFont val="ＭＳ Ｐゴシック"/>
        <family val="3"/>
        <charset val="128"/>
      </rPr>
      <t>類型</t>
    </r>
    <rPh sb="0" eb="2">
      <t>ルイケイ</t>
    </rPh>
    <phoneticPr fontId="4"/>
  </si>
  <si>
    <r>
      <rPr>
        <sz val="11"/>
        <rFont val="ＭＳ Ｐゴシック"/>
        <family val="3"/>
        <charset val="128"/>
      </rPr>
      <t>人対車両</t>
    </r>
    <rPh sb="0" eb="1">
      <t>ジン</t>
    </rPh>
    <rPh sb="1" eb="2">
      <t>タイ</t>
    </rPh>
    <rPh sb="2" eb="4">
      <t>シャリョウ</t>
    </rPh>
    <phoneticPr fontId="4"/>
  </si>
  <si>
    <r>
      <rPr>
        <sz val="11"/>
        <rFont val="ＭＳ Ｐゴシック"/>
        <family val="3"/>
        <charset val="128"/>
      </rPr>
      <t>車両相互</t>
    </r>
    <rPh sb="0" eb="2">
      <t>シャリョウ</t>
    </rPh>
    <rPh sb="2" eb="4">
      <t>ソウゴ</t>
    </rPh>
    <phoneticPr fontId="4"/>
  </si>
  <si>
    <r>
      <rPr>
        <sz val="11"/>
        <rFont val="ＭＳ Ｐゴシック"/>
        <family val="3"/>
        <charset val="128"/>
      </rPr>
      <t>車両単独</t>
    </r>
    <rPh sb="0" eb="2">
      <t>シャリョウ</t>
    </rPh>
    <rPh sb="2" eb="4">
      <t>タンドク</t>
    </rPh>
    <phoneticPr fontId="4"/>
  </si>
  <si>
    <r>
      <rPr>
        <sz val="11"/>
        <rFont val="ＭＳ Ｐゴシック"/>
        <family val="3"/>
        <charset val="128"/>
      </rPr>
      <t>列車</t>
    </r>
    <rPh sb="0" eb="2">
      <t>レッシャ</t>
    </rPh>
    <phoneticPr fontId="4"/>
  </si>
  <si>
    <r>
      <rPr>
        <sz val="11"/>
        <rFont val="ＭＳ Ｐゴシック"/>
        <family val="3"/>
        <charset val="128"/>
      </rPr>
      <t>（件）</t>
    </r>
    <rPh sb="1" eb="2">
      <t>ケン</t>
    </rPh>
    <phoneticPr fontId="4"/>
  </si>
  <si>
    <r>
      <rPr>
        <sz val="11"/>
        <rFont val="ＭＳ Ｐゴシック"/>
        <family val="3"/>
        <charset val="128"/>
      </rPr>
      <t>増▲減</t>
    </r>
    <rPh sb="0" eb="1">
      <t>ゾウ</t>
    </rPh>
    <rPh sb="2" eb="3">
      <t>ゲン</t>
    </rPh>
    <phoneticPr fontId="4"/>
  </si>
  <si>
    <r>
      <rPr>
        <sz val="11"/>
        <rFont val="ＭＳ Ｐゴシック"/>
        <family val="3"/>
        <charset val="128"/>
      </rPr>
      <t>死者数</t>
    </r>
    <rPh sb="0" eb="2">
      <t>シシャ</t>
    </rPh>
    <rPh sb="2" eb="3">
      <t>スウ</t>
    </rPh>
    <phoneticPr fontId="4"/>
  </si>
  <si>
    <r>
      <rPr>
        <sz val="11"/>
        <rFont val="ＭＳ Ｐゴシック"/>
        <family val="3"/>
        <charset val="128"/>
      </rPr>
      <t>（人）</t>
    </r>
    <rPh sb="1" eb="2">
      <t>ヒト</t>
    </rPh>
    <phoneticPr fontId="4"/>
  </si>
  <si>
    <r>
      <rPr>
        <sz val="11"/>
        <rFont val="ＭＳ Ｐゴシック"/>
        <family val="3"/>
        <charset val="128"/>
      </rPr>
      <t>増▲減</t>
    </r>
    <phoneticPr fontId="4"/>
  </si>
  <si>
    <r>
      <rPr>
        <sz val="11"/>
        <rFont val="ＭＳ Ｐゴシック"/>
        <family val="3"/>
        <charset val="128"/>
      </rPr>
      <t>負傷者数</t>
    </r>
    <rPh sb="0" eb="3">
      <t>フショウシャ</t>
    </rPh>
    <rPh sb="3" eb="4">
      <t>スウ</t>
    </rPh>
    <phoneticPr fontId="4"/>
  </si>
  <si>
    <r>
      <rPr>
        <sz val="11"/>
        <rFont val="ＭＳ Ｐゴシック"/>
        <family val="3"/>
        <charset val="128"/>
      </rPr>
      <t>内重傷者数</t>
    </r>
    <rPh sb="0" eb="1">
      <t>ウチ</t>
    </rPh>
    <rPh sb="1" eb="4">
      <t>ジュウショウシャ</t>
    </rPh>
    <rPh sb="4" eb="5">
      <t>スウ</t>
    </rPh>
    <phoneticPr fontId="4"/>
  </si>
  <si>
    <r>
      <rPr>
        <sz val="11"/>
        <rFont val="ＭＳ Ｐゴシック"/>
        <family val="3"/>
        <charset val="128"/>
      </rPr>
      <t>件</t>
    </r>
    <r>
      <rPr>
        <sz val="11"/>
        <rFont val="Arial"/>
        <family val="2"/>
      </rPr>
      <t xml:space="preserve">    </t>
    </r>
    <r>
      <rPr>
        <sz val="11"/>
        <rFont val="ＭＳ Ｐゴシック"/>
        <family val="3"/>
        <charset val="128"/>
      </rPr>
      <t>数</t>
    </r>
    <rPh sb="0" eb="1">
      <t>ケン</t>
    </rPh>
    <rPh sb="5" eb="6">
      <t>カズ</t>
    </rPh>
    <phoneticPr fontId="4"/>
  </si>
  <si>
    <r>
      <rPr>
        <sz val="11"/>
        <rFont val="ＭＳ Ｐゴシック"/>
        <family val="3"/>
        <charset val="128"/>
      </rPr>
      <t>負傷者数</t>
    </r>
    <rPh sb="0" eb="1">
      <t>フ</t>
    </rPh>
    <rPh sb="1" eb="2">
      <t>キズ</t>
    </rPh>
    <rPh sb="2" eb="3">
      <t>モノ</t>
    </rPh>
    <rPh sb="3" eb="4">
      <t>スウ</t>
    </rPh>
    <phoneticPr fontId="4"/>
  </si>
  <si>
    <r>
      <rPr>
        <sz val="11"/>
        <rFont val="ＭＳ Ｐゴシック"/>
        <family val="3"/>
        <charset val="128"/>
      </rPr>
      <t>内重傷者数</t>
    </r>
    <rPh sb="0" eb="1">
      <t>ウチ</t>
    </rPh>
    <rPh sb="1" eb="5">
      <t>ジュウショウシャスウ</t>
    </rPh>
    <phoneticPr fontId="4"/>
  </si>
  <si>
    <r>
      <rPr>
        <sz val="11"/>
        <rFont val="ＭＳ Ｐゴシック"/>
        <family val="3"/>
        <charset val="128"/>
      </rPr>
      <t>（人）</t>
    </r>
    <rPh sb="1" eb="2">
      <t>ニン</t>
    </rPh>
    <phoneticPr fontId="4"/>
  </si>
  <si>
    <r>
      <rPr>
        <sz val="11"/>
        <rFont val="ＭＳ Ｐゴシック"/>
        <family val="3"/>
        <charset val="128"/>
      </rPr>
      <t>　　総　　数</t>
    </r>
    <rPh sb="2" eb="3">
      <t>ソウ</t>
    </rPh>
    <rPh sb="5" eb="6">
      <t>スウ</t>
    </rPh>
    <phoneticPr fontId="4"/>
  </si>
  <si>
    <r>
      <rPr>
        <sz val="11"/>
        <rFont val="ＭＳ Ｐゴシック"/>
        <family val="3"/>
        <charset val="128"/>
      </rPr>
      <t>対面通行中</t>
    </r>
    <rPh sb="0" eb="2">
      <t>タイメン</t>
    </rPh>
    <rPh sb="2" eb="5">
      <t>ツウコウチュウ</t>
    </rPh>
    <phoneticPr fontId="4"/>
  </si>
  <si>
    <r>
      <rPr>
        <sz val="11"/>
        <rFont val="ＭＳ Ｐゴシック"/>
        <family val="3"/>
        <charset val="128"/>
      </rPr>
      <t>背面通行中</t>
    </r>
    <rPh sb="0" eb="2">
      <t>ハイメン</t>
    </rPh>
    <rPh sb="2" eb="5">
      <t>ツウコウチュウ</t>
    </rPh>
    <phoneticPr fontId="4"/>
  </si>
  <si>
    <r>
      <rPr>
        <sz val="11"/>
        <rFont val="ＭＳ Ｐゴシック"/>
        <family val="3"/>
        <charset val="128"/>
      </rPr>
      <t>横
断
中</t>
    </r>
    <rPh sb="0" eb="1">
      <t>ヨコ</t>
    </rPh>
    <rPh sb="2" eb="3">
      <t>ダン</t>
    </rPh>
    <rPh sb="4" eb="5">
      <t>ナカ</t>
    </rPh>
    <phoneticPr fontId="4"/>
  </si>
  <si>
    <r>
      <rPr>
        <sz val="11"/>
        <rFont val="ＭＳ Ｐゴシック"/>
        <family val="3"/>
        <charset val="128"/>
      </rPr>
      <t>横断歩道</t>
    </r>
    <rPh sb="0" eb="2">
      <t>オウダン</t>
    </rPh>
    <rPh sb="2" eb="4">
      <t>ホドウ</t>
    </rPh>
    <phoneticPr fontId="4"/>
  </si>
  <si>
    <r>
      <rPr>
        <sz val="11"/>
        <rFont val="ＭＳ Ｐゴシック"/>
        <family val="3"/>
        <charset val="128"/>
      </rPr>
      <t>横断歩道付近</t>
    </r>
    <rPh sb="0" eb="2">
      <t>オウダン</t>
    </rPh>
    <rPh sb="2" eb="4">
      <t>ホドウ</t>
    </rPh>
    <rPh sb="4" eb="6">
      <t>フキン</t>
    </rPh>
    <phoneticPr fontId="4"/>
  </si>
  <si>
    <r>
      <rPr>
        <sz val="11"/>
        <rFont val="ＭＳ Ｐゴシック"/>
        <family val="3"/>
        <charset val="128"/>
      </rPr>
      <t>横断歩道橋付近</t>
    </r>
    <rPh sb="0" eb="2">
      <t>オウダン</t>
    </rPh>
    <rPh sb="2" eb="4">
      <t>ホドウ</t>
    </rPh>
    <rPh sb="4" eb="5">
      <t>ハシ</t>
    </rPh>
    <rPh sb="5" eb="7">
      <t>フキン</t>
    </rPh>
    <phoneticPr fontId="4"/>
  </si>
  <si>
    <r>
      <rPr>
        <sz val="11"/>
        <rFont val="ＭＳ Ｐゴシック"/>
        <family val="3"/>
        <charset val="128"/>
      </rPr>
      <t>その他</t>
    </r>
    <rPh sb="2" eb="3">
      <t>タ</t>
    </rPh>
    <phoneticPr fontId="4"/>
  </si>
  <si>
    <r>
      <rPr>
        <sz val="11"/>
        <rFont val="ＭＳ Ｐゴシック"/>
        <family val="3"/>
        <charset val="128"/>
      </rPr>
      <t>路上遊戯中</t>
    </r>
    <rPh sb="0" eb="2">
      <t>ロジョウ</t>
    </rPh>
    <rPh sb="2" eb="5">
      <t>ユウギチュウ</t>
    </rPh>
    <phoneticPr fontId="4"/>
  </si>
  <si>
    <r>
      <rPr>
        <sz val="11"/>
        <rFont val="ＭＳ Ｐゴシック"/>
        <family val="3"/>
        <charset val="128"/>
      </rPr>
      <t>路上作業中</t>
    </r>
    <rPh sb="0" eb="2">
      <t>ロジョウ</t>
    </rPh>
    <rPh sb="2" eb="4">
      <t>サギョウ</t>
    </rPh>
    <rPh sb="4" eb="5">
      <t>チュウ</t>
    </rPh>
    <phoneticPr fontId="4"/>
  </si>
  <si>
    <r>
      <rPr>
        <sz val="11"/>
        <rFont val="ＭＳ Ｐゴシック"/>
        <family val="3"/>
        <charset val="128"/>
      </rPr>
      <t>路上停止中</t>
    </r>
    <rPh sb="0" eb="1">
      <t>ロ</t>
    </rPh>
    <rPh sb="1" eb="2">
      <t>ウエ</t>
    </rPh>
    <rPh sb="2" eb="4">
      <t>テイシ</t>
    </rPh>
    <rPh sb="4" eb="5">
      <t>チュウ</t>
    </rPh>
    <phoneticPr fontId="4"/>
  </si>
  <si>
    <r>
      <rPr>
        <sz val="11"/>
        <rFont val="ＭＳ Ｐゴシック"/>
        <family val="3"/>
        <charset val="128"/>
      </rPr>
      <t>正面衝突</t>
    </r>
    <rPh sb="0" eb="2">
      <t>ショウメン</t>
    </rPh>
    <rPh sb="2" eb="4">
      <t>ショウトツ</t>
    </rPh>
    <phoneticPr fontId="4"/>
  </si>
  <si>
    <r>
      <rPr>
        <sz val="11"/>
        <rFont val="ＭＳ Ｐゴシック"/>
        <family val="3"/>
        <charset val="128"/>
      </rPr>
      <t>追
突</t>
    </r>
    <rPh sb="0" eb="1">
      <t>ツイ</t>
    </rPh>
    <rPh sb="2" eb="3">
      <t>ヅキ</t>
    </rPh>
    <phoneticPr fontId="4"/>
  </si>
  <si>
    <r>
      <rPr>
        <sz val="11"/>
        <rFont val="ＭＳ Ｐゴシック"/>
        <family val="3"/>
        <charset val="128"/>
      </rPr>
      <t>進行中</t>
    </r>
    <rPh sb="0" eb="3">
      <t>シンコウチュウ</t>
    </rPh>
    <phoneticPr fontId="4"/>
  </si>
  <si>
    <r>
      <rPr>
        <sz val="11"/>
        <rFont val="ＭＳ Ｐゴシック"/>
        <family val="3"/>
        <charset val="128"/>
      </rPr>
      <t>追越追抜時</t>
    </r>
    <rPh sb="0" eb="1">
      <t>オ</t>
    </rPh>
    <rPh sb="1" eb="2">
      <t>コ</t>
    </rPh>
    <rPh sb="2" eb="3">
      <t>オ</t>
    </rPh>
    <rPh sb="3" eb="4">
      <t>ヌ</t>
    </rPh>
    <rPh sb="4" eb="5">
      <t>ジ</t>
    </rPh>
    <phoneticPr fontId="4"/>
  </si>
  <si>
    <r>
      <rPr>
        <sz val="11"/>
        <rFont val="ＭＳ Ｐゴシック"/>
        <family val="3"/>
        <charset val="128"/>
      </rPr>
      <t>すれ違い時</t>
    </r>
    <rPh sb="2" eb="3">
      <t>チガ</t>
    </rPh>
    <rPh sb="4" eb="5">
      <t>ジ</t>
    </rPh>
    <phoneticPr fontId="4"/>
  </si>
  <si>
    <r>
      <rPr>
        <sz val="11"/>
        <rFont val="ＭＳ Ｐゴシック"/>
        <family val="3"/>
        <charset val="128"/>
      </rPr>
      <t>左折時</t>
    </r>
    <rPh sb="0" eb="2">
      <t>サセツ</t>
    </rPh>
    <rPh sb="2" eb="3">
      <t>ジ</t>
    </rPh>
    <phoneticPr fontId="4"/>
  </si>
  <si>
    <r>
      <rPr>
        <sz val="11"/>
        <rFont val="ＭＳ Ｐゴシック"/>
        <family val="3"/>
        <charset val="128"/>
      </rPr>
      <t>右折時</t>
    </r>
    <rPh sb="0" eb="2">
      <t>ウセツ</t>
    </rPh>
    <rPh sb="2" eb="3">
      <t>ジ</t>
    </rPh>
    <phoneticPr fontId="4"/>
  </si>
  <si>
    <r>
      <rPr>
        <sz val="11"/>
        <rFont val="ＭＳ Ｐゴシック"/>
        <family val="3"/>
        <charset val="128"/>
      </rPr>
      <t>工
作
物
衝
突</t>
    </r>
    <rPh sb="0" eb="1">
      <t>コウ</t>
    </rPh>
    <rPh sb="2" eb="3">
      <t>サク</t>
    </rPh>
    <rPh sb="4" eb="5">
      <t>モノ</t>
    </rPh>
    <rPh sb="6" eb="7">
      <t>ショウ</t>
    </rPh>
    <rPh sb="8" eb="9">
      <t>ヅキ</t>
    </rPh>
    <phoneticPr fontId="4"/>
  </si>
  <si>
    <r>
      <rPr>
        <sz val="11"/>
        <rFont val="ＭＳ Ｐゴシック"/>
        <family val="3"/>
        <charset val="128"/>
      </rPr>
      <t>電柱</t>
    </r>
    <rPh sb="0" eb="2">
      <t>デンチュウ</t>
    </rPh>
    <phoneticPr fontId="4"/>
  </si>
  <si>
    <r>
      <rPr>
        <sz val="11"/>
        <rFont val="ＭＳ Ｐゴシック"/>
        <family val="3"/>
        <charset val="128"/>
      </rPr>
      <t>標識</t>
    </r>
    <rPh sb="0" eb="2">
      <t>ヒョウシキ</t>
    </rPh>
    <phoneticPr fontId="4"/>
  </si>
  <si>
    <r>
      <rPr>
        <sz val="11"/>
        <rFont val="ＭＳ Ｐゴシック"/>
        <family val="3"/>
        <charset val="128"/>
      </rPr>
      <t>分離帯・安全島</t>
    </r>
    <rPh sb="0" eb="3">
      <t>ブンリタイ</t>
    </rPh>
    <rPh sb="4" eb="6">
      <t>アンゼン</t>
    </rPh>
    <rPh sb="6" eb="7">
      <t>シマ</t>
    </rPh>
    <phoneticPr fontId="4"/>
  </si>
  <si>
    <r>
      <rPr>
        <sz val="11"/>
        <rFont val="ＭＳ Ｐゴシック"/>
        <family val="3"/>
        <charset val="128"/>
      </rPr>
      <t>防護柵等</t>
    </r>
    <rPh sb="0" eb="2">
      <t>ボウゴ</t>
    </rPh>
    <rPh sb="2" eb="3">
      <t>サク</t>
    </rPh>
    <rPh sb="3" eb="4">
      <t>ナド</t>
    </rPh>
    <phoneticPr fontId="4"/>
  </si>
  <si>
    <r>
      <rPr>
        <sz val="11"/>
        <rFont val="ＭＳ Ｐゴシック"/>
        <family val="3"/>
        <charset val="128"/>
      </rPr>
      <t>路外逸脱</t>
    </r>
    <rPh sb="0" eb="1">
      <t>ロ</t>
    </rPh>
    <rPh sb="1" eb="2">
      <t>ガイ</t>
    </rPh>
    <rPh sb="2" eb="4">
      <t>イツダツ</t>
    </rPh>
    <phoneticPr fontId="4"/>
  </si>
  <si>
    <r>
      <rPr>
        <sz val="11"/>
        <rFont val="ＭＳ Ｐゴシック"/>
        <family val="3"/>
        <charset val="128"/>
      </rPr>
      <t>駐車車両衝突（運転者不在）</t>
    </r>
    <rPh sb="0" eb="2">
      <t>チュウシャ</t>
    </rPh>
    <rPh sb="2" eb="4">
      <t>シャリョウ</t>
    </rPh>
    <rPh sb="4" eb="6">
      <t>ショウトツ</t>
    </rPh>
    <rPh sb="7" eb="10">
      <t>ウンテンシャ</t>
    </rPh>
    <rPh sb="10" eb="12">
      <t>フザイ</t>
    </rPh>
    <phoneticPr fontId="4"/>
  </si>
  <si>
    <r>
      <rPr>
        <sz val="11"/>
        <rFont val="ＭＳ Ｐゴシック"/>
        <family val="3"/>
        <charset val="128"/>
      </rPr>
      <t>転倒</t>
    </r>
    <rPh sb="0" eb="2">
      <t>テントウ</t>
    </rPh>
    <phoneticPr fontId="4"/>
  </si>
  <si>
    <r>
      <rPr>
        <sz val="11"/>
        <rFont val="ＭＳ Ｐゴシック"/>
        <family val="3"/>
        <charset val="128"/>
      </rPr>
      <t>　　列　　車</t>
    </r>
    <rPh sb="2" eb="3">
      <t>レツ</t>
    </rPh>
    <rPh sb="5" eb="6">
      <t>クルマ</t>
    </rPh>
    <phoneticPr fontId="4"/>
  </si>
  <si>
    <t>R7</t>
    <phoneticPr fontId="4"/>
  </si>
  <si>
    <t>R6</t>
    <phoneticPr fontId="4"/>
  </si>
  <si>
    <r>
      <rPr>
        <sz val="11"/>
        <rFont val="ＭＳ Ｐゴシック"/>
        <family val="3"/>
        <charset val="128"/>
      </rPr>
      <t>信号の有無</t>
    </r>
    <rPh sb="0" eb="2">
      <t>シンゴウ</t>
    </rPh>
    <rPh sb="3" eb="5">
      <t>ウム</t>
    </rPh>
    <phoneticPr fontId="4"/>
  </si>
  <si>
    <r>
      <rPr>
        <sz val="11"/>
        <rFont val="ＭＳ Ｐゴシック"/>
        <family val="3"/>
        <charset val="128"/>
      </rPr>
      <t>信</t>
    </r>
    <r>
      <rPr>
        <sz val="11"/>
        <rFont val="Arial"/>
        <family val="2"/>
      </rPr>
      <t xml:space="preserve">   </t>
    </r>
    <r>
      <rPr>
        <sz val="11"/>
        <rFont val="ＭＳ Ｐゴシック"/>
        <family val="3"/>
        <charset val="128"/>
      </rPr>
      <t>号</t>
    </r>
    <r>
      <rPr>
        <sz val="11"/>
        <rFont val="Arial"/>
        <family val="2"/>
      </rPr>
      <t xml:space="preserve">   </t>
    </r>
    <r>
      <rPr>
        <sz val="11"/>
        <rFont val="ＭＳ Ｐゴシック"/>
        <family val="3"/>
        <charset val="128"/>
      </rPr>
      <t>有</t>
    </r>
    <rPh sb="0" eb="1">
      <t>シン</t>
    </rPh>
    <rPh sb="4" eb="5">
      <t>ゴウ</t>
    </rPh>
    <rPh sb="8" eb="9">
      <t>ア</t>
    </rPh>
    <phoneticPr fontId="4"/>
  </si>
  <si>
    <r>
      <rPr>
        <sz val="11"/>
        <rFont val="ＭＳ Ｐゴシック"/>
        <family val="3"/>
        <charset val="128"/>
      </rPr>
      <t>信</t>
    </r>
    <r>
      <rPr>
        <sz val="11"/>
        <rFont val="Arial"/>
        <family val="2"/>
      </rPr>
      <t xml:space="preserve">   </t>
    </r>
    <r>
      <rPr>
        <sz val="11"/>
        <rFont val="ＭＳ Ｐゴシック"/>
        <family val="3"/>
        <charset val="128"/>
      </rPr>
      <t>号</t>
    </r>
    <r>
      <rPr>
        <sz val="11"/>
        <rFont val="Arial"/>
        <family val="2"/>
      </rPr>
      <t xml:space="preserve">   </t>
    </r>
    <r>
      <rPr>
        <sz val="11"/>
        <rFont val="ＭＳ Ｐゴシック"/>
        <family val="3"/>
        <charset val="128"/>
      </rPr>
      <t>無</t>
    </r>
    <rPh sb="0" eb="1">
      <t>シン</t>
    </rPh>
    <rPh sb="4" eb="5">
      <t>ゴウ</t>
    </rPh>
    <rPh sb="8" eb="9">
      <t>ナシ</t>
    </rPh>
    <phoneticPr fontId="4"/>
  </si>
  <si>
    <r>
      <rPr>
        <sz val="11"/>
        <rFont val="ＭＳ Ｐゴシック"/>
        <family val="3"/>
        <charset val="128"/>
      </rPr>
      <t>負傷者数</t>
    </r>
    <rPh sb="0" eb="1">
      <t>フ</t>
    </rPh>
    <rPh sb="1" eb="3">
      <t>ショウシャ</t>
    </rPh>
    <rPh sb="3" eb="4">
      <t>スウ</t>
    </rPh>
    <phoneticPr fontId="4"/>
  </si>
  <si>
    <r>
      <rPr>
        <sz val="11"/>
        <rFont val="ＭＳ Ｐゴシック"/>
        <family val="3"/>
        <charset val="128"/>
      </rPr>
      <t>件数</t>
    </r>
  </si>
  <si>
    <r>
      <rPr>
        <sz val="11"/>
        <rFont val="ＭＳ Ｐゴシック"/>
        <family val="3"/>
        <charset val="128"/>
      </rPr>
      <t>死者数</t>
    </r>
  </si>
  <si>
    <r>
      <rPr>
        <sz val="11"/>
        <rFont val="ＭＳ Ｐゴシック"/>
        <family val="3"/>
        <charset val="128"/>
      </rPr>
      <t>負傷者数</t>
    </r>
  </si>
  <si>
    <r>
      <rPr>
        <sz val="11"/>
        <rFont val="ＭＳ Ｐゴシック"/>
        <family val="3"/>
        <charset val="128"/>
      </rPr>
      <t>総　　　　数</t>
    </r>
    <rPh sb="0" eb="1">
      <t>フサ</t>
    </rPh>
    <rPh sb="5" eb="6">
      <t>カズ</t>
    </rPh>
    <phoneticPr fontId="4"/>
  </si>
  <si>
    <r>
      <rPr>
        <sz val="11"/>
        <rFont val="ＭＳ Ｐゴシック"/>
        <family val="3"/>
        <charset val="128"/>
      </rPr>
      <t>人</t>
    </r>
    <r>
      <rPr>
        <sz val="11"/>
        <rFont val="Arial"/>
        <family val="2"/>
      </rPr>
      <t xml:space="preserve">  </t>
    </r>
    <r>
      <rPr>
        <sz val="11"/>
        <rFont val="ＭＳ Ｐゴシック"/>
        <family val="3"/>
        <charset val="128"/>
      </rPr>
      <t>対</t>
    </r>
    <r>
      <rPr>
        <sz val="11"/>
        <rFont val="Arial"/>
        <family val="2"/>
      </rPr>
      <t xml:space="preserve">  </t>
    </r>
    <r>
      <rPr>
        <sz val="11"/>
        <rFont val="ＭＳ Ｐゴシック"/>
        <family val="3"/>
        <charset val="128"/>
      </rPr>
      <t>車</t>
    </r>
    <r>
      <rPr>
        <sz val="11"/>
        <rFont val="Arial"/>
        <family val="2"/>
      </rPr>
      <t xml:space="preserve">  </t>
    </r>
    <r>
      <rPr>
        <sz val="11"/>
        <rFont val="ＭＳ Ｐゴシック"/>
        <family val="3"/>
        <charset val="128"/>
      </rPr>
      <t>両</t>
    </r>
    <rPh sb="0" eb="1">
      <t>ジン</t>
    </rPh>
    <rPh sb="3" eb="4">
      <t>タイ</t>
    </rPh>
    <rPh sb="6" eb="7">
      <t>クルマ</t>
    </rPh>
    <rPh sb="9" eb="10">
      <t>リョウ</t>
    </rPh>
    <phoneticPr fontId="4"/>
  </si>
  <si>
    <r>
      <rPr>
        <sz val="11"/>
        <rFont val="ＭＳ Ｐゴシック"/>
        <family val="3"/>
        <charset val="128"/>
      </rPr>
      <t>横断歩道横断中</t>
    </r>
    <rPh sb="0" eb="2">
      <t>オウダン</t>
    </rPh>
    <rPh sb="2" eb="4">
      <t>ホドウ</t>
    </rPh>
    <rPh sb="4" eb="7">
      <t>オウダンチュウ</t>
    </rPh>
    <phoneticPr fontId="4"/>
  </si>
  <si>
    <r>
      <rPr>
        <sz val="11"/>
        <rFont val="ＭＳ Ｐゴシック"/>
        <family val="3"/>
        <charset val="128"/>
      </rPr>
      <t>その他横断中</t>
    </r>
    <rPh sb="2" eb="3">
      <t>タ</t>
    </rPh>
    <rPh sb="3" eb="6">
      <t>オウダンチュウ</t>
    </rPh>
    <phoneticPr fontId="4"/>
  </si>
  <si>
    <r>
      <rPr>
        <sz val="11"/>
        <rFont val="ＭＳ Ｐゴシック"/>
        <family val="3"/>
        <charset val="128"/>
      </rPr>
      <t>車</t>
    </r>
    <r>
      <rPr>
        <sz val="11"/>
        <rFont val="Arial"/>
        <family val="2"/>
      </rPr>
      <t xml:space="preserve">  </t>
    </r>
    <r>
      <rPr>
        <sz val="11"/>
        <rFont val="ＭＳ Ｐゴシック"/>
        <family val="3"/>
        <charset val="128"/>
      </rPr>
      <t>両</t>
    </r>
    <r>
      <rPr>
        <sz val="11"/>
        <rFont val="Arial"/>
        <family val="2"/>
      </rPr>
      <t xml:space="preserve">  </t>
    </r>
    <r>
      <rPr>
        <sz val="11"/>
        <rFont val="ＭＳ Ｐゴシック"/>
        <family val="3"/>
        <charset val="128"/>
      </rPr>
      <t>相</t>
    </r>
    <r>
      <rPr>
        <sz val="11"/>
        <rFont val="Arial"/>
        <family val="2"/>
      </rPr>
      <t xml:space="preserve">  </t>
    </r>
    <r>
      <rPr>
        <sz val="11"/>
        <rFont val="ＭＳ Ｐゴシック"/>
        <family val="3"/>
        <charset val="128"/>
      </rPr>
      <t>互</t>
    </r>
    <rPh sb="0" eb="1">
      <t>クルマ</t>
    </rPh>
    <rPh sb="3" eb="4">
      <t>リョウ</t>
    </rPh>
    <rPh sb="6" eb="7">
      <t>ソウ</t>
    </rPh>
    <rPh sb="9" eb="10">
      <t>ゴ</t>
    </rPh>
    <phoneticPr fontId="4"/>
  </si>
  <si>
    <r>
      <rPr>
        <sz val="11"/>
        <rFont val="ＭＳ Ｐゴシック"/>
        <family val="3"/>
        <charset val="128"/>
      </rPr>
      <t>出合頭</t>
    </r>
    <rPh sb="0" eb="2">
      <t>デアイ</t>
    </rPh>
    <rPh sb="2" eb="3">
      <t>ガシラ</t>
    </rPh>
    <phoneticPr fontId="4"/>
  </si>
  <si>
    <r>
      <rPr>
        <sz val="11"/>
        <rFont val="ＭＳ Ｐゴシック"/>
        <family val="3"/>
        <charset val="128"/>
      </rPr>
      <t>右折</t>
    </r>
    <rPh sb="0" eb="2">
      <t>ウセツ</t>
    </rPh>
    <phoneticPr fontId="4"/>
  </si>
  <si>
    <r>
      <rPr>
        <sz val="11"/>
        <rFont val="ＭＳ Ｐゴシック"/>
        <family val="3"/>
        <charset val="128"/>
      </rPr>
      <t>左折</t>
    </r>
    <rPh sb="0" eb="2">
      <t>サセツ</t>
    </rPh>
    <phoneticPr fontId="4"/>
  </si>
  <si>
    <r>
      <rPr>
        <sz val="11"/>
        <rFont val="ＭＳ Ｐゴシック"/>
        <family val="3"/>
        <charset val="128"/>
      </rPr>
      <t>追突</t>
    </r>
    <rPh sb="0" eb="2">
      <t>ツイトツ</t>
    </rPh>
    <phoneticPr fontId="4"/>
  </si>
  <si>
    <r>
      <rPr>
        <sz val="11"/>
        <rFont val="ＭＳ Ｐゴシック"/>
        <family val="3"/>
        <charset val="128"/>
      </rPr>
      <t>追い越し</t>
    </r>
    <rPh sb="0" eb="1">
      <t>オ</t>
    </rPh>
    <rPh sb="2" eb="3">
      <t>コ</t>
    </rPh>
    <phoneticPr fontId="4"/>
  </si>
  <si>
    <r>
      <rPr>
        <sz val="11"/>
        <rFont val="ＭＳ Ｐゴシック"/>
        <family val="3"/>
        <charset val="128"/>
      </rPr>
      <t>車</t>
    </r>
    <r>
      <rPr>
        <sz val="11"/>
        <rFont val="Arial"/>
        <family val="2"/>
      </rPr>
      <t xml:space="preserve">  </t>
    </r>
    <r>
      <rPr>
        <sz val="11"/>
        <rFont val="ＭＳ Ｐゴシック"/>
        <family val="3"/>
        <charset val="128"/>
      </rPr>
      <t>両</t>
    </r>
    <r>
      <rPr>
        <sz val="11"/>
        <rFont val="Arial"/>
        <family val="2"/>
      </rPr>
      <t xml:space="preserve">  </t>
    </r>
    <r>
      <rPr>
        <sz val="11"/>
        <rFont val="ＭＳ Ｐゴシック"/>
        <family val="3"/>
        <charset val="128"/>
      </rPr>
      <t>単</t>
    </r>
    <r>
      <rPr>
        <sz val="11"/>
        <rFont val="Arial"/>
        <family val="2"/>
      </rPr>
      <t xml:space="preserve">  </t>
    </r>
    <r>
      <rPr>
        <sz val="11"/>
        <rFont val="ＭＳ Ｐゴシック"/>
        <family val="3"/>
        <charset val="128"/>
      </rPr>
      <t>独</t>
    </r>
    <rPh sb="0" eb="1">
      <t>クルマ</t>
    </rPh>
    <rPh sb="3" eb="4">
      <t>リョウ</t>
    </rPh>
    <rPh sb="6" eb="7">
      <t>タン</t>
    </rPh>
    <rPh sb="9" eb="10">
      <t>ドク</t>
    </rPh>
    <phoneticPr fontId="4"/>
  </si>
  <si>
    <r>
      <rPr>
        <sz val="11"/>
        <rFont val="ＭＳ Ｐゴシック"/>
        <family val="3"/>
        <charset val="128"/>
      </rPr>
      <t>　</t>
    </r>
    <phoneticPr fontId="4"/>
  </si>
  <si>
    <r>
      <rPr>
        <sz val="11"/>
        <rFont val="ＭＳ Ｐゴシック"/>
        <family val="3"/>
        <charset val="128"/>
      </rPr>
      <t>工作物衝突</t>
    </r>
    <rPh sb="0" eb="3">
      <t>コウサクブツ</t>
    </rPh>
    <rPh sb="3" eb="5">
      <t>ショウトツ</t>
    </rPh>
    <phoneticPr fontId="4"/>
  </si>
  <si>
    <r>
      <rPr>
        <sz val="11"/>
        <rFont val="ＭＳ Ｐゴシック"/>
        <family val="3"/>
        <charset val="128"/>
      </rPr>
      <t>列</t>
    </r>
    <r>
      <rPr>
        <sz val="11"/>
        <rFont val="Arial"/>
        <family val="2"/>
      </rPr>
      <t xml:space="preserve">         </t>
    </r>
    <r>
      <rPr>
        <sz val="11"/>
        <rFont val="ＭＳ Ｐゴシック"/>
        <family val="3"/>
        <charset val="128"/>
      </rPr>
      <t>車</t>
    </r>
    <rPh sb="0" eb="1">
      <t>レツ</t>
    </rPh>
    <rPh sb="10" eb="11">
      <t>クルマ</t>
    </rPh>
    <phoneticPr fontId="4"/>
  </si>
  <si>
    <r>
      <rPr>
        <sz val="11"/>
        <rFont val="ＭＳ Ｐゴシック"/>
        <family val="3"/>
        <charset val="128"/>
      </rPr>
      <t>信号無視</t>
    </r>
    <rPh sb="0" eb="2">
      <t>シンゴウ</t>
    </rPh>
    <rPh sb="2" eb="4">
      <t>ムシ</t>
    </rPh>
    <phoneticPr fontId="4"/>
  </si>
  <si>
    <r>
      <rPr>
        <sz val="11"/>
        <rFont val="ＭＳ Ｐゴシック"/>
        <family val="3"/>
        <charset val="128"/>
      </rPr>
      <t>通行禁止</t>
    </r>
    <rPh sb="0" eb="2">
      <t>ツウコウ</t>
    </rPh>
    <rPh sb="2" eb="4">
      <t>キンシ</t>
    </rPh>
    <phoneticPr fontId="4"/>
  </si>
  <si>
    <r>
      <rPr>
        <sz val="11"/>
        <rFont val="ＭＳ Ｐゴシック"/>
        <family val="3"/>
        <charset val="128"/>
      </rPr>
      <t>通行区分</t>
    </r>
    <rPh sb="0" eb="2">
      <t>ツウコウ</t>
    </rPh>
    <rPh sb="2" eb="4">
      <t>クブン</t>
    </rPh>
    <phoneticPr fontId="4"/>
  </si>
  <si>
    <r>
      <rPr>
        <sz val="11"/>
        <rFont val="ＭＳ Ｐゴシック"/>
        <family val="3"/>
        <charset val="128"/>
      </rPr>
      <t>車</t>
    </r>
    <rPh sb="0" eb="1">
      <t>シャ</t>
    </rPh>
    <phoneticPr fontId="4"/>
  </si>
  <si>
    <r>
      <rPr>
        <sz val="11"/>
        <rFont val="ＭＳ Ｐゴシック"/>
        <family val="3"/>
        <charset val="128"/>
      </rPr>
      <t>最高速度</t>
    </r>
    <rPh sb="0" eb="2">
      <t>サイコウ</t>
    </rPh>
    <rPh sb="2" eb="4">
      <t>ソクド</t>
    </rPh>
    <phoneticPr fontId="4"/>
  </si>
  <si>
    <r>
      <rPr>
        <sz val="11"/>
        <rFont val="ＭＳ Ｐゴシック"/>
        <family val="3"/>
        <charset val="128"/>
      </rPr>
      <t>横断等禁止</t>
    </r>
    <rPh sb="0" eb="2">
      <t>オウダン</t>
    </rPh>
    <rPh sb="2" eb="3">
      <t>トウ</t>
    </rPh>
    <rPh sb="3" eb="5">
      <t>キンシ</t>
    </rPh>
    <phoneticPr fontId="4"/>
  </si>
  <si>
    <r>
      <rPr>
        <sz val="11"/>
        <rFont val="ＭＳ Ｐゴシック"/>
        <family val="3"/>
        <charset val="128"/>
      </rPr>
      <t>進路変更禁止</t>
    </r>
    <rPh sb="0" eb="2">
      <t>シンロ</t>
    </rPh>
    <rPh sb="2" eb="4">
      <t>ヘンコウ</t>
    </rPh>
    <rPh sb="4" eb="6">
      <t>キンシ</t>
    </rPh>
    <phoneticPr fontId="4"/>
  </si>
  <si>
    <r>
      <rPr>
        <sz val="11"/>
        <rFont val="ＭＳ Ｐゴシック"/>
        <family val="3"/>
        <charset val="128"/>
      </rPr>
      <t>踏切不停止</t>
    </r>
    <rPh sb="0" eb="2">
      <t>フミキリ</t>
    </rPh>
    <rPh sb="2" eb="3">
      <t>フ</t>
    </rPh>
    <rPh sb="3" eb="5">
      <t>テイシ</t>
    </rPh>
    <phoneticPr fontId="4"/>
  </si>
  <si>
    <r>
      <rPr>
        <sz val="11"/>
        <rFont val="ＭＳ Ｐゴシック"/>
        <family val="3"/>
        <charset val="128"/>
      </rPr>
      <t>両</t>
    </r>
    <rPh sb="0" eb="1">
      <t>リョウ</t>
    </rPh>
    <phoneticPr fontId="4"/>
  </si>
  <si>
    <r>
      <rPr>
        <sz val="11"/>
        <rFont val="ＭＳ Ｐゴシック"/>
        <family val="3"/>
        <charset val="128"/>
      </rPr>
      <t>優先通行妨害</t>
    </r>
    <rPh sb="0" eb="2">
      <t>ユウセン</t>
    </rPh>
    <rPh sb="2" eb="4">
      <t>ツウコウ</t>
    </rPh>
    <rPh sb="4" eb="6">
      <t>ボウガイ</t>
    </rPh>
    <phoneticPr fontId="4"/>
  </si>
  <si>
    <r>
      <rPr>
        <sz val="11"/>
        <rFont val="ＭＳ Ｐゴシック"/>
        <family val="3"/>
        <charset val="128"/>
      </rPr>
      <t>交差点安全進行義務</t>
    </r>
    <rPh sb="0" eb="3">
      <t>コウサテン</t>
    </rPh>
    <rPh sb="3" eb="5">
      <t>アンゼン</t>
    </rPh>
    <rPh sb="5" eb="7">
      <t>シンコウ</t>
    </rPh>
    <rPh sb="7" eb="9">
      <t>ギム</t>
    </rPh>
    <phoneticPr fontId="4"/>
  </si>
  <si>
    <r>
      <rPr>
        <sz val="11"/>
        <rFont val="ＭＳ Ｐゴシック"/>
        <family val="3"/>
        <charset val="128"/>
      </rPr>
      <t>歩行者妨害</t>
    </r>
    <rPh sb="0" eb="3">
      <t>ホコウシャ</t>
    </rPh>
    <rPh sb="3" eb="5">
      <t>ボウガイ</t>
    </rPh>
    <phoneticPr fontId="4"/>
  </si>
  <si>
    <r>
      <rPr>
        <sz val="11"/>
        <rFont val="ＭＳ Ｐゴシック"/>
        <family val="3"/>
        <charset val="128"/>
      </rPr>
      <t>等</t>
    </r>
    <rPh sb="0" eb="1">
      <t>トウ</t>
    </rPh>
    <phoneticPr fontId="4"/>
  </si>
  <si>
    <r>
      <rPr>
        <sz val="11"/>
        <rFont val="ＭＳ Ｐゴシック"/>
        <family val="3"/>
        <charset val="128"/>
      </rPr>
      <t>徐行場所</t>
    </r>
    <rPh sb="0" eb="2">
      <t>ジョコウ</t>
    </rPh>
    <rPh sb="2" eb="4">
      <t>バショ</t>
    </rPh>
    <phoneticPr fontId="4"/>
  </si>
  <si>
    <r>
      <rPr>
        <sz val="11"/>
        <rFont val="ＭＳ Ｐゴシック"/>
        <family val="3"/>
        <charset val="128"/>
      </rPr>
      <t>指定場所一時不停止</t>
    </r>
    <rPh sb="0" eb="2">
      <t>シテイ</t>
    </rPh>
    <rPh sb="2" eb="4">
      <t>バショ</t>
    </rPh>
    <rPh sb="4" eb="6">
      <t>イチジ</t>
    </rPh>
    <rPh sb="6" eb="7">
      <t>フ</t>
    </rPh>
    <rPh sb="7" eb="9">
      <t>テイシ</t>
    </rPh>
    <phoneticPr fontId="4"/>
  </si>
  <si>
    <r>
      <rPr>
        <sz val="11"/>
        <rFont val="ＭＳ Ｐゴシック"/>
        <family val="3"/>
        <charset val="128"/>
      </rPr>
      <t>積載不適当</t>
    </r>
    <rPh sb="0" eb="2">
      <t>セキサイ</t>
    </rPh>
    <rPh sb="2" eb="5">
      <t>フテキトウ</t>
    </rPh>
    <phoneticPr fontId="4"/>
  </si>
  <si>
    <r>
      <rPr>
        <sz val="11"/>
        <rFont val="ＭＳ Ｐゴシック"/>
        <family val="3"/>
        <charset val="128"/>
      </rPr>
      <t>整備不良車両運転</t>
    </r>
    <rPh sb="0" eb="2">
      <t>セイビ</t>
    </rPh>
    <rPh sb="2" eb="4">
      <t>フリョウ</t>
    </rPh>
    <rPh sb="4" eb="6">
      <t>シャリョウ</t>
    </rPh>
    <rPh sb="6" eb="8">
      <t>ウンテン</t>
    </rPh>
    <phoneticPr fontId="4"/>
  </si>
  <si>
    <r>
      <rPr>
        <sz val="11"/>
        <rFont val="ＭＳ Ｐゴシック"/>
        <family val="3"/>
        <charset val="128"/>
      </rPr>
      <t>酒酔い運転</t>
    </r>
    <rPh sb="0" eb="2">
      <t>サケヨ</t>
    </rPh>
    <rPh sb="3" eb="5">
      <t>ウンテン</t>
    </rPh>
    <phoneticPr fontId="4"/>
  </si>
  <si>
    <r>
      <rPr>
        <sz val="11"/>
        <rFont val="ＭＳ Ｐゴシック"/>
        <family val="3"/>
        <charset val="128"/>
      </rPr>
      <t>過労運転</t>
    </r>
    <rPh sb="0" eb="2">
      <t>カロウ</t>
    </rPh>
    <rPh sb="2" eb="4">
      <t>ウンテン</t>
    </rPh>
    <phoneticPr fontId="4"/>
  </si>
  <si>
    <r>
      <rPr>
        <sz val="11"/>
        <rFont val="ＭＳ Ｐゴシック"/>
        <family val="3"/>
        <charset val="128"/>
      </rPr>
      <t>ハンドル等操作不適</t>
    </r>
    <rPh sb="4" eb="5">
      <t>トウ</t>
    </rPh>
    <rPh sb="5" eb="7">
      <t>ソウサ</t>
    </rPh>
    <rPh sb="7" eb="9">
      <t>フテキ</t>
    </rPh>
    <phoneticPr fontId="4"/>
  </si>
  <si>
    <r>
      <rPr>
        <sz val="11"/>
        <rFont val="ＭＳ Ｐゴシック"/>
        <family val="3"/>
        <charset val="128"/>
      </rPr>
      <t>前方不注意</t>
    </r>
    <rPh sb="0" eb="2">
      <t>ゼンポウ</t>
    </rPh>
    <rPh sb="2" eb="5">
      <t>フチュウイ</t>
    </rPh>
    <phoneticPr fontId="4"/>
  </si>
  <si>
    <r>
      <rPr>
        <sz val="11"/>
        <rFont val="ＭＳ Ｐゴシック"/>
        <family val="3"/>
        <charset val="128"/>
      </rPr>
      <t>動静不注意</t>
    </r>
    <rPh sb="0" eb="2">
      <t>ドウセイ</t>
    </rPh>
    <rPh sb="2" eb="5">
      <t>フチュウイ</t>
    </rPh>
    <phoneticPr fontId="4"/>
  </si>
  <si>
    <r>
      <rPr>
        <sz val="11"/>
        <rFont val="ＭＳ Ｐゴシック"/>
        <family val="3"/>
        <charset val="128"/>
      </rPr>
      <t>安全不確認</t>
    </r>
    <rPh sb="0" eb="2">
      <t>アンゼン</t>
    </rPh>
    <rPh sb="2" eb="3">
      <t>フ</t>
    </rPh>
    <rPh sb="3" eb="5">
      <t>カクニン</t>
    </rPh>
    <phoneticPr fontId="4"/>
  </si>
  <si>
    <r>
      <rPr>
        <sz val="11"/>
        <rFont val="ＭＳ Ｐゴシック"/>
        <family val="3"/>
        <charset val="128"/>
      </rPr>
      <t>その他の違反</t>
    </r>
    <rPh sb="2" eb="3">
      <t>タ</t>
    </rPh>
    <rPh sb="4" eb="6">
      <t>イハン</t>
    </rPh>
    <phoneticPr fontId="4"/>
  </si>
  <si>
    <r>
      <rPr>
        <sz val="11"/>
        <rFont val="ＭＳ Ｐゴシック"/>
        <family val="3"/>
        <charset val="128"/>
      </rPr>
      <t>歩</t>
    </r>
    <rPh sb="0" eb="1">
      <t>ホ</t>
    </rPh>
    <phoneticPr fontId="4"/>
  </si>
  <si>
    <r>
      <rPr>
        <sz val="11"/>
        <rFont val="ＭＳ Ｐゴシック"/>
        <family val="3"/>
        <charset val="128"/>
      </rPr>
      <t>直前直後横断</t>
    </r>
    <rPh sb="0" eb="2">
      <t>チョクゼン</t>
    </rPh>
    <rPh sb="2" eb="4">
      <t>チョクゴ</t>
    </rPh>
    <rPh sb="4" eb="6">
      <t>オウダン</t>
    </rPh>
    <phoneticPr fontId="4"/>
  </si>
  <si>
    <r>
      <rPr>
        <sz val="11"/>
        <rFont val="ＭＳ Ｐゴシック"/>
        <family val="3"/>
        <charset val="128"/>
      </rPr>
      <t>禁止場所横断</t>
    </r>
    <rPh sb="0" eb="2">
      <t>キンシ</t>
    </rPh>
    <rPh sb="2" eb="4">
      <t>バショ</t>
    </rPh>
    <rPh sb="4" eb="6">
      <t>オウダン</t>
    </rPh>
    <phoneticPr fontId="4"/>
  </si>
  <si>
    <r>
      <rPr>
        <sz val="11"/>
        <rFont val="ＭＳ Ｐゴシック"/>
        <family val="3"/>
        <charset val="128"/>
      </rPr>
      <t>行</t>
    </r>
    <rPh sb="0" eb="1">
      <t>コウ</t>
    </rPh>
    <phoneticPr fontId="4"/>
  </si>
  <si>
    <r>
      <rPr>
        <sz val="11"/>
        <rFont val="ＭＳ Ｐゴシック"/>
        <family val="3"/>
        <charset val="128"/>
      </rPr>
      <t>斜め横断等</t>
    </r>
    <rPh sb="0" eb="1">
      <t>ナナ</t>
    </rPh>
    <rPh sb="2" eb="4">
      <t>オウダン</t>
    </rPh>
    <rPh sb="4" eb="5">
      <t>トウ</t>
    </rPh>
    <phoneticPr fontId="4"/>
  </si>
  <si>
    <r>
      <rPr>
        <sz val="11"/>
        <rFont val="ＭＳ Ｐゴシック"/>
        <family val="3"/>
        <charset val="128"/>
      </rPr>
      <t>寝そべり等</t>
    </r>
    <rPh sb="0" eb="1">
      <t>ネ</t>
    </rPh>
    <rPh sb="4" eb="5">
      <t>トウ</t>
    </rPh>
    <phoneticPr fontId="4"/>
  </si>
  <si>
    <r>
      <rPr>
        <sz val="11"/>
        <rFont val="ＭＳ Ｐゴシック"/>
        <family val="3"/>
        <charset val="128"/>
      </rPr>
      <t>者</t>
    </r>
    <rPh sb="0" eb="1">
      <t>シャ</t>
    </rPh>
    <phoneticPr fontId="4"/>
  </si>
  <si>
    <r>
      <rPr>
        <sz val="11"/>
        <rFont val="ＭＳ Ｐゴシック"/>
        <family val="3"/>
        <charset val="128"/>
      </rPr>
      <t>路上遊戯</t>
    </r>
    <rPh sb="0" eb="2">
      <t>ロジョウ</t>
    </rPh>
    <rPh sb="2" eb="4">
      <t>ユウギ</t>
    </rPh>
    <phoneticPr fontId="4"/>
  </si>
  <si>
    <r>
      <rPr>
        <sz val="11"/>
        <rFont val="ＭＳ Ｐゴシック"/>
        <family val="3"/>
        <charset val="128"/>
      </rPr>
      <t>飛び出し</t>
    </r>
    <rPh sb="0" eb="1">
      <t>ト</t>
    </rPh>
    <rPh sb="2" eb="3">
      <t>ダ</t>
    </rPh>
    <phoneticPr fontId="4"/>
  </si>
  <si>
    <r>
      <rPr>
        <sz val="11"/>
        <rFont val="ＭＳ Ｐゴシック"/>
        <family val="3"/>
        <charset val="128"/>
      </rPr>
      <t>昭和</t>
    </r>
    <r>
      <rPr>
        <sz val="11"/>
        <rFont val="Arial"/>
        <family val="2"/>
      </rPr>
      <t>45</t>
    </r>
    <rPh sb="0" eb="2">
      <t>ショウワ</t>
    </rPh>
    <phoneticPr fontId="4"/>
  </si>
  <si>
    <r>
      <rPr>
        <sz val="11"/>
        <rFont val="ＭＳ Ｐゴシック"/>
        <family val="3"/>
        <charset val="128"/>
      </rPr>
      <t>令和６</t>
    </r>
    <r>
      <rPr>
        <sz val="11"/>
        <color theme="1"/>
        <rFont val="游ゴシック"/>
        <family val="2"/>
        <charset val="128"/>
        <scheme val="minor"/>
      </rPr>
      <t/>
    </r>
    <rPh sb="0" eb="2">
      <t>レイワ</t>
    </rPh>
    <phoneticPr fontId="4"/>
  </si>
  <si>
    <r>
      <rPr>
        <sz val="11"/>
        <rFont val="ＭＳ Ｐゴシック"/>
        <family val="3"/>
        <charset val="128"/>
      </rPr>
      <t>令和７</t>
    </r>
    <r>
      <rPr>
        <sz val="11"/>
        <color theme="1"/>
        <rFont val="游ゴシック"/>
        <family val="2"/>
        <charset val="128"/>
        <scheme val="minor"/>
      </rPr>
      <t/>
    </r>
    <rPh sb="0" eb="2">
      <t>レイワ</t>
    </rPh>
    <phoneticPr fontId="4"/>
  </si>
  <si>
    <r>
      <rPr>
        <sz val="11"/>
        <rFont val="ＭＳ Ｐゴシック"/>
        <family val="3"/>
        <charset val="128"/>
      </rPr>
      <t>死者数①（人）</t>
    </r>
    <rPh sb="0" eb="2">
      <t>シシャ</t>
    </rPh>
    <rPh sb="2" eb="3">
      <t>スウ</t>
    </rPh>
    <rPh sb="5" eb="6">
      <t>ヒト</t>
    </rPh>
    <phoneticPr fontId="4"/>
  </si>
  <si>
    <r>
      <rPr>
        <sz val="11"/>
        <rFont val="ＭＳ Ｐゴシック"/>
        <family val="3"/>
        <charset val="128"/>
      </rPr>
      <t>負傷者数（人）</t>
    </r>
    <rPh sb="0" eb="1">
      <t>フ</t>
    </rPh>
    <rPh sb="1" eb="2">
      <t>キズ</t>
    </rPh>
    <rPh sb="2" eb="3">
      <t>モノ</t>
    </rPh>
    <rPh sb="3" eb="4">
      <t>スウ</t>
    </rPh>
    <rPh sb="5" eb="6">
      <t>ヒト</t>
    </rPh>
    <phoneticPr fontId="4"/>
  </si>
  <si>
    <r>
      <rPr>
        <sz val="11"/>
        <rFont val="ＭＳ Ｐゴシック"/>
        <family val="3"/>
        <charset val="128"/>
      </rPr>
      <t>－</t>
    </r>
    <phoneticPr fontId="4"/>
  </si>
  <si>
    <r>
      <rPr>
        <sz val="11"/>
        <rFont val="ＭＳ Ｐゴシック"/>
        <family val="3"/>
        <charset val="128"/>
      </rPr>
      <t>内重傷者数（人）</t>
    </r>
    <phoneticPr fontId="4"/>
  </si>
  <si>
    <r>
      <rPr>
        <sz val="11"/>
        <rFont val="ＭＳ Ｐゴシック"/>
        <family val="3"/>
        <charset val="128"/>
      </rPr>
      <t>全死者数②（人）</t>
    </r>
    <rPh sb="0" eb="1">
      <t>ゼン</t>
    </rPh>
    <rPh sb="1" eb="3">
      <t>シシャ</t>
    </rPh>
    <rPh sb="3" eb="4">
      <t>スウ</t>
    </rPh>
    <rPh sb="6" eb="7">
      <t>ヒト</t>
    </rPh>
    <phoneticPr fontId="4"/>
  </si>
  <si>
    <r>
      <rPr>
        <sz val="11"/>
        <rFont val="ＭＳ Ｐゴシック"/>
        <family val="3"/>
        <charset val="128"/>
      </rPr>
      <t>①</t>
    </r>
    <r>
      <rPr>
        <sz val="11"/>
        <rFont val="Arial"/>
        <family val="2"/>
      </rPr>
      <t>/</t>
    </r>
    <r>
      <rPr>
        <sz val="11"/>
        <rFont val="ＭＳ Ｐゴシック"/>
        <family val="3"/>
        <charset val="128"/>
      </rPr>
      <t>②</t>
    </r>
    <r>
      <rPr>
        <sz val="11"/>
        <rFont val="Arial"/>
        <family val="2"/>
      </rPr>
      <t>×</t>
    </r>
    <r>
      <rPr>
        <sz val="11"/>
        <rFont val="ＭＳ Ｐゴシック"/>
        <family val="3"/>
        <charset val="128"/>
      </rPr>
      <t>１００（％）</t>
    </r>
    <phoneticPr fontId="4"/>
  </si>
  <si>
    <r>
      <rPr>
        <sz val="11"/>
        <rFont val="ＭＳ Ｐゴシック"/>
        <family val="3"/>
        <charset val="128"/>
      </rPr>
      <t>死傷者数</t>
    </r>
    <rPh sb="0" eb="1">
      <t>シ</t>
    </rPh>
    <rPh sb="1" eb="2">
      <t>キズ</t>
    </rPh>
    <rPh sb="2" eb="3">
      <t>モノ</t>
    </rPh>
    <rPh sb="3" eb="4">
      <t>スウ</t>
    </rPh>
    <phoneticPr fontId="4"/>
  </si>
  <si>
    <r>
      <rPr>
        <sz val="11"/>
        <rFont val="ＭＳ Ｐゴシック"/>
        <family val="3"/>
        <charset val="128"/>
      </rPr>
      <t>内　　　　　　　　　　訳</t>
    </r>
    <rPh sb="0" eb="1">
      <t>ウチ</t>
    </rPh>
    <rPh sb="11" eb="12">
      <t>ヤク</t>
    </rPh>
    <phoneticPr fontId="4"/>
  </si>
  <si>
    <r>
      <rPr>
        <sz val="11"/>
        <rFont val="ＭＳ Ｐゴシック"/>
        <family val="3"/>
        <charset val="128"/>
      </rPr>
      <t>歩行中</t>
    </r>
    <rPh sb="0" eb="3">
      <t>ホコウチュウ</t>
    </rPh>
    <phoneticPr fontId="4"/>
  </si>
  <si>
    <r>
      <rPr>
        <sz val="11"/>
        <rFont val="ＭＳ Ｐゴシック"/>
        <family val="3"/>
        <charset val="128"/>
      </rPr>
      <t>自転車乗用中</t>
    </r>
    <rPh sb="0" eb="3">
      <t>ジテンシャ</t>
    </rPh>
    <rPh sb="3" eb="5">
      <t>ジョウヨウ</t>
    </rPh>
    <rPh sb="5" eb="6">
      <t>ジュウ</t>
    </rPh>
    <phoneticPr fontId="4"/>
  </si>
  <si>
    <r>
      <t>二輪車乗</t>
    </r>
    <r>
      <rPr>
        <sz val="11"/>
        <rFont val="ＭＳ Ｐゴシック"/>
        <family val="3"/>
        <charset val="128"/>
      </rPr>
      <t>車中</t>
    </r>
    <rPh sb="0" eb="3">
      <t>ニリンシャ</t>
    </rPh>
    <rPh sb="3" eb="5">
      <t>ジョウシャ</t>
    </rPh>
    <rPh sb="5" eb="6">
      <t>ジュウ</t>
    </rPh>
    <phoneticPr fontId="4"/>
  </si>
  <si>
    <r>
      <rPr>
        <sz val="11"/>
        <rFont val="ＭＳ Ｐゴシック"/>
        <family val="3"/>
        <charset val="128"/>
      </rPr>
      <t>西淀川</t>
    </r>
    <rPh sb="0" eb="1">
      <t>ニシ</t>
    </rPh>
    <rPh sb="1" eb="3">
      <t>ヨドガワ</t>
    </rPh>
    <phoneticPr fontId="4"/>
  </si>
  <si>
    <r>
      <rPr>
        <sz val="11"/>
        <rFont val="ＭＳ Ｐゴシック"/>
        <family val="3"/>
        <charset val="128"/>
      </rPr>
      <t>東淀川</t>
    </r>
    <rPh sb="0" eb="1">
      <t>ヒガシ</t>
    </rPh>
    <rPh sb="1" eb="3">
      <t>ヨドガワ</t>
    </rPh>
    <phoneticPr fontId="4"/>
  </si>
  <si>
    <r>
      <rPr>
        <sz val="11"/>
        <rFont val="ＭＳ Ｐゴシック"/>
        <family val="3"/>
        <charset val="128"/>
      </rPr>
      <t>東住吉</t>
    </r>
    <rPh sb="0" eb="1">
      <t>ヒガシ</t>
    </rPh>
    <rPh sb="1" eb="3">
      <t>スミヨシ</t>
    </rPh>
    <phoneticPr fontId="4"/>
  </si>
  <si>
    <r>
      <rPr>
        <sz val="11"/>
        <rFont val="ＭＳ Ｐゴシック"/>
        <family val="3"/>
        <charset val="128"/>
      </rPr>
      <t>総数</t>
    </r>
    <rPh sb="0" eb="1">
      <t>フサ</t>
    </rPh>
    <rPh sb="1" eb="2">
      <t>カズ</t>
    </rPh>
    <phoneticPr fontId="4"/>
  </si>
  <si>
    <r>
      <rPr>
        <sz val="11"/>
        <rFont val="ＭＳ Ｐゴシック"/>
        <family val="3"/>
        <charset val="128"/>
      </rPr>
      <t>件数（件）</t>
    </r>
    <rPh sb="0" eb="2">
      <t>ケンスウ</t>
    </rPh>
    <phoneticPr fontId="4"/>
  </si>
  <si>
    <r>
      <rPr>
        <sz val="11"/>
        <rFont val="ＭＳ Ｐゴシック"/>
        <family val="3"/>
        <charset val="128"/>
      </rPr>
      <t>死者数（人）</t>
    </r>
    <rPh sb="0" eb="2">
      <t>シシャ</t>
    </rPh>
    <rPh sb="2" eb="3">
      <t>スウ</t>
    </rPh>
    <phoneticPr fontId="4"/>
  </si>
  <si>
    <r>
      <rPr>
        <sz val="11"/>
        <rFont val="ＭＳ Ｐゴシック"/>
        <family val="3"/>
        <charset val="128"/>
      </rPr>
      <t>負傷者数（人）</t>
    </r>
    <rPh sb="0" eb="1">
      <t>フ</t>
    </rPh>
    <rPh sb="1" eb="3">
      <t>ショウシャ</t>
    </rPh>
    <rPh sb="3" eb="4">
      <t>スウ</t>
    </rPh>
    <phoneticPr fontId="4"/>
  </si>
  <si>
    <r>
      <rPr>
        <sz val="11"/>
        <rFont val="ＭＳ Ｐゴシック"/>
        <family val="3"/>
        <charset val="128"/>
      </rPr>
      <t>横断</t>
    </r>
    <rPh sb="0" eb="2">
      <t>オウダン</t>
    </rPh>
    <phoneticPr fontId="4"/>
  </si>
  <si>
    <r>
      <rPr>
        <sz val="11"/>
        <rFont val="ＭＳ Ｐゴシック"/>
        <family val="3"/>
        <charset val="128"/>
      </rPr>
      <t>横断歩道外横断</t>
    </r>
    <rPh sb="0" eb="2">
      <t>オウダン</t>
    </rPh>
    <rPh sb="2" eb="4">
      <t>ホドウ</t>
    </rPh>
    <rPh sb="4" eb="5">
      <t>ガイ</t>
    </rPh>
    <rPh sb="5" eb="7">
      <t>オウダン</t>
    </rPh>
    <phoneticPr fontId="4"/>
  </si>
  <si>
    <r>
      <rPr>
        <sz val="11"/>
        <rFont val="ＭＳ Ｐゴシック"/>
        <family val="3"/>
        <charset val="128"/>
      </rPr>
      <t>斜め横断</t>
    </r>
    <phoneticPr fontId="4"/>
  </si>
  <si>
    <r>
      <rPr>
        <sz val="11"/>
        <rFont val="ＭＳ Ｐゴシック"/>
        <family val="3"/>
        <charset val="128"/>
      </rPr>
      <t>駐停車車両の直前直後横断</t>
    </r>
    <rPh sb="0" eb="3">
      <t>チュウテイシャ</t>
    </rPh>
    <rPh sb="3" eb="5">
      <t>シャリョウ</t>
    </rPh>
    <rPh sb="6" eb="8">
      <t>チョクゼン</t>
    </rPh>
    <rPh sb="8" eb="10">
      <t>チョクゴ</t>
    </rPh>
    <rPh sb="10" eb="12">
      <t>オウダン</t>
    </rPh>
    <phoneticPr fontId="4"/>
  </si>
  <si>
    <r>
      <rPr>
        <sz val="11"/>
        <rFont val="ＭＳ Ｐゴシック"/>
        <family val="3"/>
        <charset val="128"/>
      </rPr>
      <t>走行車両の直前直後横断</t>
    </r>
    <rPh sb="0" eb="2">
      <t>ソウコウ</t>
    </rPh>
    <rPh sb="2" eb="4">
      <t>シャリョウ</t>
    </rPh>
    <rPh sb="5" eb="7">
      <t>チョクゼン</t>
    </rPh>
    <rPh sb="7" eb="9">
      <t>チョクゴ</t>
    </rPh>
    <rPh sb="9" eb="11">
      <t>オウダン</t>
    </rPh>
    <phoneticPr fontId="4"/>
  </si>
  <si>
    <r>
      <rPr>
        <sz val="11"/>
        <rFont val="ＭＳ Ｐゴシック"/>
        <family val="3"/>
        <charset val="128"/>
      </rPr>
      <t>横断禁止場所横断</t>
    </r>
    <rPh sb="0" eb="2">
      <t>オウダン</t>
    </rPh>
    <rPh sb="2" eb="4">
      <t>キンシ</t>
    </rPh>
    <rPh sb="4" eb="6">
      <t>バショ</t>
    </rPh>
    <rPh sb="6" eb="8">
      <t>オウダン</t>
    </rPh>
    <phoneticPr fontId="4"/>
  </si>
  <si>
    <r>
      <rPr>
        <sz val="11"/>
        <rFont val="ＭＳ Ｐゴシック"/>
        <family val="3"/>
        <charset val="128"/>
      </rPr>
      <t>中</t>
    </r>
    <rPh sb="0" eb="1">
      <t>ナカ</t>
    </rPh>
    <phoneticPr fontId="4"/>
  </si>
  <si>
    <r>
      <rPr>
        <sz val="11"/>
        <rFont val="ＭＳ Ｐゴシック"/>
        <family val="3"/>
        <charset val="128"/>
      </rPr>
      <t>踏切不注意</t>
    </r>
    <rPh sb="0" eb="2">
      <t>フミキリ</t>
    </rPh>
    <rPh sb="2" eb="5">
      <t>フチュウイ</t>
    </rPh>
    <phoneticPr fontId="4"/>
  </si>
  <si>
    <r>
      <rPr>
        <sz val="11"/>
        <rFont val="ＭＳ Ｐゴシック"/>
        <family val="3"/>
        <charset val="128"/>
      </rPr>
      <t>自</t>
    </r>
    <rPh sb="0" eb="1">
      <t>ジ</t>
    </rPh>
    <phoneticPr fontId="4"/>
  </si>
  <si>
    <r>
      <rPr>
        <sz val="11"/>
        <rFont val="ＭＳ Ｐゴシック"/>
        <family val="3"/>
        <charset val="128"/>
      </rPr>
      <t>転</t>
    </r>
    <rPh sb="0" eb="1">
      <t>テン</t>
    </rPh>
    <phoneticPr fontId="4"/>
  </si>
  <si>
    <r>
      <rPr>
        <sz val="11"/>
        <rFont val="ＭＳ Ｐゴシック"/>
        <family val="3"/>
        <charset val="128"/>
      </rPr>
      <t>横断・転回禁止違反</t>
    </r>
    <rPh sb="0" eb="2">
      <t>オウダン</t>
    </rPh>
    <rPh sb="3" eb="5">
      <t>テンカイ</t>
    </rPh>
    <rPh sb="5" eb="7">
      <t>キンシ</t>
    </rPh>
    <rPh sb="7" eb="9">
      <t>イハン</t>
    </rPh>
    <phoneticPr fontId="4"/>
  </si>
  <si>
    <r>
      <rPr>
        <sz val="11"/>
        <rFont val="ＭＳ Ｐゴシック"/>
        <family val="3"/>
        <charset val="128"/>
      </rPr>
      <t>踏切不停止等</t>
    </r>
    <rPh sb="0" eb="2">
      <t>フミキリ</t>
    </rPh>
    <rPh sb="2" eb="3">
      <t>フ</t>
    </rPh>
    <rPh sb="3" eb="5">
      <t>テイシ</t>
    </rPh>
    <rPh sb="5" eb="6">
      <t>ナド</t>
    </rPh>
    <phoneticPr fontId="4"/>
  </si>
  <si>
    <r>
      <rPr>
        <sz val="11"/>
        <rFont val="ＭＳ Ｐゴシック"/>
        <family val="3"/>
        <charset val="128"/>
      </rPr>
      <t>乗</t>
    </r>
    <rPh sb="0" eb="1">
      <t>ジョウ</t>
    </rPh>
    <phoneticPr fontId="4"/>
  </si>
  <si>
    <r>
      <rPr>
        <sz val="11"/>
        <rFont val="ＭＳ Ｐゴシック"/>
        <family val="3"/>
        <charset val="128"/>
      </rPr>
      <t>右折違反</t>
    </r>
    <rPh sb="0" eb="2">
      <t>ウセツ</t>
    </rPh>
    <rPh sb="2" eb="4">
      <t>イハン</t>
    </rPh>
    <phoneticPr fontId="4"/>
  </si>
  <si>
    <r>
      <rPr>
        <sz val="11"/>
        <rFont val="ＭＳ Ｐゴシック"/>
        <family val="3"/>
        <charset val="128"/>
      </rPr>
      <t>用</t>
    </r>
    <rPh sb="0" eb="1">
      <t>ヨウ</t>
    </rPh>
    <phoneticPr fontId="4"/>
  </si>
  <si>
    <r>
      <rPr>
        <sz val="11"/>
        <rFont val="ＭＳ Ｐゴシック"/>
        <family val="3"/>
        <charset val="128"/>
      </rPr>
      <t>左折違反</t>
    </r>
    <rPh sb="0" eb="2">
      <t>サセツ</t>
    </rPh>
    <rPh sb="2" eb="4">
      <t>イハン</t>
    </rPh>
    <phoneticPr fontId="4"/>
  </si>
  <si>
    <r>
      <rPr>
        <sz val="11"/>
        <rFont val="ＭＳ Ｐゴシック"/>
        <family val="3"/>
        <charset val="128"/>
      </rPr>
      <t>ハンドル・ブレーキ等操作不適</t>
    </r>
    <rPh sb="9" eb="10">
      <t>トウ</t>
    </rPh>
    <rPh sb="10" eb="12">
      <t>ソウサ</t>
    </rPh>
    <rPh sb="12" eb="14">
      <t>フテキ</t>
    </rPh>
    <phoneticPr fontId="4"/>
  </si>
  <si>
    <r>
      <rPr>
        <sz val="11"/>
        <rFont val="ＭＳ Ｐゴシック"/>
        <family val="3"/>
        <charset val="128"/>
      </rPr>
      <t>自動車・二輪車乗車中等</t>
    </r>
    <rPh sb="0" eb="3">
      <t>ジドウシャ</t>
    </rPh>
    <rPh sb="4" eb="6">
      <t>ニリン</t>
    </rPh>
    <rPh sb="6" eb="7">
      <t>クルマ</t>
    </rPh>
    <rPh sb="7" eb="9">
      <t>ジョウシャ</t>
    </rPh>
    <rPh sb="9" eb="10">
      <t>チュウ</t>
    </rPh>
    <rPh sb="10" eb="11">
      <t>トウ</t>
    </rPh>
    <phoneticPr fontId="4"/>
  </si>
  <si>
    <r>
      <rPr>
        <sz val="11"/>
        <rFont val="ＭＳ Ｐゴシック"/>
        <family val="3"/>
        <charset val="128"/>
      </rPr>
      <t>総　　数</t>
    </r>
    <rPh sb="0" eb="1">
      <t>ソウ</t>
    </rPh>
    <rPh sb="3" eb="4">
      <t>スウ</t>
    </rPh>
    <phoneticPr fontId="4"/>
  </si>
  <si>
    <r>
      <rPr>
        <sz val="11"/>
        <rFont val="ＭＳ Ｐゴシック"/>
        <family val="3"/>
        <charset val="128"/>
      </rPr>
      <t>内重傷者数（人）</t>
    </r>
    <rPh sb="0" eb="1">
      <t>ウチ</t>
    </rPh>
    <rPh sb="1" eb="3">
      <t>ジュウショウ</t>
    </rPh>
    <rPh sb="3" eb="4">
      <t>モノ</t>
    </rPh>
    <rPh sb="4" eb="5">
      <t>スウ</t>
    </rPh>
    <rPh sb="6" eb="7">
      <t>ヒト</t>
    </rPh>
    <phoneticPr fontId="4"/>
  </si>
  <si>
    <r>
      <rPr>
        <sz val="11"/>
        <rFont val="ＭＳ Ｐゴシック"/>
        <family val="3"/>
        <charset val="128"/>
      </rPr>
      <t>死者数</t>
    </r>
    <rPh sb="0" eb="1">
      <t>シ</t>
    </rPh>
    <rPh sb="1" eb="2">
      <t>モノ</t>
    </rPh>
    <rPh sb="2" eb="3">
      <t>スウ</t>
    </rPh>
    <phoneticPr fontId="4"/>
  </si>
  <si>
    <r>
      <rPr>
        <sz val="11"/>
        <rFont val="ＭＳ Ｐゴシック"/>
        <family val="3"/>
        <charset val="128"/>
      </rPr>
      <t>負傷者数</t>
    </r>
    <rPh sb="0" eb="3">
      <t>フショウシャ</t>
    </rPh>
    <rPh sb="3" eb="4">
      <t>カズ</t>
    </rPh>
    <phoneticPr fontId="4"/>
  </si>
  <si>
    <r>
      <rPr>
        <sz val="11"/>
        <rFont val="ＭＳ Ｐゴシック"/>
        <family val="3"/>
        <charset val="128"/>
      </rPr>
      <t>２歳</t>
    </r>
    <rPh sb="1" eb="2">
      <t>サイ</t>
    </rPh>
    <phoneticPr fontId="4"/>
  </si>
  <si>
    <r>
      <rPr>
        <sz val="11"/>
        <rFont val="ＭＳ Ｐゴシック"/>
        <family val="3"/>
        <charset val="128"/>
      </rPr>
      <t>３歳</t>
    </r>
    <rPh sb="1" eb="2">
      <t>サイ</t>
    </rPh>
    <phoneticPr fontId="4"/>
  </si>
  <si>
    <r>
      <rPr>
        <sz val="11"/>
        <rFont val="ＭＳ Ｐゴシック"/>
        <family val="3"/>
        <charset val="128"/>
      </rPr>
      <t>４歳</t>
    </r>
    <rPh sb="1" eb="2">
      <t>サイ</t>
    </rPh>
    <phoneticPr fontId="4"/>
  </si>
  <si>
    <r>
      <rPr>
        <sz val="11"/>
        <rFont val="ＭＳ Ｐゴシック"/>
        <family val="3"/>
        <charset val="128"/>
      </rPr>
      <t>５歳</t>
    </r>
    <rPh sb="1" eb="2">
      <t>サイ</t>
    </rPh>
    <phoneticPr fontId="4"/>
  </si>
  <si>
    <r>
      <rPr>
        <sz val="11"/>
        <rFont val="ＭＳ Ｐゴシック"/>
        <family val="3"/>
        <charset val="128"/>
      </rPr>
      <t>６歳</t>
    </r>
    <rPh sb="1" eb="2">
      <t>サイ</t>
    </rPh>
    <phoneticPr fontId="4"/>
  </si>
  <si>
    <r>
      <rPr>
        <sz val="11"/>
        <rFont val="ＭＳ Ｐゴシック"/>
        <family val="3"/>
        <charset val="128"/>
      </rPr>
      <t>７歳</t>
    </r>
    <rPh sb="1" eb="2">
      <t>サイ</t>
    </rPh>
    <phoneticPr fontId="4"/>
  </si>
  <si>
    <r>
      <rPr>
        <sz val="11"/>
        <rFont val="ＭＳ Ｐゴシック"/>
        <family val="3"/>
        <charset val="128"/>
      </rPr>
      <t>８歳</t>
    </r>
    <rPh sb="1" eb="2">
      <t>サイ</t>
    </rPh>
    <phoneticPr fontId="4"/>
  </si>
  <si>
    <r>
      <rPr>
        <sz val="11"/>
        <rFont val="ＭＳ Ｐゴシック"/>
        <family val="3"/>
        <charset val="128"/>
      </rPr>
      <t>９歳</t>
    </r>
    <rPh sb="1" eb="2">
      <t>サイ</t>
    </rPh>
    <phoneticPr fontId="4"/>
  </si>
  <si>
    <r>
      <rPr>
        <sz val="11"/>
        <rFont val="ＭＳ Ｐゴシック"/>
        <family val="3"/>
        <charset val="128"/>
      </rPr>
      <t>１０歳</t>
    </r>
    <rPh sb="2" eb="3">
      <t>サイ</t>
    </rPh>
    <phoneticPr fontId="4"/>
  </si>
  <si>
    <r>
      <rPr>
        <sz val="11"/>
        <rFont val="ＭＳ Ｐゴシック"/>
        <family val="3"/>
        <charset val="128"/>
      </rPr>
      <t>１１歳</t>
    </r>
    <rPh sb="2" eb="3">
      <t>サイ</t>
    </rPh>
    <phoneticPr fontId="4"/>
  </si>
  <si>
    <r>
      <rPr>
        <sz val="11"/>
        <rFont val="ＭＳ Ｐゴシック"/>
        <family val="3"/>
        <charset val="128"/>
      </rPr>
      <t>１２歳</t>
    </r>
    <rPh sb="2" eb="3">
      <t>サイ</t>
    </rPh>
    <phoneticPr fontId="4"/>
  </si>
  <si>
    <r>
      <rPr>
        <sz val="11"/>
        <rFont val="ＭＳ Ｐゴシック"/>
        <family val="3"/>
        <charset val="128"/>
      </rPr>
      <t>１３歳</t>
    </r>
    <rPh sb="2" eb="3">
      <t>サイ</t>
    </rPh>
    <phoneticPr fontId="4"/>
  </si>
  <si>
    <r>
      <rPr>
        <sz val="11"/>
        <rFont val="ＭＳ Ｐゴシック"/>
        <family val="3"/>
        <charset val="128"/>
      </rPr>
      <t>１４歳</t>
    </r>
    <rPh sb="2" eb="3">
      <t>サイ</t>
    </rPh>
    <phoneticPr fontId="4"/>
  </si>
  <si>
    <r>
      <rPr>
        <sz val="11"/>
        <rFont val="ＭＳ Ｐゴシック"/>
        <family val="3"/>
        <charset val="128"/>
      </rPr>
      <t>１５歳</t>
    </r>
    <rPh sb="2" eb="3">
      <t>サイ</t>
    </rPh>
    <phoneticPr fontId="4"/>
  </si>
  <si>
    <r>
      <rPr>
        <sz val="11"/>
        <rFont val="ＭＳ Ｐゴシック"/>
        <family val="3"/>
        <charset val="128"/>
      </rPr>
      <t>違反</t>
    </r>
    <rPh sb="0" eb="2">
      <t>イハン</t>
    </rPh>
    <phoneticPr fontId="4"/>
  </si>
  <si>
    <r>
      <rPr>
        <sz val="11"/>
        <rFont val="ＭＳ Ｐゴシック"/>
        <family val="3"/>
        <charset val="128"/>
      </rPr>
      <t>駐停車車両の直前直後横断</t>
    </r>
    <rPh sb="0" eb="3">
      <t>チュウテイシャ</t>
    </rPh>
    <phoneticPr fontId="4"/>
  </si>
  <si>
    <r>
      <rPr>
        <sz val="11"/>
        <rFont val="ＭＳ Ｐゴシック"/>
        <family val="3"/>
        <charset val="128"/>
      </rPr>
      <t>幼児のひとり歩き</t>
    </r>
    <rPh sb="0" eb="2">
      <t>ヨウジ</t>
    </rPh>
    <rPh sb="6" eb="7">
      <t>アル</t>
    </rPh>
    <phoneticPr fontId="4"/>
  </si>
  <si>
    <r>
      <rPr>
        <sz val="11"/>
        <rFont val="ＭＳ Ｐゴシック"/>
        <family val="3"/>
        <charset val="128"/>
      </rPr>
      <t>　総　　　数</t>
    </r>
    <rPh sb="1" eb="2">
      <t>フサ</t>
    </rPh>
    <rPh sb="5" eb="6">
      <t>スウ</t>
    </rPh>
    <phoneticPr fontId="4"/>
  </si>
  <si>
    <r>
      <rPr>
        <sz val="11"/>
        <rFont val="ＭＳ Ｐゴシック"/>
        <family val="3"/>
        <charset val="128"/>
      </rPr>
      <t>令和</t>
    </r>
    <r>
      <rPr>
        <sz val="11"/>
        <rFont val="Arial"/>
        <family val="2"/>
      </rPr>
      <t>4</t>
    </r>
    <rPh sb="0" eb="2">
      <t>レイワ</t>
    </rPh>
    <phoneticPr fontId="4"/>
  </si>
  <si>
    <r>
      <rPr>
        <sz val="11"/>
        <rFont val="ＭＳ Ｐゴシック"/>
        <family val="3"/>
        <charset val="128"/>
      </rPr>
      <t>令和</t>
    </r>
    <r>
      <rPr>
        <sz val="11"/>
        <rFont val="Arial"/>
        <family val="2"/>
      </rPr>
      <t>5</t>
    </r>
    <r>
      <rPr>
        <sz val="11"/>
        <color theme="1"/>
        <rFont val="游ゴシック"/>
        <family val="2"/>
        <charset val="128"/>
        <scheme val="minor"/>
      </rPr>
      <t/>
    </r>
    <rPh sb="0" eb="2">
      <t>レイワ</t>
    </rPh>
    <phoneticPr fontId="4"/>
  </si>
  <si>
    <r>
      <rPr>
        <sz val="11"/>
        <rFont val="ＭＳ Ｐゴシック"/>
        <family val="3"/>
        <charset val="128"/>
      </rPr>
      <t>令和</t>
    </r>
    <r>
      <rPr>
        <sz val="11"/>
        <rFont val="Arial"/>
        <family val="2"/>
      </rPr>
      <t>6</t>
    </r>
    <r>
      <rPr>
        <sz val="11"/>
        <color theme="1"/>
        <rFont val="游ゴシック"/>
        <family val="2"/>
        <charset val="128"/>
        <scheme val="minor"/>
      </rPr>
      <t/>
    </r>
    <rPh sb="0" eb="2">
      <t>レイワ</t>
    </rPh>
    <phoneticPr fontId="4"/>
  </si>
  <si>
    <r>
      <rPr>
        <sz val="11"/>
        <rFont val="ＭＳ Ｐゴシック"/>
        <family val="3"/>
        <charset val="128"/>
      </rPr>
      <t>令和</t>
    </r>
    <r>
      <rPr>
        <sz val="11"/>
        <rFont val="Arial"/>
        <family val="2"/>
      </rPr>
      <t>7</t>
    </r>
    <r>
      <rPr>
        <sz val="11"/>
        <color theme="1"/>
        <rFont val="游ゴシック"/>
        <family val="2"/>
        <charset val="128"/>
        <scheme val="minor"/>
      </rPr>
      <t/>
    </r>
    <rPh sb="0" eb="2">
      <t>レイワ</t>
    </rPh>
    <phoneticPr fontId="4"/>
  </si>
  <si>
    <r>
      <rPr>
        <sz val="11"/>
        <rFont val="ＭＳ Ｐゴシック"/>
        <family val="3"/>
        <charset val="128"/>
      </rPr>
      <t>件数（件）</t>
    </r>
    <rPh sb="0" eb="2">
      <t>ケンスウ</t>
    </rPh>
    <rPh sb="3" eb="4">
      <t>ケン</t>
    </rPh>
    <phoneticPr fontId="4"/>
  </si>
  <si>
    <r>
      <rPr>
        <sz val="11"/>
        <rFont val="ＭＳ Ｐゴシック"/>
        <family val="3"/>
        <charset val="128"/>
      </rPr>
      <t>負傷者</t>
    </r>
    <rPh sb="0" eb="3">
      <t>フショウシャ</t>
    </rPh>
    <phoneticPr fontId="4"/>
  </si>
  <si>
    <r>
      <rPr>
        <sz val="11"/>
        <rFont val="ＭＳ Ｐゴシック"/>
        <family val="3"/>
        <charset val="128"/>
      </rPr>
      <t>内重傷者数（人）</t>
    </r>
    <rPh sb="0" eb="1">
      <t>ウチ</t>
    </rPh>
    <rPh sb="1" eb="5">
      <t>ジュウショウシャスウ</t>
    </rPh>
    <phoneticPr fontId="4"/>
  </si>
  <si>
    <r>
      <rPr>
        <sz val="11"/>
        <rFont val="ＭＳ Ｐゴシック"/>
        <family val="3"/>
        <charset val="128"/>
      </rPr>
      <t>月別</t>
    </r>
    <rPh sb="0" eb="1">
      <t>ツキ</t>
    </rPh>
    <rPh sb="1" eb="2">
      <t>ベツ</t>
    </rPh>
    <phoneticPr fontId="4"/>
  </si>
  <si>
    <r>
      <rPr>
        <sz val="11"/>
        <rFont val="ＭＳ Ｐゴシック"/>
        <family val="3"/>
        <charset val="128"/>
      </rPr>
      <t>年齢別</t>
    </r>
    <rPh sb="0" eb="2">
      <t>ネンレイ</t>
    </rPh>
    <rPh sb="2" eb="3">
      <t>ベツ</t>
    </rPh>
    <phoneticPr fontId="4"/>
  </si>
  <si>
    <r>
      <rPr>
        <sz val="11"/>
        <rFont val="ＭＳ Ｐゴシック"/>
        <family val="3"/>
        <charset val="128"/>
      </rPr>
      <t>１６歳</t>
    </r>
    <rPh sb="2" eb="3">
      <t>サイ</t>
    </rPh>
    <phoneticPr fontId="4"/>
  </si>
  <si>
    <r>
      <rPr>
        <sz val="11"/>
        <rFont val="ＭＳ Ｐゴシック"/>
        <family val="3"/>
        <charset val="128"/>
      </rPr>
      <t>死者数</t>
    </r>
    <rPh sb="0" eb="3">
      <t>シシャスウ</t>
    </rPh>
    <phoneticPr fontId="4"/>
  </si>
  <si>
    <r>
      <rPr>
        <sz val="11"/>
        <rFont val="ＭＳ Ｐゴシック"/>
        <family val="3"/>
        <charset val="128"/>
      </rPr>
      <t>１７歳</t>
    </r>
    <rPh sb="2" eb="3">
      <t>サイ</t>
    </rPh>
    <phoneticPr fontId="4"/>
  </si>
  <si>
    <r>
      <rPr>
        <sz val="11"/>
        <rFont val="ＭＳ Ｐゴシック"/>
        <family val="3"/>
        <charset val="128"/>
      </rPr>
      <t>１８歳</t>
    </r>
    <rPh sb="2" eb="3">
      <t>サイ</t>
    </rPh>
    <phoneticPr fontId="4"/>
  </si>
  <si>
    <r>
      <rPr>
        <sz val="11"/>
        <rFont val="ＭＳ Ｐゴシック"/>
        <family val="3"/>
        <charset val="128"/>
      </rPr>
      <t>１９歳</t>
    </r>
    <rPh sb="2" eb="3">
      <t>サイ</t>
    </rPh>
    <phoneticPr fontId="4"/>
  </si>
  <si>
    <r>
      <rPr>
        <sz val="11"/>
        <rFont val="ＭＳ Ｐゴシック"/>
        <family val="3"/>
        <charset val="128"/>
      </rPr>
      <t>２０歳</t>
    </r>
    <rPh sb="2" eb="3">
      <t>サイ</t>
    </rPh>
    <phoneticPr fontId="4"/>
  </si>
  <si>
    <r>
      <rPr>
        <sz val="11"/>
        <rFont val="ＭＳ Ｐゴシック"/>
        <family val="3"/>
        <charset val="128"/>
      </rPr>
      <t>２１歳</t>
    </r>
    <rPh sb="2" eb="3">
      <t>サイ</t>
    </rPh>
    <phoneticPr fontId="4"/>
  </si>
  <si>
    <r>
      <rPr>
        <sz val="11"/>
        <rFont val="ＭＳ Ｐゴシック"/>
        <family val="3"/>
        <charset val="128"/>
      </rPr>
      <t>２２歳</t>
    </r>
    <rPh sb="2" eb="3">
      <t>サイ</t>
    </rPh>
    <phoneticPr fontId="4"/>
  </si>
  <si>
    <r>
      <rPr>
        <sz val="11"/>
        <rFont val="ＭＳ Ｐゴシック"/>
        <family val="3"/>
        <charset val="128"/>
      </rPr>
      <t>２３歳</t>
    </r>
    <rPh sb="2" eb="3">
      <t>サイ</t>
    </rPh>
    <phoneticPr fontId="4"/>
  </si>
  <si>
    <r>
      <rPr>
        <sz val="11"/>
        <rFont val="ＭＳ Ｐゴシック"/>
        <family val="3"/>
        <charset val="128"/>
      </rPr>
      <t>２４歳</t>
    </r>
    <rPh sb="2" eb="3">
      <t>サイ</t>
    </rPh>
    <phoneticPr fontId="4"/>
  </si>
  <si>
    <r>
      <rPr>
        <sz val="11"/>
        <rFont val="ＭＳ Ｐゴシック"/>
        <family val="3"/>
        <charset val="128"/>
      </rPr>
      <t>自動車・二輪車乗車中等</t>
    </r>
    <rPh sb="0" eb="3">
      <t>ジドウシャ</t>
    </rPh>
    <rPh sb="4" eb="7">
      <t>ニリンシャ</t>
    </rPh>
    <rPh sb="7" eb="9">
      <t>ジョウシャ</t>
    </rPh>
    <rPh sb="9" eb="10">
      <t>チュウ</t>
    </rPh>
    <rPh sb="10" eb="11">
      <t>トウ</t>
    </rPh>
    <phoneticPr fontId="4"/>
  </si>
  <si>
    <t>自動車・二輪車乗車中等</t>
    <rPh sb="0" eb="3">
      <t>ジドウシャ</t>
    </rPh>
    <rPh sb="4" eb="7">
      <t>ニリンシャ</t>
    </rPh>
    <rPh sb="7" eb="9">
      <t>ジョウシャ</t>
    </rPh>
    <rPh sb="9" eb="10">
      <t>チュウ</t>
    </rPh>
    <rPh sb="10" eb="11">
      <t>トウ</t>
    </rPh>
    <phoneticPr fontId="4"/>
  </si>
  <si>
    <r>
      <rPr>
        <sz val="11"/>
        <rFont val="ＭＳ Ｐゴシック"/>
        <family val="3"/>
        <charset val="128"/>
      </rPr>
      <t>平成</t>
    </r>
    <r>
      <rPr>
        <sz val="11"/>
        <rFont val="Arial"/>
        <family val="2"/>
      </rPr>
      <t>26</t>
    </r>
    <rPh sb="0" eb="2">
      <t>ヘイセイ</t>
    </rPh>
    <phoneticPr fontId="4"/>
  </si>
  <si>
    <r>
      <rPr>
        <sz val="11"/>
        <rFont val="ＭＳ Ｐゴシック"/>
        <family val="3"/>
        <charset val="128"/>
      </rPr>
      <t>平成</t>
    </r>
    <r>
      <rPr>
        <sz val="11"/>
        <rFont val="Arial"/>
        <family val="2"/>
      </rPr>
      <t>27</t>
    </r>
    <rPh sb="0" eb="2">
      <t>ヘイセイ</t>
    </rPh>
    <phoneticPr fontId="4"/>
  </si>
  <si>
    <r>
      <rPr>
        <sz val="11"/>
        <rFont val="ＭＳ Ｐゴシック"/>
        <family val="3"/>
        <charset val="128"/>
      </rPr>
      <t>令和元</t>
    </r>
    <rPh sb="0" eb="2">
      <t>レイワ</t>
    </rPh>
    <rPh sb="2" eb="3">
      <t>ガン</t>
    </rPh>
    <phoneticPr fontId="4"/>
  </si>
  <si>
    <r>
      <rPr>
        <sz val="11"/>
        <rFont val="ＭＳ Ｐゴシック"/>
        <family val="3"/>
        <charset val="128"/>
      </rPr>
      <t>死者数（人）</t>
    </r>
    <rPh sb="0" eb="2">
      <t>シシャ</t>
    </rPh>
    <rPh sb="2" eb="3">
      <t>スウ</t>
    </rPh>
    <rPh sb="4" eb="5">
      <t>ヒト</t>
    </rPh>
    <phoneticPr fontId="4"/>
  </si>
  <si>
    <r>
      <rPr>
        <sz val="11"/>
        <rFont val="ＭＳ Ｐゴシック"/>
        <family val="3"/>
        <charset val="128"/>
      </rPr>
      <t>負傷者数（人）</t>
    </r>
    <rPh sb="0" eb="1">
      <t>フ</t>
    </rPh>
    <rPh sb="1" eb="3">
      <t>ショウシャ</t>
    </rPh>
    <rPh sb="3" eb="4">
      <t>スウ</t>
    </rPh>
    <rPh sb="5" eb="6">
      <t>ヒト</t>
    </rPh>
    <phoneticPr fontId="4"/>
  </si>
  <si>
    <r>
      <rPr>
        <sz val="11"/>
        <rFont val="ＭＳ Ｐゴシック"/>
        <family val="3"/>
        <charset val="128"/>
      </rPr>
      <t>総　　　数</t>
    </r>
    <rPh sb="0" eb="1">
      <t>フサ</t>
    </rPh>
    <rPh sb="4" eb="5">
      <t>カズ</t>
    </rPh>
    <phoneticPr fontId="4"/>
  </si>
  <si>
    <r>
      <rPr>
        <sz val="11"/>
        <rFont val="ＭＳ Ｐゴシック"/>
        <family val="3"/>
        <charset val="128"/>
      </rPr>
      <t>人</t>
    </r>
    <rPh sb="0" eb="1">
      <t>ジン</t>
    </rPh>
    <phoneticPr fontId="4"/>
  </si>
  <si>
    <r>
      <rPr>
        <sz val="11"/>
        <rFont val="ＭＳ Ｐゴシック"/>
        <family val="3"/>
        <charset val="128"/>
      </rPr>
      <t>横</t>
    </r>
    <rPh sb="0" eb="1">
      <t>ヨコ</t>
    </rPh>
    <phoneticPr fontId="4"/>
  </si>
  <si>
    <r>
      <rPr>
        <sz val="11"/>
        <rFont val="ＭＳ Ｐゴシック"/>
        <family val="3"/>
        <charset val="128"/>
      </rPr>
      <t>対</t>
    </r>
    <rPh sb="0" eb="1">
      <t>タイ</t>
    </rPh>
    <phoneticPr fontId="4"/>
  </si>
  <si>
    <r>
      <rPr>
        <sz val="11"/>
        <rFont val="ＭＳ Ｐゴシック"/>
        <family val="3"/>
        <charset val="128"/>
      </rPr>
      <t>断</t>
    </r>
    <rPh sb="0" eb="1">
      <t>ダン</t>
    </rPh>
    <phoneticPr fontId="4"/>
  </si>
  <si>
    <r>
      <rPr>
        <sz val="11"/>
        <rFont val="ＭＳ Ｐゴシック"/>
        <family val="3"/>
        <charset val="128"/>
      </rPr>
      <t>中</t>
    </r>
    <rPh sb="0" eb="1">
      <t>チュウ</t>
    </rPh>
    <phoneticPr fontId="4"/>
  </si>
  <si>
    <r>
      <rPr>
        <sz val="11"/>
        <rFont val="ＭＳ Ｐゴシック"/>
        <family val="3"/>
        <charset val="128"/>
      </rPr>
      <t>横断歩道橋付近</t>
    </r>
    <rPh sb="0" eb="2">
      <t>オウダン</t>
    </rPh>
    <rPh sb="2" eb="4">
      <t>ホドウ</t>
    </rPh>
    <rPh sb="4" eb="5">
      <t>キョウ</t>
    </rPh>
    <rPh sb="5" eb="7">
      <t>フキン</t>
    </rPh>
    <phoneticPr fontId="4"/>
  </si>
  <si>
    <r>
      <rPr>
        <sz val="11"/>
        <rFont val="ＭＳ Ｐゴシック"/>
        <family val="3"/>
        <charset val="128"/>
      </rPr>
      <t>路上停止中</t>
    </r>
    <rPh sb="0" eb="2">
      <t>ロジョウ</t>
    </rPh>
    <rPh sb="2" eb="5">
      <t>テイシチュウ</t>
    </rPh>
    <phoneticPr fontId="4"/>
  </si>
  <si>
    <r>
      <rPr>
        <sz val="11"/>
        <rFont val="ＭＳ Ｐゴシック"/>
        <family val="3"/>
        <charset val="128"/>
      </rPr>
      <t>列　　　車</t>
    </r>
    <rPh sb="0" eb="1">
      <t>レツ</t>
    </rPh>
    <rPh sb="4" eb="5">
      <t>クルマ</t>
    </rPh>
    <phoneticPr fontId="4"/>
  </si>
  <si>
    <r>
      <rPr>
        <sz val="11"/>
        <rFont val="ＭＳ Ｐゴシック"/>
        <family val="3"/>
        <charset val="128"/>
      </rPr>
      <t>月別</t>
    </r>
    <rPh sb="0" eb="2">
      <t>ツキベツ</t>
    </rPh>
    <phoneticPr fontId="4"/>
  </si>
  <si>
    <r>
      <rPr>
        <sz val="11"/>
        <rFont val="ＭＳ Ｐゴシック"/>
        <family val="3"/>
        <charset val="128"/>
      </rPr>
      <t>区分　　　　　　　</t>
    </r>
    <rPh sb="0" eb="2">
      <t>クブン</t>
    </rPh>
    <phoneticPr fontId="4"/>
  </si>
  <si>
    <r>
      <rPr>
        <sz val="11"/>
        <rFont val="ＭＳ Ｐゴシック"/>
        <family val="3"/>
        <charset val="128"/>
      </rPr>
      <t>件　数（件）</t>
    </r>
    <rPh sb="0" eb="1">
      <t>ケン</t>
    </rPh>
    <rPh sb="2" eb="3">
      <t>カズ</t>
    </rPh>
    <rPh sb="4" eb="5">
      <t>ケン</t>
    </rPh>
    <phoneticPr fontId="4"/>
  </si>
  <si>
    <r>
      <rPr>
        <sz val="11"/>
        <rFont val="ＭＳ Ｐゴシック"/>
        <family val="3"/>
        <charset val="128"/>
      </rPr>
      <t>死　者　数（人）</t>
    </r>
    <rPh sb="0" eb="1">
      <t>シ</t>
    </rPh>
    <rPh sb="2" eb="3">
      <t>モノ</t>
    </rPh>
    <rPh sb="4" eb="5">
      <t>スウ</t>
    </rPh>
    <rPh sb="6" eb="7">
      <t>ヒト</t>
    </rPh>
    <phoneticPr fontId="4"/>
  </si>
  <si>
    <r>
      <rPr>
        <sz val="11"/>
        <rFont val="ＭＳ Ｐゴシック"/>
        <family val="3"/>
        <charset val="128"/>
      </rPr>
      <t>負　傷　者　数（人）</t>
    </r>
    <rPh sb="0" eb="1">
      <t>フ</t>
    </rPh>
    <rPh sb="2" eb="3">
      <t>キズ</t>
    </rPh>
    <rPh sb="4" eb="5">
      <t>モノ</t>
    </rPh>
    <rPh sb="6" eb="7">
      <t>スウ</t>
    </rPh>
    <rPh sb="8" eb="9">
      <t>ヒト</t>
    </rPh>
    <phoneticPr fontId="4"/>
  </si>
  <si>
    <r>
      <rPr>
        <sz val="11"/>
        <rFont val="ＭＳ Ｐゴシック"/>
        <family val="3"/>
        <charset val="128"/>
      </rPr>
      <t>死　　者　　数</t>
    </r>
    <rPh sb="0" eb="1">
      <t>シ</t>
    </rPh>
    <rPh sb="3" eb="4">
      <t>モノ</t>
    </rPh>
    <rPh sb="6" eb="7">
      <t>スウ</t>
    </rPh>
    <phoneticPr fontId="4"/>
  </si>
  <si>
    <r>
      <rPr>
        <sz val="11"/>
        <rFont val="ＭＳ Ｐゴシック"/>
        <family val="3"/>
        <charset val="128"/>
      </rPr>
      <t>内　　重　　傷　　者　　数</t>
    </r>
    <phoneticPr fontId="4"/>
  </si>
  <si>
    <r>
      <rPr>
        <sz val="11"/>
        <rFont val="ＭＳ Ｐゴシック"/>
        <family val="3"/>
        <charset val="128"/>
      </rPr>
      <t>　　（時間別、状態別）</t>
    </r>
    <rPh sb="3" eb="5">
      <t>ジカン</t>
    </rPh>
    <rPh sb="5" eb="6">
      <t>ベツ</t>
    </rPh>
    <rPh sb="7" eb="9">
      <t>ジョウタイ</t>
    </rPh>
    <rPh sb="9" eb="10">
      <t>ベツ</t>
    </rPh>
    <phoneticPr fontId="4"/>
  </si>
  <si>
    <r>
      <rPr>
        <sz val="11"/>
        <rFont val="ＭＳ Ｐゴシック"/>
        <family val="3"/>
        <charset val="128"/>
      </rPr>
      <t>令和元</t>
    </r>
    <rPh sb="0" eb="2">
      <t>レイワ</t>
    </rPh>
    <rPh sb="2" eb="3">
      <t>ゲン</t>
    </rPh>
    <phoneticPr fontId="4"/>
  </si>
  <si>
    <r>
      <rPr>
        <sz val="11"/>
        <rFont val="ＭＳ Ｐゴシック"/>
        <family val="3"/>
        <charset val="128"/>
      </rPr>
      <t>令和</t>
    </r>
    <r>
      <rPr>
        <sz val="11"/>
        <rFont val="Arial"/>
        <family val="2"/>
      </rPr>
      <t>2</t>
    </r>
    <rPh sb="0" eb="2">
      <t>レイワ</t>
    </rPh>
    <phoneticPr fontId="4"/>
  </si>
  <si>
    <r>
      <rPr>
        <sz val="11"/>
        <rFont val="ＭＳ Ｐゴシック"/>
        <family val="3"/>
        <charset val="128"/>
      </rPr>
      <t>令和</t>
    </r>
    <r>
      <rPr>
        <sz val="11"/>
        <rFont val="Arial"/>
        <family val="2"/>
      </rPr>
      <t>3</t>
    </r>
    <rPh sb="0" eb="2">
      <t>レイワ</t>
    </rPh>
    <phoneticPr fontId="4"/>
  </si>
  <si>
    <r>
      <rPr>
        <sz val="11"/>
        <rFont val="ＭＳ Ｐゴシック"/>
        <family val="3"/>
        <charset val="128"/>
      </rPr>
      <t>月</t>
    </r>
    <rPh sb="0" eb="1">
      <t>ツキ</t>
    </rPh>
    <phoneticPr fontId="4"/>
  </si>
  <si>
    <t>R1</t>
  </si>
  <si>
    <r>
      <rPr>
        <sz val="11"/>
        <rFont val="ＭＳ Ｐゴシック"/>
        <family val="3"/>
        <charset val="128"/>
      </rPr>
      <t>横断歩道橋付近</t>
    </r>
    <phoneticPr fontId="4"/>
  </si>
  <si>
    <r>
      <rPr>
        <sz val="11"/>
        <rFont val="ＭＳ Ｐゴシック"/>
        <family val="3"/>
        <charset val="128"/>
      </rPr>
      <t>追越追抜時</t>
    </r>
    <rPh sb="0" eb="2">
      <t>オイコシ</t>
    </rPh>
    <rPh sb="2" eb="4">
      <t>オイヌ</t>
    </rPh>
    <rPh sb="4" eb="5">
      <t>ジ</t>
    </rPh>
    <phoneticPr fontId="4"/>
  </si>
  <si>
    <r>
      <rPr>
        <sz val="11"/>
        <rFont val="ＭＳ Ｐゴシック"/>
        <family val="3"/>
        <charset val="128"/>
      </rPr>
      <t>相</t>
    </r>
    <rPh sb="0" eb="1">
      <t>ソウ</t>
    </rPh>
    <phoneticPr fontId="4"/>
  </si>
  <si>
    <r>
      <rPr>
        <sz val="11"/>
        <rFont val="ＭＳ Ｐゴシック"/>
        <family val="3"/>
        <charset val="128"/>
      </rPr>
      <t>互</t>
    </r>
    <rPh sb="0" eb="1">
      <t>ゴ</t>
    </rPh>
    <phoneticPr fontId="4"/>
  </si>
  <si>
    <r>
      <rPr>
        <sz val="11"/>
        <rFont val="ＭＳ Ｐゴシック"/>
        <family val="3"/>
        <charset val="128"/>
      </rPr>
      <t>（人）</t>
    </r>
    <phoneticPr fontId="4"/>
  </si>
  <si>
    <r>
      <rPr>
        <sz val="11"/>
        <rFont val="ＭＳ Ｐゴシック"/>
        <family val="3"/>
        <charset val="128"/>
      </rPr>
      <t>総　数</t>
    </r>
    <rPh sb="0" eb="1">
      <t>ソウ</t>
    </rPh>
    <rPh sb="2" eb="3">
      <t>スウ</t>
    </rPh>
    <phoneticPr fontId="4"/>
  </si>
  <si>
    <r>
      <rPr>
        <sz val="11"/>
        <rFont val="ＭＳ Ｐゴシック"/>
        <family val="3"/>
        <charset val="128"/>
      </rPr>
      <t>　自動二輪車の交通事故の推移</t>
    </r>
    <rPh sb="1" eb="3">
      <t>ジドウ</t>
    </rPh>
    <rPh sb="3" eb="6">
      <t>ニリンシャ</t>
    </rPh>
    <rPh sb="7" eb="9">
      <t>コウツウ</t>
    </rPh>
    <rPh sb="9" eb="11">
      <t>ジコ</t>
    </rPh>
    <rPh sb="12" eb="14">
      <t>スイイ</t>
    </rPh>
    <phoneticPr fontId="4"/>
  </si>
  <si>
    <r>
      <rPr>
        <sz val="11"/>
        <rFont val="ＭＳ Ｐゴシック"/>
        <family val="3"/>
        <charset val="128"/>
      </rPr>
      <t>昭和</t>
    </r>
    <r>
      <rPr>
        <sz val="11"/>
        <rFont val="Arial"/>
        <family val="2"/>
      </rPr>
      <t>61</t>
    </r>
    <rPh sb="0" eb="2">
      <t>ショウワ</t>
    </rPh>
    <phoneticPr fontId="4"/>
  </si>
  <si>
    <r>
      <rPr>
        <sz val="11"/>
        <rFont val="ＭＳ Ｐゴシック"/>
        <family val="3"/>
        <charset val="128"/>
      </rPr>
      <t>内重傷者数（人）</t>
    </r>
    <rPh sb="0" eb="1">
      <t>ウチ</t>
    </rPh>
    <rPh sb="1" eb="4">
      <t>ジュウショウシャ</t>
    </rPh>
    <rPh sb="4" eb="5">
      <t>スウ</t>
    </rPh>
    <phoneticPr fontId="4"/>
  </si>
  <si>
    <r>
      <rPr>
        <sz val="11"/>
        <rFont val="ＭＳ Ｐゴシック"/>
        <family val="3"/>
        <charset val="128"/>
      </rPr>
      <t>　月別発生状況　（自動二輪車）</t>
    </r>
    <rPh sb="1" eb="2">
      <t>ツキ</t>
    </rPh>
    <rPh sb="2" eb="3">
      <t>ベツ</t>
    </rPh>
    <rPh sb="3" eb="5">
      <t>ハッセイ</t>
    </rPh>
    <rPh sb="5" eb="7">
      <t>ジョウキョウ</t>
    </rPh>
    <rPh sb="9" eb="11">
      <t>ジドウ</t>
    </rPh>
    <rPh sb="11" eb="14">
      <t>ニリンシャ</t>
    </rPh>
    <phoneticPr fontId="4"/>
  </si>
  <si>
    <r>
      <rPr>
        <sz val="11"/>
        <rFont val="ＭＳ Ｐゴシック"/>
        <family val="3"/>
        <charset val="128"/>
      </rPr>
      <t>類型別</t>
    </r>
    <rPh sb="0" eb="2">
      <t>ルイケイ</t>
    </rPh>
    <rPh sb="2" eb="3">
      <t>ベツ</t>
    </rPh>
    <phoneticPr fontId="4"/>
  </si>
  <si>
    <r>
      <rPr>
        <sz val="11"/>
        <rFont val="ＭＳ Ｐゴシック"/>
        <family val="3"/>
        <charset val="128"/>
      </rPr>
      <t>　月別発生状況　（一般原動機付自転車）</t>
    </r>
    <rPh sb="1" eb="2">
      <t>ツキ</t>
    </rPh>
    <rPh sb="2" eb="3">
      <t>ベツ</t>
    </rPh>
    <rPh sb="3" eb="5">
      <t>ハッセイ</t>
    </rPh>
    <rPh sb="5" eb="7">
      <t>ジョウキョウ</t>
    </rPh>
    <rPh sb="9" eb="11">
      <t>イッパン</t>
    </rPh>
    <rPh sb="11" eb="14">
      <t>ゲンドウキ</t>
    </rPh>
    <rPh sb="14" eb="15">
      <t>ツキ</t>
    </rPh>
    <rPh sb="15" eb="18">
      <t>ジテンシャ</t>
    </rPh>
    <phoneticPr fontId="4"/>
  </si>
  <si>
    <r>
      <rPr>
        <sz val="11"/>
        <rFont val="ＭＳ Ｐゴシック"/>
        <family val="3"/>
        <charset val="128"/>
      </rPr>
      <t>死者数（人）</t>
    </r>
    <rPh sb="0" eb="1">
      <t>シ</t>
    </rPh>
    <rPh sb="1" eb="2">
      <t>モノ</t>
    </rPh>
    <rPh sb="2" eb="3">
      <t>スウ</t>
    </rPh>
    <rPh sb="4" eb="5">
      <t>ヒト</t>
    </rPh>
    <phoneticPr fontId="4"/>
  </si>
  <si>
    <r>
      <rPr>
        <sz val="11"/>
        <rFont val="ＭＳ Ｐゴシック"/>
        <family val="3"/>
        <charset val="128"/>
      </rPr>
      <t>件</t>
    </r>
    <rPh sb="0" eb="1">
      <t>ケン</t>
    </rPh>
    <phoneticPr fontId="4"/>
  </si>
  <si>
    <r>
      <rPr>
        <sz val="12"/>
        <rFont val="ＭＳ Ｐゴシック"/>
        <family val="3"/>
        <charset val="128"/>
      </rPr>
      <t>令和７</t>
    </r>
    <r>
      <rPr>
        <sz val="11"/>
        <color theme="1"/>
        <rFont val="游ゴシック"/>
        <family val="2"/>
        <charset val="128"/>
        <scheme val="minor"/>
      </rPr>
      <t/>
    </r>
    <rPh sb="0" eb="2">
      <t>レイワ</t>
    </rPh>
    <phoneticPr fontId="4"/>
  </si>
  <si>
    <r>
      <rPr>
        <sz val="11"/>
        <rFont val="ＭＳ Ｐゴシック"/>
        <family val="3"/>
        <charset val="128"/>
      </rPr>
      <t>全死数者②（人）</t>
    </r>
    <rPh sb="0" eb="1">
      <t>ゼン</t>
    </rPh>
    <rPh sb="1" eb="2">
      <t>シ</t>
    </rPh>
    <rPh sb="2" eb="3">
      <t>スウ</t>
    </rPh>
    <rPh sb="3" eb="4">
      <t>シャ</t>
    </rPh>
    <rPh sb="6" eb="7">
      <t>ヒト</t>
    </rPh>
    <phoneticPr fontId="4"/>
  </si>
  <si>
    <r>
      <rPr>
        <sz val="11"/>
        <rFont val="ＭＳ Ｐゴシック"/>
        <family val="3"/>
        <charset val="128"/>
      </rPr>
      <t>　月別発生状況　（飲酒運転事故）</t>
    </r>
    <rPh sb="1" eb="2">
      <t>ツキ</t>
    </rPh>
    <rPh sb="2" eb="3">
      <t>ベツ</t>
    </rPh>
    <rPh sb="3" eb="5">
      <t>ハッセイ</t>
    </rPh>
    <rPh sb="5" eb="7">
      <t>ジョウキョウ</t>
    </rPh>
    <rPh sb="9" eb="11">
      <t>インシュ</t>
    </rPh>
    <rPh sb="11" eb="13">
      <t>ウンテン</t>
    </rPh>
    <rPh sb="13" eb="15">
      <t>ジコ</t>
    </rPh>
    <phoneticPr fontId="4"/>
  </si>
  <si>
    <r>
      <rPr>
        <sz val="11"/>
        <rFont val="ＭＳ Ｐゴシック"/>
        <family val="3"/>
        <charset val="128"/>
      </rPr>
      <t>　飲酒運転事故時間別状況</t>
    </r>
    <rPh sb="1" eb="3">
      <t>インシュ</t>
    </rPh>
    <rPh sb="3" eb="5">
      <t>ウンテン</t>
    </rPh>
    <rPh sb="5" eb="7">
      <t>ジコ</t>
    </rPh>
    <rPh sb="7" eb="9">
      <t>ジカン</t>
    </rPh>
    <rPh sb="9" eb="10">
      <t>ベツ</t>
    </rPh>
    <rPh sb="10" eb="12">
      <t>ジョウキョウ</t>
    </rPh>
    <phoneticPr fontId="4"/>
  </si>
  <si>
    <r>
      <rPr>
        <sz val="11"/>
        <rFont val="ＭＳ Ｐゴシック"/>
        <family val="3"/>
        <charset val="128"/>
      </rPr>
      <t>件数</t>
    </r>
    <rPh sb="0" eb="1">
      <t>ケン</t>
    </rPh>
    <rPh sb="1" eb="2">
      <t>カズ</t>
    </rPh>
    <phoneticPr fontId="4"/>
  </si>
  <si>
    <r>
      <rPr>
        <sz val="11"/>
        <rFont val="ＭＳ Ｐゴシック"/>
        <family val="3"/>
        <charset val="128"/>
      </rPr>
      <t>内重傷者数</t>
    </r>
    <rPh sb="0" eb="1">
      <t>ウチ</t>
    </rPh>
    <rPh sb="1" eb="4">
      <t>ジュウショウシャ</t>
    </rPh>
    <rPh sb="3" eb="4">
      <t>モノ</t>
    </rPh>
    <rPh sb="4" eb="5">
      <t>スウ</t>
    </rPh>
    <phoneticPr fontId="4"/>
  </si>
  <si>
    <t>令和７年１月１日現在</t>
    <rPh sb="0" eb="2">
      <t>レイワ</t>
    </rPh>
    <rPh sb="3" eb="4">
      <t>ネン</t>
    </rPh>
    <rPh sb="5" eb="6">
      <t>ガツ</t>
    </rPh>
    <rPh sb="7" eb="8">
      <t>ニチ</t>
    </rPh>
    <rPh sb="8" eb="10">
      <t>ゲンザイ</t>
    </rPh>
    <phoneticPr fontId="4"/>
  </si>
  <si>
    <r>
      <rPr>
        <sz val="11"/>
        <rFont val="ＭＳ Ｐゴシック"/>
        <family val="3"/>
        <charset val="128"/>
      </rPr>
      <t>都市名</t>
    </r>
    <rPh sb="0" eb="3">
      <t>トシメイ</t>
    </rPh>
    <phoneticPr fontId="4"/>
  </si>
  <si>
    <r>
      <rPr>
        <sz val="11"/>
        <rFont val="ＭＳ Ｐゴシック"/>
        <family val="3"/>
        <charset val="128"/>
      </rPr>
      <t>年</t>
    </r>
    <rPh sb="0" eb="1">
      <t>ネン</t>
    </rPh>
    <phoneticPr fontId="4"/>
  </si>
  <si>
    <r>
      <rPr>
        <sz val="11"/>
        <rFont val="ＭＳ Ｐゴシック"/>
        <family val="3"/>
        <charset val="128"/>
      </rPr>
      <t>前年対比</t>
    </r>
    <rPh sb="0" eb="2">
      <t>ゼンネン</t>
    </rPh>
    <rPh sb="2" eb="4">
      <t>タイヒ</t>
    </rPh>
    <phoneticPr fontId="4"/>
  </si>
  <si>
    <r>
      <rPr>
        <sz val="11"/>
        <rFont val="ＭＳ Ｐゴシック"/>
        <family val="3"/>
        <charset val="128"/>
      </rPr>
      <t>人口１０万人</t>
    </r>
    <rPh sb="0" eb="2">
      <t>ジンコウ</t>
    </rPh>
    <rPh sb="4" eb="6">
      <t>マンニン</t>
    </rPh>
    <phoneticPr fontId="4"/>
  </si>
  <si>
    <r>
      <rPr>
        <sz val="11"/>
        <rFont val="ＭＳ Ｐゴシック"/>
        <family val="3"/>
        <charset val="128"/>
      </rPr>
      <t>推計人口</t>
    </r>
    <rPh sb="0" eb="2">
      <t>スイケイ</t>
    </rPh>
    <rPh sb="2" eb="3">
      <t>ヒト</t>
    </rPh>
    <rPh sb="3" eb="4">
      <t>クチ</t>
    </rPh>
    <phoneticPr fontId="4"/>
  </si>
  <si>
    <r>
      <rPr>
        <sz val="11"/>
        <rFont val="ＭＳ Ｐゴシック"/>
        <family val="3"/>
        <charset val="128"/>
      </rPr>
      <t>（</t>
    </r>
    <r>
      <rPr>
        <sz val="11"/>
        <rFont val="Arial"/>
        <family val="2"/>
      </rPr>
      <t>2025</t>
    </r>
    <r>
      <rPr>
        <sz val="11"/>
        <rFont val="ＭＳ Ｐゴシック"/>
        <family val="3"/>
        <charset val="128"/>
      </rPr>
      <t>年）</t>
    </r>
    <rPh sb="5" eb="6">
      <t>ネン</t>
    </rPh>
    <phoneticPr fontId="4"/>
  </si>
  <si>
    <r>
      <rPr>
        <sz val="11"/>
        <rFont val="ＭＳ Ｐゴシック"/>
        <family val="3"/>
        <charset val="128"/>
      </rPr>
      <t>（</t>
    </r>
    <r>
      <rPr>
        <sz val="11"/>
        <rFont val="Arial"/>
        <family val="2"/>
      </rPr>
      <t>2024</t>
    </r>
    <r>
      <rPr>
        <sz val="11"/>
        <rFont val="ＭＳ Ｐゴシック"/>
        <family val="3"/>
        <charset val="128"/>
      </rPr>
      <t>年）</t>
    </r>
    <rPh sb="5" eb="6">
      <t>ネン</t>
    </rPh>
    <phoneticPr fontId="4"/>
  </si>
  <si>
    <r>
      <rPr>
        <sz val="11"/>
        <rFont val="ＭＳ Ｐゴシック"/>
        <family val="3"/>
        <charset val="128"/>
      </rPr>
      <t>率（％）</t>
    </r>
    <rPh sb="0" eb="1">
      <t>リツ</t>
    </rPh>
    <phoneticPr fontId="4"/>
  </si>
  <si>
    <r>
      <rPr>
        <sz val="11"/>
        <rFont val="ＭＳ Ｐゴシック"/>
        <family val="3"/>
        <charset val="128"/>
      </rPr>
      <t>あたりの状況</t>
    </r>
    <rPh sb="4" eb="6">
      <t>ジョウキョウ</t>
    </rPh>
    <phoneticPr fontId="4"/>
  </si>
  <si>
    <r>
      <rPr>
        <sz val="11"/>
        <rFont val="ＭＳ Ｐゴシック"/>
        <family val="3"/>
        <charset val="128"/>
      </rPr>
      <t>大阪</t>
    </r>
    <rPh sb="0" eb="2">
      <t>オオサカ</t>
    </rPh>
    <phoneticPr fontId="4"/>
  </si>
  <si>
    <r>
      <rPr>
        <sz val="11"/>
        <rFont val="ＭＳ Ｐゴシック"/>
        <family val="3"/>
        <charset val="128"/>
      </rPr>
      <t>死者（人）</t>
    </r>
    <rPh sb="0" eb="2">
      <t>シシャ</t>
    </rPh>
    <rPh sb="3" eb="4">
      <t>ヒト</t>
    </rPh>
    <phoneticPr fontId="4"/>
  </si>
  <si>
    <r>
      <rPr>
        <sz val="11"/>
        <rFont val="ＭＳ Ｐゴシック"/>
        <family val="3"/>
        <charset val="128"/>
      </rPr>
      <t>負傷者</t>
    </r>
    <r>
      <rPr>
        <sz val="11"/>
        <rFont val="Arial"/>
        <family val="2"/>
      </rPr>
      <t>(</t>
    </r>
    <r>
      <rPr>
        <sz val="11"/>
        <rFont val="ＭＳ Ｐゴシック"/>
        <family val="3"/>
        <charset val="128"/>
      </rPr>
      <t>人</t>
    </r>
    <r>
      <rPr>
        <sz val="11"/>
        <rFont val="Arial"/>
        <family val="2"/>
      </rPr>
      <t>)</t>
    </r>
    <rPh sb="4" eb="5">
      <t>ヒト</t>
    </rPh>
    <phoneticPr fontId="4"/>
  </si>
  <si>
    <r>
      <rPr>
        <sz val="11"/>
        <rFont val="ＭＳ Ｐゴシック"/>
        <family val="3"/>
        <charset val="128"/>
      </rPr>
      <t>内重傷者</t>
    </r>
    <r>
      <rPr>
        <sz val="11"/>
        <rFont val="Arial"/>
        <family val="2"/>
      </rPr>
      <t>(</t>
    </r>
    <r>
      <rPr>
        <sz val="11"/>
        <rFont val="ＭＳ Ｐゴシック"/>
        <family val="3"/>
        <charset val="128"/>
      </rPr>
      <t>人</t>
    </r>
    <r>
      <rPr>
        <sz val="11"/>
        <rFont val="Arial"/>
        <family val="2"/>
      </rPr>
      <t>)</t>
    </r>
    <rPh sb="0" eb="1">
      <t>ウチ</t>
    </rPh>
    <rPh sb="1" eb="4">
      <t>ジュウショウシャ</t>
    </rPh>
    <rPh sb="5" eb="6">
      <t>ニン</t>
    </rPh>
    <phoneticPr fontId="4"/>
  </si>
  <si>
    <r>
      <rPr>
        <sz val="11"/>
        <rFont val="ＭＳ Ｐゴシック"/>
        <family val="3"/>
        <charset val="128"/>
      </rPr>
      <t>堺</t>
    </r>
    <rPh sb="0" eb="1">
      <t>サカイ</t>
    </rPh>
    <phoneticPr fontId="4"/>
  </si>
  <si>
    <r>
      <rPr>
        <sz val="11"/>
        <rFont val="ＭＳ Ｐゴシック"/>
        <family val="3"/>
        <charset val="128"/>
      </rPr>
      <t>札幌</t>
    </r>
    <rPh sb="0" eb="2">
      <t>サッポロ</t>
    </rPh>
    <phoneticPr fontId="4"/>
  </si>
  <si>
    <r>
      <rPr>
        <sz val="11"/>
        <rFont val="ＭＳ Ｐゴシック"/>
        <family val="3"/>
        <charset val="128"/>
      </rPr>
      <t>仙台</t>
    </r>
    <rPh sb="0" eb="2">
      <t>センダイ</t>
    </rPh>
    <phoneticPr fontId="4"/>
  </si>
  <si>
    <r>
      <rPr>
        <sz val="11"/>
        <rFont val="ＭＳ Ｐゴシック"/>
        <family val="3"/>
        <charset val="128"/>
      </rPr>
      <t>さいたま</t>
    </r>
    <phoneticPr fontId="4"/>
  </si>
  <si>
    <r>
      <rPr>
        <sz val="11"/>
        <rFont val="ＭＳ Ｐゴシック"/>
        <family val="3"/>
        <charset val="128"/>
      </rPr>
      <t>千葉</t>
    </r>
    <rPh sb="0" eb="2">
      <t>チバ</t>
    </rPh>
    <phoneticPr fontId="4"/>
  </si>
  <si>
    <r>
      <rPr>
        <sz val="11"/>
        <rFont val="ＭＳ Ｐゴシック"/>
        <family val="3"/>
        <charset val="128"/>
      </rPr>
      <t>川崎</t>
    </r>
    <rPh sb="0" eb="2">
      <t>カワサキ</t>
    </rPh>
    <phoneticPr fontId="4"/>
  </si>
  <si>
    <r>
      <rPr>
        <sz val="11"/>
        <rFont val="ＭＳ Ｐゴシック"/>
        <family val="3"/>
        <charset val="128"/>
      </rPr>
      <t>横浜</t>
    </r>
    <rPh sb="0" eb="2">
      <t>ヨコハマ</t>
    </rPh>
    <phoneticPr fontId="4"/>
  </si>
  <si>
    <r>
      <rPr>
        <sz val="11"/>
        <rFont val="ＭＳ Ｐゴシック"/>
        <family val="3"/>
        <charset val="128"/>
      </rPr>
      <t>相模原</t>
    </r>
    <rPh sb="0" eb="3">
      <t>サガミハラ</t>
    </rPh>
    <phoneticPr fontId="4"/>
  </si>
  <si>
    <r>
      <rPr>
        <sz val="11"/>
        <rFont val="ＭＳ Ｐゴシック"/>
        <family val="3"/>
        <charset val="128"/>
      </rPr>
      <t>新潟</t>
    </r>
    <rPh sb="0" eb="2">
      <t>ニイガタ</t>
    </rPh>
    <phoneticPr fontId="4"/>
  </si>
  <si>
    <r>
      <rPr>
        <sz val="11"/>
        <rFont val="ＭＳ Ｐゴシック"/>
        <family val="3"/>
        <charset val="128"/>
      </rPr>
      <t>静岡</t>
    </r>
    <rPh sb="0" eb="2">
      <t>シズオカ</t>
    </rPh>
    <phoneticPr fontId="4"/>
  </si>
  <si>
    <r>
      <rPr>
        <sz val="11"/>
        <rFont val="ＭＳ Ｐゴシック"/>
        <family val="3"/>
        <charset val="128"/>
      </rPr>
      <t>負傷者（人）</t>
    </r>
    <rPh sb="4" eb="5">
      <t>ヒト</t>
    </rPh>
    <phoneticPr fontId="4"/>
  </si>
  <si>
    <r>
      <rPr>
        <sz val="11"/>
        <rFont val="ＭＳ Ｐゴシック"/>
        <family val="3"/>
        <charset val="128"/>
      </rPr>
      <t>浜松</t>
    </r>
    <rPh sb="0" eb="2">
      <t>ハママツ</t>
    </rPh>
    <phoneticPr fontId="4"/>
  </si>
  <si>
    <r>
      <rPr>
        <sz val="11"/>
        <rFont val="ＭＳ Ｐゴシック"/>
        <family val="3"/>
        <charset val="128"/>
      </rPr>
      <t>名古屋</t>
    </r>
    <rPh sb="0" eb="3">
      <t>ナゴヤ</t>
    </rPh>
    <phoneticPr fontId="4"/>
  </si>
  <si>
    <r>
      <rPr>
        <sz val="11"/>
        <rFont val="ＭＳ Ｐゴシック"/>
        <family val="3"/>
        <charset val="128"/>
      </rPr>
      <t>京都</t>
    </r>
    <rPh sb="0" eb="2">
      <t>キョウト</t>
    </rPh>
    <phoneticPr fontId="4"/>
  </si>
  <si>
    <r>
      <rPr>
        <sz val="11"/>
        <rFont val="ＭＳ Ｐゴシック"/>
        <family val="3"/>
        <charset val="128"/>
      </rPr>
      <t>神戸</t>
    </r>
    <rPh sb="0" eb="2">
      <t>コウベ</t>
    </rPh>
    <phoneticPr fontId="4"/>
  </si>
  <si>
    <r>
      <rPr>
        <sz val="11"/>
        <rFont val="ＭＳ Ｐゴシック"/>
        <family val="3"/>
        <charset val="128"/>
      </rPr>
      <t>岡山</t>
    </r>
    <rPh sb="0" eb="2">
      <t>オカヤマ</t>
    </rPh>
    <phoneticPr fontId="4"/>
  </si>
  <si>
    <r>
      <rPr>
        <sz val="11"/>
        <rFont val="ＭＳ Ｐゴシック"/>
        <family val="3"/>
        <charset val="128"/>
      </rPr>
      <t>広島</t>
    </r>
    <rPh sb="0" eb="2">
      <t>ヒロシマ</t>
    </rPh>
    <phoneticPr fontId="4"/>
  </si>
  <si>
    <r>
      <rPr>
        <sz val="11"/>
        <rFont val="ＭＳ Ｐゴシック"/>
        <family val="3"/>
        <charset val="128"/>
      </rPr>
      <t>北九州</t>
    </r>
    <rPh sb="0" eb="3">
      <t>キタキュウシュウ</t>
    </rPh>
    <phoneticPr fontId="4"/>
  </si>
  <si>
    <r>
      <rPr>
        <sz val="11"/>
        <rFont val="ＭＳ Ｐゴシック"/>
        <family val="3"/>
        <charset val="128"/>
      </rPr>
      <t>福岡</t>
    </r>
    <rPh sb="0" eb="2">
      <t>フクオカ</t>
    </rPh>
    <phoneticPr fontId="4"/>
  </si>
  <si>
    <r>
      <rPr>
        <sz val="11"/>
        <rFont val="ＭＳ Ｐゴシック"/>
        <family val="3"/>
        <charset val="128"/>
      </rPr>
      <t>熊本</t>
    </r>
    <rPh sb="0" eb="2">
      <t>クマモト</t>
    </rPh>
    <phoneticPr fontId="4"/>
  </si>
  <si>
    <t>（注）大阪市域内は高速道路交通警察隊が管轄する道路を除く。</t>
    <rPh sb="13" eb="15">
      <t>コウツウ</t>
    </rPh>
    <rPh sb="15" eb="18">
      <t>ケイサツタイ</t>
    </rPh>
    <rPh sb="19" eb="21">
      <t>カンカツ</t>
    </rPh>
    <rPh sb="23" eb="25">
      <t>ドウロ</t>
    </rPh>
    <phoneticPr fontId="4"/>
  </si>
  <si>
    <t>（注１）大阪市域内のS51「内重傷者数」は記録なし。</t>
    <rPh sb="1" eb="2">
      <t>チュウ</t>
    </rPh>
    <rPh sb="4" eb="7">
      <t>オオサカシ</t>
    </rPh>
    <rPh sb="7" eb="8">
      <t>イキ</t>
    </rPh>
    <rPh sb="8" eb="9">
      <t>ナイ</t>
    </rPh>
    <rPh sb="14" eb="15">
      <t>ウチ</t>
    </rPh>
    <rPh sb="15" eb="18">
      <t>ジュウショウシャ</t>
    </rPh>
    <rPh sb="18" eb="19">
      <t>スウ</t>
    </rPh>
    <rPh sb="21" eb="23">
      <t>キロク</t>
    </rPh>
    <phoneticPr fontId="4"/>
  </si>
  <si>
    <t>（注２）大阪市域内は、高速道路交通警察隊が管轄する道路を除く。</t>
    <rPh sb="1" eb="2">
      <t>チュウ</t>
    </rPh>
    <rPh sb="4" eb="7">
      <t>オオサカシ</t>
    </rPh>
    <rPh sb="7" eb="8">
      <t>イキ</t>
    </rPh>
    <rPh sb="8" eb="9">
      <t>ナイ</t>
    </rPh>
    <rPh sb="11" eb="13">
      <t>コウソク</t>
    </rPh>
    <rPh sb="13" eb="15">
      <t>ドウロ</t>
    </rPh>
    <rPh sb="15" eb="20">
      <t>コウツウケイサツタイ</t>
    </rPh>
    <rPh sb="21" eb="23">
      <t>カンカツ</t>
    </rPh>
    <rPh sb="25" eb="27">
      <t>ドウロ</t>
    </rPh>
    <rPh sb="28" eb="29">
      <t>ノゾ</t>
    </rPh>
    <phoneticPr fontId="4"/>
  </si>
  <si>
    <t>（注）大阪市域内は、高速道路交通警察隊が管轄する道路を除く。</t>
    <rPh sb="1" eb="2">
      <t>チュウ</t>
    </rPh>
    <rPh sb="3" eb="6">
      <t>オオサカシ</t>
    </rPh>
    <rPh sb="6" eb="7">
      <t>イキ</t>
    </rPh>
    <rPh sb="7" eb="8">
      <t>ナイ</t>
    </rPh>
    <rPh sb="10" eb="12">
      <t>コウソク</t>
    </rPh>
    <rPh sb="12" eb="14">
      <t>ドウロ</t>
    </rPh>
    <rPh sb="14" eb="19">
      <t>コウツウケイサツタイ</t>
    </rPh>
    <rPh sb="20" eb="22">
      <t>カンカツ</t>
    </rPh>
    <rPh sb="24" eb="26">
      <t>ドウロ</t>
    </rPh>
    <rPh sb="27" eb="28">
      <t>ノゾ</t>
    </rPh>
    <phoneticPr fontId="4"/>
  </si>
  <si>
    <t>（注１）S51「内重傷者数」は記録なし。</t>
    <phoneticPr fontId="4"/>
  </si>
  <si>
    <t>（注２）高速道路交通警察隊が管轄する道路を除く。</t>
    <rPh sb="1" eb="2">
      <t>チュウ</t>
    </rPh>
    <rPh sb="4" eb="6">
      <t>コウソク</t>
    </rPh>
    <rPh sb="6" eb="8">
      <t>ドウロ</t>
    </rPh>
    <rPh sb="8" eb="10">
      <t>コウツウ</t>
    </rPh>
    <rPh sb="10" eb="13">
      <t>ケイサツタイ</t>
    </rPh>
    <rPh sb="14" eb="16">
      <t>カンカツ</t>
    </rPh>
    <rPh sb="18" eb="20">
      <t>ドウロ</t>
    </rPh>
    <rPh sb="21" eb="22">
      <t>ノゾ</t>
    </rPh>
    <phoneticPr fontId="4"/>
  </si>
  <si>
    <t>（注１）大阪市域内及び大阪市域外は、高速道路交通警察隊が管轄する道路を除く。</t>
    <rPh sb="1" eb="2">
      <t>チュウ</t>
    </rPh>
    <phoneticPr fontId="4"/>
  </si>
  <si>
    <t>（注２）こども及び高齢者は自身の数を計上</t>
    <rPh sb="1" eb="2">
      <t>チュウ</t>
    </rPh>
    <phoneticPr fontId="4"/>
  </si>
  <si>
    <t>（注１）高速道路交通警察隊が管轄する道路を除く。</t>
    <rPh sb="1" eb="2">
      <t>チュウ</t>
    </rPh>
    <rPh sb="4" eb="6">
      <t>コウソク</t>
    </rPh>
    <rPh sb="6" eb="8">
      <t>ドウロ</t>
    </rPh>
    <rPh sb="8" eb="13">
      <t>コウツウケイサツタイ</t>
    </rPh>
    <rPh sb="14" eb="16">
      <t>カンカツ</t>
    </rPh>
    <rPh sb="18" eb="20">
      <t>ドウロ</t>
    </rPh>
    <rPh sb="21" eb="22">
      <t>ノゾ</t>
    </rPh>
    <phoneticPr fontId="4"/>
  </si>
  <si>
    <t>（注）高速道路交通警察隊が管轄する道路を除く。</t>
    <rPh sb="1" eb="2">
      <t>チュウ</t>
    </rPh>
    <rPh sb="3" eb="5">
      <t>コウソク</t>
    </rPh>
    <rPh sb="5" eb="7">
      <t>ドウロ</t>
    </rPh>
    <rPh sb="7" eb="12">
      <t>コウツウケイサツタイ</t>
    </rPh>
    <rPh sb="13" eb="15">
      <t>カンカツ</t>
    </rPh>
    <rPh sb="17" eb="19">
      <t>ドウロ</t>
    </rPh>
    <rPh sb="20" eb="21">
      <t>ノゾ</t>
    </rPh>
    <phoneticPr fontId="4"/>
  </si>
  <si>
    <t>（注）高速道路交通警察隊が管轄する道路を除く。</t>
    <rPh sb="1" eb="2">
      <t>チュウ</t>
    </rPh>
    <rPh sb="3" eb="5">
      <t>コウソク</t>
    </rPh>
    <rPh sb="5" eb="7">
      <t>ドウロ</t>
    </rPh>
    <rPh sb="7" eb="9">
      <t>コウツウ</t>
    </rPh>
    <rPh sb="9" eb="12">
      <t>ケイサツタイ</t>
    </rPh>
    <rPh sb="13" eb="15">
      <t>カンカツ</t>
    </rPh>
    <rPh sb="17" eb="19">
      <t>ドウロ</t>
    </rPh>
    <rPh sb="20" eb="21">
      <t>ノゾ</t>
    </rPh>
    <phoneticPr fontId="4"/>
  </si>
  <si>
    <t>（注１）高速道路交通警察隊が管轄する道路を除く。</t>
    <rPh sb="1" eb="2">
      <t>チュウ</t>
    </rPh>
    <rPh sb="4" eb="6">
      <t>コウソク</t>
    </rPh>
    <rPh sb="6" eb="8">
      <t>ドウロ</t>
    </rPh>
    <rPh sb="8" eb="10">
      <t>コウツウ</t>
    </rPh>
    <rPh sb="10" eb="13">
      <t>ケイサツタイ</t>
    </rPh>
    <rPh sb="14" eb="16">
      <t>カンカツ</t>
    </rPh>
    <rPh sb="18" eb="20">
      <t>ドウロ</t>
    </rPh>
    <rPh sb="21" eb="22">
      <t>ノゾ</t>
    </rPh>
    <phoneticPr fontId="4"/>
  </si>
  <si>
    <t>（注２）幹線道路とは、８ページ記載の国道、主要地方道、一般府道、大阪市道を指す。
（以下のページについても同様である。）</t>
    <rPh sb="1" eb="2">
      <t>チュウ</t>
    </rPh>
    <rPh sb="4" eb="6">
      <t>カンセン</t>
    </rPh>
    <rPh sb="6" eb="8">
      <t>ドウロ</t>
    </rPh>
    <rPh sb="15" eb="17">
      <t>キサイ</t>
    </rPh>
    <rPh sb="18" eb="20">
      <t>コクドウ</t>
    </rPh>
    <rPh sb="21" eb="23">
      <t>シュヨウ</t>
    </rPh>
    <rPh sb="23" eb="25">
      <t>チホウ</t>
    </rPh>
    <rPh sb="25" eb="26">
      <t>ミチ</t>
    </rPh>
    <rPh sb="27" eb="29">
      <t>イッパン</t>
    </rPh>
    <rPh sb="29" eb="31">
      <t>フドウ</t>
    </rPh>
    <rPh sb="32" eb="34">
      <t>オオサカ</t>
    </rPh>
    <rPh sb="34" eb="36">
      <t>シドウ</t>
    </rPh>
    <rPh sb="37" eb="38">
      <t>サ</t>
    </rPh>
    <rPh sb="42" eb="44">
      <t>イカ</t>
    </rPh>
    <rPh sb="53" eb="55">
      <t>ドウヨウ</t>
    </rPh>
    <phoneticPr fontId="4"/>
  </si>
  <si>
    <t>（注３）昭和46年～平成29年は、「内重傷者数」の内訳記録なし。</t>
    <rPh sb="1" eb="2">
      <t>チュウ</t>
    </rPh>
    <rPh sb="4" eb="6">
      <t>ショウワ</t>
    </rPh>
    <rPh sb="8" eb="9">
      <t>ネン</t>
    </rPh>
    <rPh sb="10" eb="12">
      <t>ヘイセイ</t>
    </rPh>
    <rPh sb="14" eb="15">
      <t>ネン</t>
    </rPh>
    <rPh sb="18" eb="19">
      <t>ウチ</t>
    </rPh>
    <rPh sb="19" eb="23">
      <t>ジュウショウシャスウ</t>
    </rPh>
    <rPh sb="25" eb="27">
      <t>ウチワケ</t>
    </rPh>
    <rPh sb="27" eb="29">
      <t>キロク</t>
    </rPh>
    <phoneticPr fontId="4"/>
  </si>
  <si>
    <t>（注１）０時とは、０時から午前１時までの間をいう。以下同じ。</t>
    <rPh sb="1" eb="2">
      <t>チュウ</t>
    </rPh>
    <phoneticPr fontId="4"/>
  </si>
  <si>
    <t>（注２）高速道路交通警察隊が管轄する道路を除く。</t>
    <rPh sb="1" eb="2">
      <t>チュウ</t>
    </rPh>
    <phoneticPr fontId="4"/>
  </si>
  <si>
    <t>（注）高速道路交通警察隊の管轄する道路を除く。</t>
    <rPh sb="1" eb="2">
      <t>チュウ</t>
    </rPh>
    <rPh sb="3" eb="5">
      <t>コウソク</t>
    </rPh>
    <rPh sb="5" eb="7">
      <t>ドウロ</t>
    </rPh>
    <rPh sb="7" eb="9">
      <t>コウツウ</t>
    </rPh>
    <rPh sb="9" eb="12">
      <t>ケイサツタイ</t>
    </rPh>
    <rPh sb="13" eb="15">
      <t>カンカツ</t>
    </rPh>
    <rPh sb="17" eb="19">
      <t>ドウロ</t>
    </rPh>
    <rPh sb="20" eb="21">
      <t>ノゾ</t>
    </rPh>
    <phoneticPr fontId="4"/>
  </si>
  <si>
    <t>（注１）交差点及び環状交差点内における交通事故を計上</t>
    <rPh sb="1" eb="2">
      <t>チュウ</t>
    </rPh>
    <rPh sb="4" eb="7">
      <t>コウサテン</t>
    </rPh>
    <rPh sb="7" eb="8">
      <t>オヨ</t>
    </rPh>
    <rPh sb="9" eb="11">
      <t>カンジョウ</t>
    </rPh>
    <rPh sb="11" eb="14">
      <t>コウサテン</t>
    </rPh>
    <rPh sb="14" eb="15">
      <t>ナイ</t>
    </rPh>
    <rPh sb="19" eb="21">
      <t>コウツウ</t>
    </rPh>
    <rPh sb="21" eb="23">
      <t>ジコ</t>
    </rPh>
    <rPh sb="24" eb="26">
      <t>ケイジョウ</t>
    </rPh>
    <phoneticPr fontId="4"/>
  </si>
  <si>
    <t>（注２）高速道路交通警察隊の管轄する道路を除く。</t>
    <rPh sb="1" eb="2">
      <t>チュウ</t>
    </rPh>
    <rPh sb="4" eb="6">
      <t>コウソク</t>
    </rPh>
    <rPh sb="6" eb="8">
      <t>ドウロ</t>
    </rPh>
    <rPh sb="8" eb="10">
      <t>コウツウ</t>
    </rPh>
    <rPh sb="10" eb="13">
      <t>ケイサツタイ</t>
    </rPh>
    <rPh sb="14" eb="16">
      <t>カンカツ</t>
    </rPh>
    <rPh sb="18" eb="20">
      <t>ドウロ</t>
    </rPh>
    <rPh sb="21" eb="22">
      <t>ノゾ</t>
    </rPh>
    <phoneticPr fontId="4"/>
  </si>
  <si>
    <t>（注２）昭和45年～平成29年は、「内重傷者数（人）」の記録なし。</t>
    <rPh sb="24" eb="25">
      <t>ニン</t>
    </rPh>
    <phoneticPr fontId="4"/>
  </si>
  <si>
    <t>（注３）高速道路交通警察隊の管轄する道路を除く。</t>
    <rPh sb="1" eb="2">
      <t>チュウ</t>
    </rPh>
    <rPh sb="4" eb="6">
      <t>コウソク</t>
    </rPh>
    <rPh sb="6" eb="8">
      <t>ドウロ</t>
    </rPh>
    <rPh sb="8" eb="10">
      <t>コウツウ</t>
    </rPh>
    <rPh sb="10" eb="13">
      <t>ケイサツタイ</t>
    </rPh>
    <rPh sb="14" eb="16">
      <t>カンカツ</t>
    </rPh>
    <rPh sb="18" eb="20">
      <t>ドウロ</t>
    </rPh>
    <rPh sb="21" eb="22">
      <t>ノゾ</t>
    </rPh>
    <phoneticPr fontId="4"/>
  </si>
  <si>
    <t>（注１）高齢者自身の死傷者数を計上。負傷者数の統計は昭和61年から開始したため、昭和45年についてはデータが</t>
    <rPh sb="1" eb="2">
      <t>チュウ</t>
    </rPh>
    <rPh sb="4" eb="7">
      <t>コウレイシャ</t>
    </rPh>
    <rPh sb="7" eb="9">
      <t>ジシン</t>
    </rPh>
    <rPh sb="10" eb="12">
      <t>シショウ</t>
    </rPh>
    <rPh sb="12" eb="13">
      <t>シャ</t>
    </rPh>
    <rPh sb="13" eb="14">
      <t>スウ</t>
    </rPh>
    <rPh sb="15" eb="17">
      <t>ケイジョウ</t>
    </rPh>
    <rPh sb="19" eb="20">
      <t>キズ</t>
    </rPh>
    <rPh sb="20" eb="21">
      <t>モノ</t>
    </rPh>
    <rPh sb="21" eb="22">
      <t>スウ</t>
    </rPh>
    <rPh sb="23" eb="25">
      <t>トウケイ</t>
    </rPh>
    <rPh sb="26" eb="28">
      <t>ショウワ</t>
    </rPh>
    <rPh sb="30" eb="31">
      <t>ネン</t>
    </rPh>
    <rPh sb="33" eb="35">
      <t>カイシ</t>
    </rPh>
    <rPh sb="40" eb="42">
      <t>ショウワ</t>
    </rPh>
    <rPh sb="44" eb="45">
      <t>ネン</t>
    </rPh>
    <phoneticPr fontId="4"/>
  </si>
  <si>
    <t>　　　存在しない。高齢者 の定義については、 昭和45年は「60歳以上」、それ以外は「66歳以上」となっている。</t>
    <rPh sb="3" eb="5">
      <t>ソンザイ</t>
    </rPh>
    <rPh sb="9" eb="12">
      <t>コウレイシャ</t>
    </rPh>
    <rPh sb="14" eb="16">
      <t>テイギ</t>
    </rPh>
    <rPh sb="23" eb="25">
      <t>ショウワ</t>
    </rPh>
    <rPh sb="27" eb="28">
      <t>ネン</t>
    </rPh>
    <rPh sb="39" eb="41">
      <t>イガイ</t>
    </rPh>
    <phoneticPr fontId="4"/>
  </si>
  <si>
    <t>（注１）高齢者自身の死傷者数を計上</t>
    <phoneticPr fontId="4"/>
  </si>
  <si>
    <t>（注１）高齢者自身の死傷者数を計上。</t>
    <rPh sb="1" eb="2">
      <t>チュウ</t>
    </rPh>
    <phoneticPr fontId="4"/>
  </si>
  <si>
    <t>（注１）件数は、高齢者による事故件数、死傷者数は、その事故による生じた全死傷者数を計上</t>
    <rPh sb="1" eb="2">
      <t>チュウ</t>
    </rPh>
    <rPh sb="4" eb="6">
      <t>ケンスウ</t>
    </rPh>
    <rPh sb="8" eb="11">
      <t>コウレイシャ</t>
    </rPh>
    <rPh sb="14" eb="16">
      <t>ジコ</t>
    </rPh>
    <rPh sb="16" eb="18">
      <t>ケンスウ</t>
    </rPh>
    <rPh sb="19" eb="23">
      <t>シショウシャスウ</t>
    </rPh>
    <rPh sb="27" eb="29">
      <t>ジコ</t>
    </rPh>
    <rPh sb="32" eb="33">
      <t>ショウ</t>
    </rPh>
    <rPh sb="35" eb="36">
      <t>ゼン</t>
    </rPh>
    <rPh sb="36" eb="40">
      <t>シショウシャスウ</t>
    </rPh>
    <rPh sb="41" eb="43">
      <t>ケイジョウ</t>
    </rPh>
    <phoneticPr fontId="4"/>
  </si>
  <si>
    <t xml:space="preserve">（注１）こども自身の死傷者数を計上
</t>
    <rPh sb="1" eb="2">
      <t>チュウ</t>
    </rPh>
    <phoneticPr fontId="4"/>
  </si>
  <si>
    <t>（注２）昭和45年～平成29年は、「内重傷者数（人）」の記録なし。</t>
    <phoneticPr fontId="4"/>
  </si>
  <si>
    <t>（注１）こども自身の死傷者数を計上</t>
    <rPh sb="1" eb="2">
      <t>チュウ</t>
    </rPh>
    <phoneticPr fontId="4"/>
  </si>
  <si>
    <t>（注１）こどもが１当になったときの違反と、その事故により生じた全死傷者数を計上</t>
    <rPh sb="1" eb="2">
      <t>チュウ</t>
    </rPh>
    <phoneticPr fontId="4"/>
  </si>
  <si>
    <t>（注１）若年者が関連した（１当又は２当になった）件数と若年者自身の死傷者数を計上</t>
    <rPh sb="1" eb="2">
      <t>チュウ</t>
    </rPh>
    <rPh sb="4" eb="6">
      <t>ジャクネン</t>
    </rPh>
    <rPh sb="6" eb="7">
      <t>シャ</t>
    </rPh>
    <rPh sb="8" eb="10">
      <t>カンレン</t>
    </rPh>
    <rPh sb="14" eb="15">
      <t>トウ</t>
    </rPh>
    <rPh sb="15" eb="16">
      <t>マタ</t>
    </rPh>
    <rPh sb="18" eb="19">
      <t>トウ</t>
    </rPh>
    <rPh sb="24" eb="26">
      <t>ケンスウ</t>
    </rPh>
    <rPh sb="27" eb="29">
      <t>ジャクネン</t>
    </rPh>
    <rPh sb="29" eb="30">
      <t>シャ</t>
    </rPh>
    <rPh sb="30" eb="32">
      <t>ジシン</t>
    </rPh>
    <rPh sb="33" eb="36">
      <t>シショウシャ</t>
    </rPh>
    <rPh sb="36" eb="37">
      <t>スウ</t>
    </rPh>
    <rPh sb="38" eb="40">
      <t>ケイジョウ</t>
    </rPh>
    <phoneticPr fontId="4"/>
  </si>
  <si>
    <t>（注１）高校生が関連した（１当又は２当になった）件数と高校生自身の死傷者数を計上</t>
    <rPh sb="1" eb="2">
      <t>チュウ</t>
    </rPh>
    <rPh sb="4" eb="7">
      <t>コウコウセイ</t>
    </rPh>
    <rPh sb="8" eb="10">
      <t>カンレン</t>
    </rPh>
    <rPh sb="14" eb="15">
      <t>トウ</t>
    </rPh>
    <rPh sb="15" eb="16">
      <t>マタ</t>
    </rPh>
    <rPh sb="18" eb="19">
      <t>トウ</t>
    </rPh>
    <rPh sb="24" eb="26">
      <t>ケンスウ</t>
    </rPh>
    <rPh sb="27" eb="30">
      <t>コウコウセイ</t>
    </rPh>
    <rPh sb="30" eb="32">
      <t>ジシン</t>
    </rPh>
    <rPh sb="33" eb="36">
      <t>シショウシャ</t>
    </rPh>
    <rPh sb="36" eb="37">
      <t>スウ</t>
    </rPh>
    <rPh sb="38" eb="40">
      <t>ケイジョウ</t>
    </rPh>
    <phoneticPr fontId="4"/>
  </si>
  <si>
    <t>（注１）若年者自身の死傷者数を計上</t>
    <rPh sb="1" eb="2">
      <t>チュウ</t>
    </rPh>
    <phoneticPr fontId="4"/>
  </si>
  <si>
    <t>（注１）若年者自身の死傷者数を計上</t>
    <rPh sb="1" eb="2">
      <t>チュウ</t>
    </rPh>
    <rPh sb="4" eb="6">
      <t>ジャクネン</t>
    </rPh>
    <rPh sb="6" eb="7">
      <t>シャ</t>
    </rPh>
    <rPh sb="7" eb="9">
      <t>ジシン</t>
    </rPh>
    <rPh sb="10" eb="13">
      <t>シショウシャ</t>
    </rPh>
    <rPh sb="13" eb="14">
      <t>スウ</t>
    </rPh>
    <rPh sb="15" eb="17">
      <t>ケイジョウ</t>
    </rPh>
    <phoneticPr fontId="4"/>
  </si>
  <si>
    <t>（注１）若年者が１当になったときの違反と、その事故により生じた全死傷者数を計上</t>
    <rPh sb="1" eb="2">
      <t>チュウ</t>
    </rPh>
    <phoneticPr fontId="4"/>
  </si>
  <si>
    <t>（注２）高速道路交通警察隊の管轄する道路を除く。</t>
    <rPh sb="1" eb="2">
      <t>チュウ</t>
    </rPh>
    <phoneticPr fontId="4"/>
  </si>
  <si>
    <t>（注１）歩行者が関連した（１当又は２当となった）件数とその事故により生じた全死傷者数を計上</t>
    <rPh sb="1" eb="2">
      <t>チュウ</t>
    </rPh>
    <rPh sb="4" eb="7">
      <t>ホコウシャ</t>
    </rPh>
    <rPh sb="8" eb="10">
      <t>カンレン</t>
    </rPh>
    <rPh sb="14" eb="15">
      <t>トウ</t>
    </rPh>
    <rPh sb="15" eb="16">
      <t>マタ</t>
    </rPh>
    <rPh sb="18" eb="19">
      <t>トウ</t>
    </rPh>
    <rPh sb="24" eb="26">
      <t>ケンスウ</t>
    </rPh>
    <rPh sb="29" eb="31">
      <t>ジコ</t>
    </rPh>
    <rPh sb="34" eb="35">
      <t>ショウ</t>
    </rPh>
    <rPh sb="37" eb="38">
      <t>ゼン</t>
    </rPh>
    <rPh sb="38" eb="40">
      <t>シショウ</t>
    </rPh>
    <rPh sb="40" eb="41">
      <t>シャ</t>
    </rPh>
    <rPh sb="41" eb="42">
      <t>スウ</t>
    </rPh>
    <rPh sb="43" eb="45">
      <t>ケイジョウ</t>
    </rPh>
    <phoneticPr fontId="4"/>
  </si>
  <si>
    <t>（注２）昭和45年～平成29年は、「内重傷者数（人）」の記録なし。</t>
    <rPh sb="4" eb="6">
      <t>ショウワ</t>
    </rPh>
    <rPh sb="8" eb="9">
      <t>トシ</t>
    </rPh>
    <phoneticPr fontId="4"/>
  </si>
  <si>
    <t>（注１）歩行者が関連した（１当又は２当となった）件数とその事故により生じた全死傷者数を計上</t>
    <phoneticPr fontId="4"/>
  </si>
  <si>
    <t>（注１）歩行者が１当又は２当となった事故の件数及びその事故により生じた全死傷者数を計上</t>
    <rPh sb="1" eb="2">
      <t>チュウ</t>
    </rPh>
    <rPh sb="4" eb="7">
      <t>ホコウシャ</t>
    </rPh>
    <rPh sb="9" eb="10">
      <t>トウ</t>
    </rPh>
    <rPh sb="10" eb="11">
      <t>マタ</t>
    </rPh>
    <rPh sb="13" eb="14">
      <t>トウ</t>
    </rPh>
    <rPh sb="18" eb="20">
      <t>ジコ</t>
    </rPh>
    <rPh sb="21" eb="23">
      <t>ケンスウ</t>
    </rPh>
    <rPh sb="23" eb="24">
      <t>オヨ</t>
    </rPh>
    <rPh sb="27" eb="29">
      <t>ジコ</t>
    </rPh>
    <rPh sb="32" eb="33">
      <t>ショウ</t>
    </rPh>
    <rPh sb="35" eb="36">
      <t>ゼン</t>
    </rPh>
    <rPh sb="36" eb="39">
      <t>シショウシャ</t>
    </rPh>
    <rPh sb="39" eb="40">
      <t>スウ</t>
    </rPh>
    <rPh sb="41" eb="43">
      <t>ケイジョウ</t>
    </rPh>
    <phoneticPr fontId="43"/>
  </si>
  <si>
    <t>（注１）歩行者が１当又は２当となった事故の件数及びその事故により生じた全死傷者数を計上</t>
    <rPh sb="35" eb="36">
      <t>ゼン</t>
    </rPh>
    <phoneticPr fontId="4"/>
  </si>
  <si>
    <t>（注１）自転車が関連した（１当又は２当）となった件数とその事故により生じた全死傷者数を計上。</t>
    <phoneticPr fontId="4"/>
  </si>
  <si>
    <t>（注２）昭和45年～平成29年は、「内重傷者数（人）」の記録なし。</t>
    <phoneticPr fontId="4"/>
  </si>
  <si>
    <t>（注１）自転車が関連した（１当又は２当となった）件数とその事故により生じた全死傷者数を計上</t>
    <rPh sb="1" eb="2">
      <t>チュウ</t>
    </rPh>
    <rPh sb="4" eb="7">
      <t>ジテンシャ</t>
    </rPh>
    <rPh sb="8" eb="10">
      <t>カンレン</t>
    </rPh>
    <rPh sb="14" eb="15">
      <t>トウ</t>
    </rPh>
    <rPh sb="15" eb="16">
      <t>マタ</t>
    </rPh>
    <rPh sb="18" eb="19">
      <t>トウ</t>
    </rPh>
    <rPh sb="24" eb="26">
      <t>ケンスウ</t>
    </rPh>
    <rPh sb="29" eb="31">
      <t>ジコ</t>
    </rPh>
    <rPh sb="34" eb="35">
      <t>ショウ</t>
    </rPh>
    <rPh sb="37" eb="38">
      <t>ゼン</t>
    </rPh>
    <rPh sb="38" eb="40">
      <t>シショウ</t>
    </rPh>
    <rPh sb="40" eb="41">
      <t>シャ</t>
    </rPh>
    <rPh sb="41" eb="42">
      <t>スウ</t>
    </rPh>
    <rPh sb="43" eb="45">
      <t>ケイジョウ</t>
    </rPh>
    <phoneticPr fontId="4"/>
  </si>
  <si>
    <t>（注）</t>
    <rPh sb="1" eb="2">
      <t>チュウ</t>
    </rPh>
    <phoneticPr fontId="4"/>
  </si>
  <si>
    <t>件数は自転車と自転車が１当・２当（又は２当・１当）となった事故を計上、死傷者数はその事故によって生じた全死傷者数を計上した。
高速隊は除く。
発生場所が大阪市内の事故を集計対象とした。
H18～H29は、「内重傷者数」の記録なし。</t>
    <rPh sb="7" eb="10">
      <t>ジテンシャ</t>
    </rPh>
    <rPh sb="51" eb="52">
      <t>ゼン</t>
    </rPh>
    <phoneticPr fontId="4"/>
  </si>
  <si>
    <t>（注）</t>
    <phoneticPr fontId="4"/>
  </si>
  <si>
    <t>件数は自転車と歩行者が１当・２当（又は２当・１当）となった事故を計上、死傷者数はその事故によって生じた全死傷者数を計上した。
高速隊は除く。
発生場所が大阪市内の事故を集計対象とした。
H17～H29は、「内重傷者数」の記録なし。</t>
    <rPh sb="51" eb="52">
      <t>ゼン</t>
    </rPh>
    <phoneticPr fontId="4"/>
  </si>
  <si>
    <t>（注１）自転車が関連した（１当又は２当となった）件数とその事故により生じた全死傷者数を計上</t>
    <rPh sb="1" eb="2">
      <t>チュウ</t>
    </rPh>
    <phoneticPr fontId="4"/>
  </si>
  <si>
    <t>（注１）自転車が関連した（１当又は２当となった）件数とその事故により生じた全死傷者数を計上</t>
    <phoneticPr fontId="4"/>
  </si>
  <si>
    <r>
      <t>（注２）高速道路交通警察隊の管轄する道路を除く</t>
    </r>
    <r>
      <rPr>
        <sz val="10"/>
        <rFont val="游ゴシック"/>
        <family val="3"/>
        <charset val="128"/>
        <scheme val="minor"/>
      </rPr>
      <t>。</t>
    </r>
    <rPh sb="1" eb="2">
      <t>チュウ</t>
    </rPh>
    <rPh sb="4" eb="6">
      <t>コウソク</t>
    </rPh>
    <rPh sb="6" eb="8">
      <t>ドウロ</t>
    </rPh>
    <rPh sb="8" eb="10">
      <t>コウツウ</t>
    </rPh>
    <rPh sb="10" eb="13">
      <t>ケイサツタイ</t>
    </rPh>
    <rPh sb="14" eb="16">
      <t>カンカツ</t>
    </rPh>
    <rPh sb="18" eb="20">
      <t>ドウロ</t>
    </rPh>
    <rPh sb="21" eb="22">
      <t>ノゾ</t>
    </rPh>
    <phoneticPr fontId="4"/>
  </si>
  <si>
    <t>（注１）自動二輪車が関連した（１当又は２当となった）件数とその事故により生じた全死傷者数を計上</t>
    <rPh sb="1" eb="2">
      <t>チュウ</t>
    </rPh>
    <rPh sb="4" eb="6">
      <t>ジドウ</t>
    </rPh>
    <rPh sb="6" eb="9">
      <t>ニリンシャ</t>
    </rPh>
    <phoneticPr fontId="4"/>
  </si>
  <si>
    <t>（注２）昭和61年～平成29年は、「内重傷者数」（人）の記録なし。</t>
    <rPh sb="4" eb="6">
      <t>ショウワ</t>
    </rPh>
    <rPh sb="8" eb="9">
      <t>ネン</t>
    </rPh>
    <rPh sb="10" eb="12">
      <t>ヘイセイ</t>
    </rPh>
    <rPh sb="14" eb="15">
      <t>ネン</t>
    </rPh>
    <rPh sb="25" eb="26">
      <t>ニン</t>
    </rPh>
    <phoneticPr fontId="4"/>
  </si>
  <si>
    <t>（注３）高速道路交通警察隊の管轄する道路を除く。</t>
    <rPh sb="4" eb="8">
      <t>コウソクドウロ</t>
    </rPh>
    <rPh sb="8" eb="13">
      <t>コウツウケイサツタイ</t>
    </rPh>
    <rPh sb="14" eb="16">
      <t>カンカツ</t>
    </rPh>
    <rPh sb="18" eb="20">
      <t>ドウロ</t>
    </rPh>
    <rPh sb="21" eb="22">
      <t>ノゾ</t>
    </rPh>
    <phoneticPr fontId="4"/>
  </si>
  <si>
    <t>（注２）高速道路交通警察隊の管轄する道路を除く。</t>
    <rPh sb="4" eb="8">
      <t>コウソクドウロ</t>
    </rPh>
    <rPh sb="8" eb="13">
      <t>コウツウケイサツタイ</t>
    </rPh>
    <rPh sb="14" eb="16">
      <t>カンカツ</t>
    </rPh>
    <rPh sb="18" eb="20">
      <t>ドウロ</t>
    </rPh>
    <rPh sb="21" eb="22">
      <t>ノゾ</t>
    </rPh>
    <phoneticPr fontId="4"/>
  </si>
  <si>
    <t>（注１）自動二輪車が関連した（１当又は２当となった）件数とその事故により生じた全死傷者数を計上</t>
    <rPh sb="1" eb="2">
      <t>チュウ</t>
    </rPh>
    <rPh sb="4" eb="6">
      <t>ジドウ</t>
    </rPh>
    <rPh sb="6" eb="9">
      <t>ニリンシャ</t>
    </rPh>
    <rPh sb="39" eb="40">
      <t>ゼン</t>
    </rPh>
    <rPh sb="40" eb="43">
      <t>シショウシャ</t>
    </rPh>
    <rPh sb="43" eb="44">
      <t>スウ</t>
    </rPh>
    <rPh sb="45" eb="47">
      <t>ケイジョウ</t>
    </rPh>
    <phoneticPr fontId="4"/>
  </si>
  <si>
    <t>（注２）高速道路交通警察隊の管轄する道路を除く。</t>
    <phoneticPr fontId="4"/>
  </si>
  <si>
    <t>（注１）一般原動機付自転車が関連した（１当又は２当となった)件数とその事故により生じた全死傷者数を計上</t>
    <rPh sb="4" eb="6">
      <t>イッパン</t>
    </rPh>
    <rPh sb="6" eb="9">
      <t>ゲンドウキ</t>
    </rPh>
    <phoneticPr fontId="4"/>
  </si>
  <si>
    <t>（注２）昭和61年～平成29年は、「内重傷者数」（人）の記録なし。</t>
    <phoneticPr fontId="4"/>
  </si>
  <si>
    <t>（注３）高速道路交通警察隊の管轄する道路を除く。</t>
    <rPh sb="1" eb="2">
      <t>チュウ</t>
    </rPh>
    <phoneticPr fontId="4"/>
  </si>
  <si>
    <t>（注１）一般原動機付自転車が関連した（１当又は２当となった)件数とその事故により生じた全死傷者数を計上</t>
    <phoneticPr fontId="4"/>
  </si>
  <si>
    <t>（注１）一般原動機付自転車が関連した（１当又は２当となった)件数とその事故により生じた全死傷者数を計上</t>
    <rPh sb="1" eb="2">
      <t>チュウ</t>
    </rPh>
    <rPh sb="4" eb="6">
      <t>イッパン</t>
    </rPh>
    <rPh sb="6" eb="9">
      <t>ゲンドウキ</t>
    </rPh>
    <rPh sb="9" eb="10">
      <t>ツキ</t>
    </rPh>
    <rPh sb="10" eb="13">
      <t>ジテンシャ</t>
    </rPh>
    <rPh sb="43" eb="44">
      <t>ゼン</t>
    </rPh>
    <rPh sb="44" eb="47">
      <t>シショウシャ</t>
    </rPh>
    <rPh sb="47" eb="48">
      <t>スウ</t>
    </rPh>
    <rPh sb="49" eb="51">
      <t>ケイジョウ</t>
    </rPh>
    <phoneticPr fontId="4"/>
  </si>
  <si>
    <t>（注１）一般原動機付自転車が関連した（１当又は２当となった)件数とその事故により生じた全死傷者数を計上</t>
    <rPh sb="1" eb="2">
      <t>チュウ</t>
    </rPh>
    <rPh sb="4" eb="6">
      <t>イッパン</t>
    </rPh>
    <rPh sb="6" eb="9">
      <t>ゲンドウキ</t>
    </rPh>
    <rPh sb="9" eb="10">
      <t>ツキ</t>
    </rPh>
    <rPh sb="10" eb="13">
      <t>ジテンシャ</t>
    </rPh>
    <phoneticPr fontId="4"/>
  </si>
  <si>
    <t>（注２）平成22年～平成29年は、「内重傷者数」（人）の記録なし</t>
    <rPh sb="4" eb="5">
      <t>ナリ</t>
    </rPh>
    <phoneticPr fontId="4"/>
  </si>
  <si>
    <t>（注１）件数は、一般原付以上（自動車・自動二輪・一般原付自転車）の１当による飲酒運転（酒酔い・酒気帯び・基準以下・</t>
    <rPh sb="1" eb="2">
      <t>チュウ</t>
    </rPh>
    <rPh sb="4" eb="6">
      <t>ケンスウ</t>
    </rPh>
    <rPh sb="8" eb="10">
      <t>イッパン</t>
    </rPh>
    <rPh sb="10" eb="12">
      <t>ゲンツキ</t>
    </rPh>
    <rPh sb="12" eb="14">
      <t>イジョウ</t>
    </rPh>
    <rPh sb="15" eb="18">
      <t>ジドウシャ</t>
    </rPh>
    <rPh sb="19" eb="21">
      <t>ジドウ</t>
    </rPh>
    <rPh sb="21" eb="23">
      <t>ニリン</t>
    </rPh>
    <rPh sb="24" eb="26">
      <t>イッパン</t>
    </rPh>
    <rPh sb="26" eb="28">
      <t>ゲンツキ</t>
    </rPh>
    <rPh sb="28" eb="31">
      <t>ジテンシャ</t>
    </rPh>
    <rPh sb="34" eb="35">
      <t>ア</t>
    </rPh>
    <rPh sb="38" eb="40">
      <t>インシュ</t>
    </rPh>
    <rPh sb="40" eb="42">
      <t>ウンテン</t>
    </rPh>
    <rPh sb="43" eb="45">
      <t>サケヨ</t>
    </rPh>
    <rPh sb="47" eb="50">
      <t>シュキオ</t>
    </rPh>
    <rPh sb="52" eb="54">
      <t>キジュン</t>
    </rPh>
    <rPh sb="54" eb="56">
      <t>イカ</t>
    </rPh>
    <phoneticPr fontId="4"/>
  </si>
  <si>
    <t>　　　　検知不能）の事故件数とその事故により生じた全死傷者数を計上</t>
    <phoneticPr fontId="4"/>
  </si>
  <si>
    <t>（注２）人口は令和７年１月１日現在の数値である。</t>
    <rPh sb="1" eb="2">
      <t>チュウ</t>
    </rPh>
    <rPh sb="4" eb="6">
      <t>ジンコウ</t>
    </rPh>
    <rPh sb="7" eb="9">
      <t>レイワ</t>
    </rPh>
    <rPh sb="10" eb="11">
      <t>ネン</t>
    </rPh>
    <rPh sb="12" eb="13">
      <t>ガツ</t>
    </rPh>
    <rPh sb="14" eb="15">
      <t>ニチ</t>
    </rPh>
    <rPh sb="15" eb="17">
      <t>ゲンザイ</t>
    </rPh>
    <rPh sb="18" eb="20">
      <t>スウチ</t>
    </rPh>
    <phoneticPr fontId="4"/>
  </si>
  <si>
    <t>（注１）自動二輪車が関連した（１当又は２当となった)件数とその事故により生じた全死傷者数を計上</t>
    <phoneticPr fontId="4"/>
  </si>
  <si>
    <r>
      <rPr>
        <sz val="9"/>
        <rFont val="ＭＳ Ｐゴシック"/>
        <family val="3"/>
        <charset val="128"/>
      </rPr>
      <t>東成</t>
    </r>
    <rPh sb="0" eb="2">
      <t>ヒガシナリ</t>
    </rPh>
    <phoneticPr fontId="4"/>
  </si>
  <si>
    <r>
      <rPr>
        <sz val="9"/>
        <rFont val="ＭＳ Ｐゴシック"/>
        <family val="3"/>
        <charset val="128"/>
      </rPr>
      <t>生野</t>
    </r>
    <rPh sb="0" eb="2">
      <t>イクノ</t>
    </rPh>
    <phoneticPr fontId="4"/>
  </si>
  <si>
    <t>（注１）第１当事者の違反によって起きた事故の件数及びその事故により生じた全死傷者数を計上</t>
    <rPh sb="1" eb="2">
      <t>チュウ</t>
    </rPh>
    <rPh sb="33" eb="34">
      <t>ショウ</t>
    </rPh>
    <rPh sb="36" eb="37">
      <t>ゼン</t>
    </rPh>
    <rPh sb="37" eb="41">
      <t>シショウシャスウ</t>
    </rPh>
    <rPh sb="42" eb="44">
      <t>ケイジョウ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</si>
</sst>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_ "/>
    <numFmt numFmtId="177" formatCode="#,##0;&quot;△ &quot;#,##0"/>
    <numFmt numFmtId="178" formatCode="#,##0;&quot;▲ &quot;#,##0"/>
    <numFmt numFmtId="179" formatCode="0.0;&quot;△ &quot;0.0"/>
    <numFmt numFmtId="180" formatCode="#,##0.0;&quot;▲ &quot;#,##0.0"/>
    <numFmt numFmtId="181" formatCode="0;&quot;▲ &quot;0"/>
    <numFmt numFmtId="182" formatCode="0.0;&quot;▲ &quot;0.0"/>
    <numFmt numFmtId="183" formatCode="#,##0_);[Red]\(#,##0\)"/>
    <numFmt numFmtId="184" formatCode="#,##0_ ;[Red]\-#,##0\ "/>
    <numFmt numFmtId="185" formatCode="0.0"/>
    <numFmt numFmtId="186" formatCode="#,##0.0;[Red]\-#,##0.0"/>
    <numFmt numFmtId="187" formatCode="General&quot;件&quot;"/>
    <numFmt numFmtId="188" formatCode="#,##0.0_);[Red]\(#,##0.0\)"/>
    <numFmt numFmtId="189" formatCode="0.0_ "/>
    <numFmt numFmtId="190" formatCode="0.0_);[Red]\(0.0\)"/>
    <numFmt numFmtId="191" formatCode="#,##0.00;&quot;▲ &quot;#,##0.00"/>
    <numFmt numFmtId="192" formatCode="0_);[Red]\(0\)"/>
  </numFmts>
  <fonts count="54">
    <font>
      <sz val="11"/>
      <name val="ＭＳ Ｐゴシック"/>
      <family val="3"/>
      <charset val="128"/>
    </font>
    <font>
      <sz val="11"/>
      <color theme="1"/>
      <name val="游ゴシック"/>
      <family val="2"/>
      <charset val="128"/>
      <scheme val="minor"/>
    </font>
    <font>
      <sz val="11"/>
      <name val="ＭＳ Ｐゴシック"/>
      <family val="3"/>
      <charset val="128"/>
    </font>
    <font>
      <b/>
      <sz val="14"/>
      <name val="BIZ UDPゴシック"/>
      <family val="3"/>
      <charset val="128"/>
    </font>
    <font>
      <sz val="6"/>
      <name val="ＭＳ Ｐゴシック"/>
      <family val="3"/>
      <charset val="128"/>
    </font>
    <font>
      <sz val="11"/>
      <name val="Arial"/>
      <family val="2"/>
    </font>
    <font>
      <sz val="11"/>
      <name val="BIZ UDPゴシック"/>
      <family val="3"/>
      <charset val="128"/>
    </font>
    <font>
      <sz val="9"/>
      <name val="Arial"/>
      <family val="2"/>
    </font>
    <font>
      <sz val="9"/>
      <name val="BIZ UDPゴシック"/>
      <family val="3"/>
      <charset val="128"/>
    </font>
    <font>
      <sz val="12"/>
      <name val="Arial"/>
      <family val="2"/>
    </font>
    <font>
      <sz val="12"/>
      <name val="Arial Unicode MS"/>
      <family val="3"/>
      <charset val="128"/>
    </font>
    <font>
      <sz val="11"/>
      <name val="Arial Unicode MS"/>
      <family val="3"/>
      <charset val="128"/>
    </font>
    <font>
      <sz val="9"/>
      <name val="Arial Unicode MS"/>
      <family val="3"/>
      <charset val="128"/>
    </font>
    <font>
      <sz val="8"/>
      <name val="Arial"/>
      <family val="2"/>
    </font>
    <font>
      <sz val="8"/>
      <name val="Arial Unicode MS"/>
      <family val="3"/>
      <charset val="128"/>
    </font>
    <font>
      <sz val="11"/>
      <name val="Arial"/>
      <family val="3"/>
      <charset val="128"/>
    </font>
    <font>
      <sz val="10"/>
      <name val="Arial"/>
      <family val="2"/>
    </font>
    <font>
      <sz val="13"/>
      <name val="Arial"/>
      <family val="2"/>
    </font>
    <font>
      <b/>
      <sz val="14"/>
      <name val="Arial"/>
      <family val="2"/>
    </font>
    <font>
      <sz val="12"/>
      <name val="ＭＳ ゴシック"/>
      <family val="3"/>
      <charset val="128"/>
    </font>
    <font>
      <sz val="11"/>
      <name val="ＭＳ ゴシック"/>
      <family val="3"/>
      <charset val="128"/>
    </font>
    <font>
      <sz val="9"/>
      <name val="ＭＳ ゴシック"/>
      <family val="3"/>
      <charset val="128"/>
    </font>
    <font>
      <sz val="10"/>
      <name val="ＭＳ ゴシック"/>
      <family val="3"/>
      <charset val="128"/>
    </font>
    <font>
      <sz val="9"/>
      <name val="ＭＳ Ｐゴシック"/>
      <family val="3"/>
      <charset val="128"/>
    </font>
    <font>
      <sz val="8"/>
      <name val="ＭＳ Ｐゴシック"/>
      <family val="3"/>
      <charset val="128"/>
    </font>
    <font>
      <sz val="10"/>
      <name val="ＭＳ Ｐゴシック"/>
      <family val="3"/>
      <charset val="128"/>
    </font>
    <font>
      <sz val="18"/>
      <color indexed="8"/>
      <name val="Arial"/>
      <family val="2"/>
    </font>
    <font>
      <sz val="18"/>
      <color indexed="8"/>
      <name val="ＭＳ Ｐゴシック"/>
      <family val="3"/>
      <charset val="128"/>
    </font>
    <font>
      <sz val="18"/>
      <name val="Arial"/>
      <family val="2"/>
    </font>
    <font>
      <sz val="14"/>
      <color indexed="8"/>
      <name val="Arial"/>
      <family val="2"/>
    </font>
    <font>
      <sz val="11"/>
      <name val="ＭＳ Ｐゴシック"/>
      <family val="2"/>
      <charset val="128"/>
    </font>
    <font>
      <sz val="6"/>
      <name val="Arial"/>
      <family val="2"/>
    </font>
    <font>
      <sz val="12"/>
      <name val="ＭＳ Ｐゴシック"/>
      <family val="3"/>
      <charset val="128"/>
    </font>
    <font>
      <b/>
      <sz val="14"/>
      <name val="ＭＳ Ｐゴシック"/>
      <family val="3"/>
      <charset val="128"/>
    </font>
    <font>
      <b/>
      <sz val="12"/>
      <name val="Arial"/>
      <family val="2"/>
    </font>
    <font>
      <b/>
      <sz val="11"/>
      <name val="Arial"/>
      <family val="2"/>
    </font>
    <font>
      <b/>
      <sz val="11"/>
      <color rgb="FFFF0000"/>
      <name val="Arial"/>
      <family val="2"/>
    </font>
    <font>
      <sz val="11"/>
      <color rgb="FFFF0000"/>
      <name val="Arial"/>
      <family val="2"/>
    </font>
    <font>
      <sz val="12"/>
      <name val="ＭＳ 明朝"/>
      <family val="1"/>
      <charset val="128"/>
    </font>
    <font>
      <sz val="11"/>
      <color theme="1"/>
      <name val="Arial"/>
      <family val="2"/>
    </font>
    <font>
      <sz val="7"/>
      <name val="Arial"/>
      <family val="2"/>
    </font>
    <font>
      <sz val="7"/>
      <name val="ＭＳ Ｐゴシック"/>
      <family val="3"/>
      <charset val="128"/>
    </font>
    <font>
      <sz val="8"/>
      <name val="ＭＳ 明朝"/>
      <family val="1"/>
      <charset val="128"/>
    </font>
    <font>
      <sz val="11"/>
      <name val="ＭＳ 明朝"/>
      <family val="1"/>
      <charset val="128"/>
    </font>
    <font>
      <sz val="6"/>
      <name val="游ゴシック"/>
      <family val="2"/>
      <charset val="128"/>
      <scheme val="minor"/>
    </font>
    <font>
      <sz val="12"/>
      <name val="Arial"/>
      <family val="3"/>
      <charset val="128"/>
    </font>
    <font>
      <sz val="20"/>
      <name val="游ゴシック"/>
      <family val="2"/>
      <charset val="128"/>
      <scheme val="minor"/>
    </font>
    <font>
      <sz val="6"/>
      <name val="Arial"/>
      <family val="3"/>
      <charset val="128"/>
    </font>
    <font>
      <sz val="11"/>
      <name val="Arial"/>
      <family val="3"/>
    </font>
    <font>
      <b/>
      <sz val="11"/>
      <name val="ＭＳ Ｐゴシック"/>
      <family val="3"/>
      <charset val="128"/>
    </font>
    <font>
      <sz val="11"/>
      <name val="游ゴシック"/>
      <family val="3"/>
      <charset val="128"/>
      <scheme val="minor"/>
    </font>
    <font>
      <sz val="10"/>
      <name val="游ゴシック"/>
      <family val="3"/>
      <charset val="128"/>
      <scheme val="minor"/>
    </font>
    <font>
      <sz val="9"/>
      <name val="游ゴシック"/>
      <family val="3"/>
      <charset val="128"/>
      <scheme val="minor"/>
    </font>
    <font>
      <sz val="8"/>
      <name val="游ゴシック"/>
      <family val="3"/>
      <charset val="128"/>
      <scheme val="minor"/>
    </font>
  </fonts>
  <fills count="5">
    <fill>
      <patternFill patternType="none"/>
    </fill>
    <fill>
      <patternFill patternType="gray125"/>
    </fill>
    <fill>
      <patternFill patternType="solid">
        <fgColor rgb="FF00B0F0"/>
        <bgColor indexed="64"/>
      </patternFill>
    </fill>
    <fill>
      <patternFill patternType="solid">
        <fgColor rgb="FFFFFF00"/>
        <bgColor indexed="64"/>
      </patternFill>
    </fill>
    <fill>
      <patternFill patternType="solid">
        <fgColor indexed="13"/>
        <bgColor indexed="64"/>
      </patternFill>
    </fill>
  </fills>
  <borders count="85">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style="medium">
        <color indexed="64"/>
      </right>
      <top/>
      <bottom style="medium">
        <color indexed="64"/>
      </bottom>
      <diagonal/>
    </border>
    <border>
      <left/>
      <right style="thin">
        <color indexed="64"/>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style="medium">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diagonalDown="1">
      <left style="medium">
        <color indexed="64"/>
      </left>
      <right/>
      <top style="medium">
        <color indexed="64"/>
      </top>
      <bottom/>
      <diagonal style="thin">
        <color indexed="64"/>
      </diagonal>
    </border>
    <border diagonalDown="1">
      <left/>
      <right style="medium">
        <color indexed="64"/>
      </right>
      <top style="medium">
        <color indexed="64"/>
      </top>
      <bottom/>
      <diagonal style="thin">
        <color indexed="64"/>
      </diagonal>
    </border>
    <border diagonalDown="1">
      <left style="medium">
        <color indexed="64"/>
      </left>
      <right/>
      <top/>
      <bottom style="medium">
        <color indexed="64"/>
      </bottom>
      <diagonal style="thin">
        <color indexed="64"/>
      </diagonal>
    </border>
    <border diagonalDown="1">
      <left/>
      <right style="medium">
        <color indexed="64"/>
      </right>
      <top/>
      <bottom style="medium">
        <color indexed="64"/>
      </bottom>
      <diagonal style="thin">
        <color indexed="64"/>
      </diagonal>
    </border>
  </borders>
  <cellStyleXfs count="3">
    <xf numFmtId="0" fontId="0" fillId="0" borderId="0"/>
    <xf numFmtId="38" fontId="2" fillId="0" borderId="0" applyFont="0" applyFill="0" applyBorder="0" applyAlignment="0" applyProtection="0"/>
    <xf numFmtId="9" fontId="2" fillId="0" borderId="0" applyFont="0" applyFill="0" applyBorder="0" applyAlignment="0" applyProtection="0"/>
  </cellStyleXfs>
  <cellXfs count="1988">
    <xf numFmtId="0" fontId="0" fillId="0" borderId="0" xfId="0"/>
    <xf numFmtId="0" fontId="5" fillId="0" borderId="0" xfId="0" applyFont="1"/>
    <xf numFmtId="0" fontId="5" fillId="0" borderId="44" xfId="0" applyFont="1" applyBorder="1"/>
    <xf numFmtId="0" fontId="5" fillId="0" borderId="29" xfId="0" applyFont="1" applyBorder="1"/>
    <xf numFmtId="0" fontId="5" fillId="0" borderId="22" xfId="0" applyFont="1" applyBorder="1"/>
    <xf numFmtId="0" fontId="5" fillId="0" borderId="26" xfId="0" applyFont="1" applyBorder="1"/>
    <xf numFmtId="0" fontId="5" fillId="0" borderId="46" xfId="0" applyFont="1" applyBorder="1"/>
    <xf numFmtId="0" fontId="5" fillId="0" borderId="0" xfId="0" applyFont="1" applyAlignment="1">
      <alignment vertical="center"/>
    </xf>
    <xf numFmtId="0" fontId="9" fillId="0" borderId="0" xfId="0" applyFont="1"/>
    <xf numFmtId="183" fontId="5" fillId="0" borderId="17" xfId="1" applyNumberFormat="1" applyFont="1" applyFill="1" applyBorder="1" applyAlignment="1">
      <alignment vertical="center"/>
    </xf>
    <xf numFmtId="183" fontId="5" fillId="0" borderId="6" xfId="1" applyNumberFormat="1" applyFont="1" applyFill="1" applyBorder="1" applyAlignment="1">
      <alignment vertical="center"/>
    </xf>
    <xf numFmtId="183" fontId="5" fillId="0" borderId="44" xfId="1" applyNumberFormat="1" applyFont="1" applyFill="1" applyBorder="1" applyAlignment="1">
      <alignment vertical="center"/>
    </xf>
    <xf numFmtId="183" fontId="5" fillId="0" borderId="18" xfId="1" applyNumberFormat="1" applyFont="1" applyFill="1" applyBorder="1" applyAlignment="1">
      <alignment vertical="center"/>
    </xf>
    <xf numFmtId="183" fontId="5" fillId="0" borderId="59" xfId="1" applyNumberFormat="1" applyFont="1" applyFill="1" applyBorder="1" applyAlignment="1">
      <alignment vertical="center"/>
    </xf>
    <xf numFmtId="183" fontId="5" fillId="0" borderId="33" xfId="1" applyNumberFormat="1" applyFont="1" applyFill="1" applyBorder="1" applyAlignment="1">
      <alignment vertical="center"/>
    </xf>
    <xf numFmtId="183" fontId="5" fillId="0" borderId="13" xfId="1" applyNumberFormat="1" applyFont="1" applyFill="1" applyBorder="1" applyAlignment="1">
      <alignment vertical="center"/>
    </xf>
    <xf numFmtId="183" fontId="5" fillId="0" borderId="21" xfId="1" applyNumberFormat="1" applyFont="1" applyFill="1" applyBorder="1" applyAlignment="1">
      <alignment vertical="center"/>
    </xf>
    <xf numFmtId="183" fontId="5" fillId="0" borderId="34" xfId="1" applyNumberFormat="1" applyFont="1" applyFill="1" applyBorder="1" applyAlignment="1">
      <alignment vertical="center"/>
    </xf>
    <xf numFmtId="183" fontId="5" fillId="0" borderId="30" xfId="1" applyNumberFormat="1" applyFont="1" applyFill="1" applyBorder="1" applyAlignment="1">
      <alignment vertical="center"/>
    </xf>
    <xf numFmtId="183" fontId="5" fillId="0" borderId="23" xfId="1" applyNumberFormat="1" applyFont="1" applyFill="1" applyBorder="1" applyAlignment="1">
      <alignment vertical="center"/>
    </xf>
    <xf numFmtId="183" fontId="5" fillId="0" borderId="25" xfId="1" applyNumberFormat="1" applyFont="1" applyFill="1" applyBorder="1" applyAlignment="1">
      <alignment vertical="center"/>
    </xf>
    <xf numFmtId="183" fontId="5" fillId="0" borderId="22" xfId="1" applyNumberFormat="1" applyFont="1" applyFill="1" applyBorder="1" applyAlignment="1">
      <alignment vertical="center"/>
    </xf>
    <xf numFmtId="183" fontId="5" fillId="0" borderId="24" xfId="1" applyNumberFormat="1" applyFont="1" applyFill="1" applyBorder="1" applyAlignment="1">
      <alignment vertical="center"/>
    </xf>
    <xf numFmtId="183" fontId="5" fillId="0" borderId="56" xfId="1" applyNumberFormat="1" applyFont="1" applyFill="1" applyBorder="1" applyAlignment="1">
      <alignment vertical="center"/>
    </xf>
    <xf numFmtId="183" fontId="5" fillId="0" borderId="10" xfId="1" applyNumberFormat="1" applyFont="1" applyFill="1" applyBorder="1" applyAlignment="1">
      <alignment vertical="center"/>
    </xf>
    <xf numFmtId="183" fontId="5" fillId="0" borderId="0" xfId="1" applyNumberFormat="1" applyFont="1" applyFill="1" applyBorder="1" applyAlignment="1">
      <alignment vertical="center"/>
    </xf>
    <xf numFmtId="183" fontId="5" fillId="0" borderId="28" xfId="1" applyNumberFormat="1" applyFont="1" applyFill="1" applyBorder="1" applyAlignment="1">
      <alignment vertical="center"/>
    </xf>
    <xf numFmtId="183" fontId="5" fillId="0" borderId="60" xfId="1" applyNumberFormat="1" applyFont="1" applyFill="1" applyBorder="1" applyAlignment="1">
      <alignment vertical="center"/>
    </xf>
    <xf numFmtId="183" fontId="5" fillId="0" borderId="31" xfId="1" applyNumberFormat="1" applyFont="1" applyFill="1" applyBorder="1" applyAlignment="1">
      <alignment vertical="center"/>
    </xf>
    <xf numFmtId="183" fontId="5" fillId="0" borderId="48" xfId="1" applyNumberFormat="1" applyFont="1" applyFill="1" applyBorder="1" applyAlignment="1">
      <alignment vertical="center"/>
    </xf>
    <xf numFmtId="183" fontId="5" fillId="0" borderId="35" xfId="1" applyNumberFormat="1" applyFont="1" applyFill="1" applyBorder="1" applyAlignment="1">
      <alignment vertical="center"/>
    </xf>
    <xf numFmtId="183" fontId="5" fillId="0" borderId="46" xfId="1" applyNumberFormat="1" applyFont="1" applyFill="1" applyBorder="1" applyAlignment="1">
      <alignment vertical="center"/>
    </xf>
    <xf numFmtId="183" fontId="5" fillId="0" borderId="49" xfId="1" applyNumberFormat="1" applyFont="1" applyFill="1" applyBorder="1" applyAlignment="1">
      <alignment vertical="center"/>
    </xf>
    <xf numFmtId="183" fontId="5" fillId="0" borderId="32" xfId="1" applyNumberFormat="1" applyFont="1" applyFill="1" applyBorder="1" applyAlignment="1">
      <alignment vertical="center"/>
    </xf>
    <xf numFmtId="183" fontId="0" fillId="0" borderId="21" xfId="1" applyNumberFormat="1" applyFont="1" applyFill="1" applyBorder="1" applyAlignment="1">
      <alignment horizontal="right" vertical="center"/>
    </xf>
    <xf numFmtId="183" fontId="5" fillId="0" borderId="54" xfId="1" applyNumberFormat="1" applyFont="1" applyFill="1" applyBorder="1" applyAlignment="1">
      <alignment vertical="center"/>
    </xf>
    <xf numFmtId="183" fontId="5" fillId="0" borderId="61" xfId="1" applyNumberFormat="1" applyFont="1" applyFill="1" applyBorder="1" applyAlignment="1">
      <alignment vertical="center"/>
    </xf>
    <xf numFmtId="183" fontId="5" fillId="0" borderId="57" xfId="1" applyNumberFormat="1" applyFont="1" applyFill="1" applyBorder="1" applyAlignment="1">
      <alignment vertical="center"/>
    </xf>
    <xf numFmtId="183" fontId="5" fillId="0" borderId="20" xfId="1" applyNumberFormat="1" applyFont="1" applyFill="1" applyBorder="1" applyAlignment="1">
      <alignment vertical="center"/>
    </xf>
    <xf numFmtId="183" fontId="5" fillId="0" borderId="62" xfId="1" applyNumberFormat="1" applyFont="1" applyFill="1" applyBorder="1" applyAlignment="1">
      <alignment vertical="center"/>
    </xf>
    <xf numFmtId="183" fontId="5" fillId="0" borderId="53" xfId="1" applyNumberFormat="1" applyFont="1" applyFill="1" applyBorder="1" applyAlignment="1">
      <alignment vertical="center"/>
    </xf>
    <xf numFmtId="0" fontId="18" fillId="0" borderId="0" xfId="0" applyFont="1"/>
    <xf numFmtId="38" fontId="16" fillId="0" borderId="56" xfId="1" applyFont="1" applyFill="1" applyBorder="1" applyAlignment="1">
      <alignment vertical="center"/>
    </xf>
    <xf numFmtId="38" fontId="16" fillId="0" borderId="26" xfId="1" applyFont="1" applyFill="1" applyBorder="1" applyAlignment="1">
      <alignment vertical="center"/>
    </xf>
    <xf numFmtId="38" fontId="16" fillId="0" borderId="22" xfId="1" applyFont="1" applyFill="1" applyBorder="1" applyAlignment="1">
      <alignment vertical="center"/>
    </xf>
    <xf numFmtId="38" fontId="16" fillId="0" borderId="30" xfId="1" applyFont="1" applyFill="1" applyBorder="1" applyAlignment="1">
      <alignment vertical="center"/>
    </xf>
    <xf numFmtId="38" fontId="16" fillId="0" borderId="21" xfId="1" applyFont="1" applyFill="1" applyBorder="1" applyAlignment="1">
      <alignment vertical="center"/>
    </xf>
    <xf numFmtId="0" fontId="5" fillId="0" borderId="56" xfId="0" applyFont="1" applyBorder="1"/>
    <xf numFmtId="183" fontId="5" fillId="0" borderId="5" xfId="1" applyNumberFormat="1" applyFont="1" applyFill="1" applyBorder="1"/>
    <xf numFmtId="183" fontId="5" fillId="0" borderId="60" xfId="1" applyNumberFormat="1" applyFont="1" applyFill="1" applyBorder="1"/>
    <xf numFmtId="183" fontId="5" fillId="0" borderId="24" xfId="1" applyNumberFormat="1" applyFont="1" applyFill="1" applyBorder="1"/>
    <xf numFmtId="183" fontId="5" fillId="0" borderId="25" xfId="1" applyNumberFormat="1" applyFont="1" applyFill="1" applyBorder="1"/>
    <xf numFmtId="183" fontId="5" fillId="0" borderId="40" xfId="1" applyNumberFormat="1" applyFont="1" applyFill="1" applyBorder="1"/>
    <xf numFmtId="183" fontId="5" fillId="0" borderId="41" xfId="1" applyNumberFormat="1" applyFont="1" applyFill="1" applyBorder="1"/>
    <xf numFmtId="183" fontId="5" fillId="0" borderId="1" xfId="1" applyNumberFormat="1" applyFont="1" applyFill="1" applyBorder="1"/>
    <xf numFmtId="0" fontId="5" fillId="0" borderId="62" xfId="0" applyFont="1" applyBorder="1"/>
    <xf numFmtId="0" fontId="5" fillId="0" borderId="53" xfId="0" applyFont="1" applyBorder="1"/>
    <xf numFmtId="183" fontId="5" fillId="0" borderId="74" xfId="1" applyNumberFormat="1" applyFont="1" applyFill="1" applyBorder="1" applyAlignment="1">
      <alignment vertical="center"/>
    </xf>
    <xf numFmtId="183" fontId="5" fillId="0" borderId="77" xfId="1" applyNumberFormat="1" applyFont="1" applyFill="1" applyBorder="1" applyAlignment="1">
      <alignment vertical="center"/>
    </xf>
    <xf numFmtId="0" fontId="26" fillId="0" borderId="0" xfId="0" applyFont="1" applyAlignment="1">
      <alignment vertical="center"/>
    </xf>
    <xf numFmtId="0" fontId="28" fillId="0" borderId="0" xfId="0" applyFont="1" applyAlignment="1">
      <alignment vertical="center"/>
    </xf>
    <xf numFmtId="0" fontId="29" fillId="0" borderId="0" xfId="0" applyFont="1" applyAlignment="1">
      <alignment vertical="center"/>
    </xf>
    <xf numFmtId="187" fontId="5" fillId="0" borderId="0" xfId="0" applyNumberFormat="1" applyFont="1"/>
    <xf numFmtId="183" fontId="5" fillId="0" borderId="58" xfId="1" applyNumberFormat="1" applyFont="1" applyFill="1" applyBorder="1" applyAlignment="1">
      <alignment horizontal="right" vertical="center"/>
    </xf>
    <xf numFmtId="183" fontId="5" fillId="0" borderId="44" xfId="1" applyNumberFormat="1" applyFont="1" applyFill="1" applyBorder="1" applyAlignment="1">
      <alignment horizontal="right" vertical="center"/>
    </xf>
    <xf numFmtId="183" fontId="5" fillId="0" borderId="59" xfId="1" applyNumberFormat="1" applyFont="1" applyFill="1" applyBorder="1" applyAlignment="1">
      <alignment horizontal="right" vertical="center"/>
    </xf>
    <xf numFmtId="183" fontId="5" fillId="0" borderId="61" xfId="1" applyNumberFormat="1" applyFont="1" applyFill="1" applyBorder="1" applyAlignment="1">
      <alignment horizontal="right" vertical="center"/>
    </xf>
    <xf numFmtId="183" fontId="5" fillId="0" borderId="22" xfId="1" applyNumberFormat="1" applyFont="1" applyFill="1" applyBorder="1" applyAlignment="1">
      <alignment horizontal="right" vertical="center"/>
    </xf>
    <xf numFmtId="183" fontId="5" fillId="0" borderId="56" xfId="1" applyNumberFormat="1" applyFont="1" applyFill="1" applyBorder="1" applyAlignment="1">
      <alignment horizontal="right" vertical="center"/>
    </xf>
    <xf numFmtId="183" fontId="5" fillId="0" borderId="20" xfId="1" applyNumberFormat="1" applyFont="1" applyFill="1" applyBorder="1" applyAlignment="1">
      <alignment horizontal="right" vertical="center"/>
    </xf>
    <xf numFmtId="183" fontId="5" fillId="0" borderId="58" xfId="1" applyNumberFormat="1" applyFont="1" applyFill="1" applyBorder="1" applyAlignment="1">
      <alignment horizontal="center" vertical="center"/>
    </xf>
    <xf numFmtId="183" fontId="5" fillId="0" borderId="59" xfId="1" applyNumberFormat="1" applyFont="1" applyFill="1" applyBorder="1" applyAlignment="1">
      <alignment horizontal="center" vertical="center"/>
    </xf>
    <xf numFmtId="183" fontId="5" fillId="0" borderId="61" xfId="1" applyNumberFormat="1" applyFont="1" applyFill="1" applyBorder="1" applyAlignment="1">
      <alignment horizontal="center" vertical="center"/>
    </xf>
    <xf numFmtId="183" fontId="5" fillId="0" borderId="56" xfId="1" applyNumberFormat="1" applyFont="1" applyFill="1" applyBorder="1" applyAlignment="1">
      <alignment horizontal="center" vertical="center"/>
    </xf>
    <xf numFmtId="183" fontId="5" fillId="0" borderId="52" xfId="1" applyNumberFormat="1" applyFont="1" applyFill="1" applyBorder="1" applyAlignment="1">
      <alignment horizontal="center" vertical="center"/>
    </xf>
    <xf numFmtId="183" fontId="5" fillId="0" borderId="62" xfId="1" applyNumberFormat="1" applyFont="1" applyFill="1" applyBorder="1" applyAlignment="1">
      <alignment horizontal="center" vertical="center"/>
    </xf>
    <xf numFmtId="0" fontId="5" fillId="0" borderId="21" xfId="0" applyFont="1" applyBorder="1"/>
    <xf numFmtId="0" fontId="34" fillId="0" borderId="0" xfId="0" applyFont="1"/>
    <xf numFmtId="0" fontId="35" fillId="0" borderId="0" xfId="0" applyFont="1"/>
    <xf numFmtId="0" fontId="36" fillId="2" borderId="0" xfId="0" applyFont="1" applyFill="1"/>
    <xf numFmtId="0" fontId="37" fillId="2" borderId="0" xfId="0" applyFont="1" applyFill="1"/>
    <xf numFmtId="0" fontId="5" fillId="3" borderId="0" xfId="0" applyFont="1" applyFill="1"/>
    <xf numFmtId="0" fontId="9" fillId="0" borderId="21" xfId="0" applyFont="1" applyBorder="1" applyAlignment="1">
      <alignment horizontal="right"/>
    </xf>
    <xf numFmtId="0" fontId="9" fillId="0" borderId="46" xfId="0" applyFont="1" applyBorder="1"/>
    <xf numFmtId="0" fontId="9" fillId="0" borderId="21" xfId="0" applyFont="1" applyBorder="1"/>
    <xf numFmtId="0" fontId="9" fillId="0" borderId="30" xfId="0" applyFont="1" applyBorder="1" applyAlignment="1">
      <alignment vertical="center"/>
    </xf>
    <xf numFmtId="0" fontId="9" fillId="0" borderId="13" xfId="0" applyFont="1" applyBorder="1" applyAlignment="1">
      <alignment vertical="center"/>
    </xf>
    <xf numFmtId="0" fontId="9" fillId="0" borderId="12" xfId="0" applyFont="1" applyBorder="1" applyAlignment="1">
      <alignment vertical="center"/>
    </xf>
    <xf numFmtId="0" fontId="9" fillId="0" borderId="21" xfId="0" applyFont="1" applyBorder="1" applyAlignment="1">
      <alignment vertical="center"/>
    </xf>
    <xf numFmtId="0" fontId="5" fillId="4" borderId="30" xfId="0" applyFont="1" applyFill="1" applyBorder="1"/>
    <xf numFmtId="0" fontId="5" fillId="0" borderId="30" xfId="0" applyFont="1" applyBorder="1"/>
    <xf numFmtId="0" fontId="5" fillId="3" borderId="30" xfId="0" applyFont="1" applyFill="1" applyBorder="1"/>
    <xf numFmtId="0" fontId="9" fillId="0" borderId="16" xfId="0" applyFont="1" applyBorder="1" applyAlignment="1">
      <alignment horizontal="center" vertical="center"/>
    </xf>
    <xf numFmtId="0" fontId="9" fillId="0" borderId="69" xfId="0" applyFont="1" applyBorder="1" applyAlignment="1">
      <alignment vertical="center"/>
    </xf>
    <xf numFmtId="0" fontId="9" fillId="0" borderId="3" xfId="0" applyFont="1" applyBorder="1" applyAlignment="1">
      <alignment vertical="center"/>
    </xf>
    <xf numFmtId="0" fontId="9" fillId="0" borderId="19" xfId="0" applyFont="1" applyBorder="1" applyAlignment="1">
      <alignment vertical="center"/>
    </xf>
    <xf numFmtId="0" fontId="9" fillId="0" borderId="16" xfId="0" applyFont="1" applyBorder="1" applyAlignment="1">
      <alignment vertical="center"/>
    </xf>
    <xf numFmtId="0" fontId="9" fillId="0" borderId="59" xfId="0" applyFont="1" applyBorder="1" applyAlignment="1">
      <alignment vertical="center"/>
    </xf>
    <xf numFmtId="0" fontId="5" fillId="4" borderId="59" xfId="0" applyFont="1" applyFill="1" applyBorder="1"/>
    <xf numFmtId="0" fontId="5" fillId="0" borderId="59" xfId="0" applyFont="1" applyBorder="1"/>
    <xf numFmtId="0" fontId="5" fillId="3" borderId="59" xfId="0" applyFont="1" applyFill="1" applyBorder="1"/>
    <xf numFmtId="0" fontId="5" fillId="0" borderId="19" xfId="0" applyFont="1" applyBorder="1"/>
    <xf numFmtId="0" fontId="9" fillId="0" borderId="19" xfId="0" applyFont="1" applyBorder="1" applyAlignment="1">
      <alignment horizontal="center" vertical="center"/>
    </xf>
    <xf numFmtId="0" fontId="9" fillId="0" borderId="21" xfId="0" applyFont="1" applyBorder="1" applyAlignment="1">
      <alignment horizontal="center" vertical="center"/>
    </xf>
    <xf numFmtId="0" fontId="9" fillId="0" borderId="56" xfId="0" applyFont="1" applyBorder="1" applyAlignment="1">
      <alignment vertical="center"/>
    </xf>
    <xf numFmtId="0" fontId="5" fillId="4" borderId="56" xfId="0" applyFont="1" applyFill="1" applyBorder="1"/>
    <xf numFmtId="0" fontId="5" fillId="3" borderId="56" xfId="0" applyFont="1" applyFill="1" applyBorder="1"/>
    <xf numFmtId="0" fontId="5" fillId="0" borderId="12" xfId="0" applyFont="1" applyBorder="1"/>
    <xf numFmtId="0" fontId="9" fillId="0" borderId="12" xfId="0" applyFont="1" applyBorder="1" applyAlignment="1">
      <alignment horizontal="center" vertical="center"/>
    </xf>
    <xf numFmtId="0" fontId="5" fillId="0" borderId="53" xfId="0" applyFont="1" applyBorder="1" applyAlignment="1">
      <alignment horizontal="center"/>
    </xf>
    <xf numFmtId="0" fontId="5" fillId="4" borderId="62" xfId="0" applyFont="1" applyFill="1" applyBorder="1"/>
    <xf numFmtId="0" fontId="5" fillId="3" borderId="62" xfId="0" applyFont="1" applyFill="1" applyBorder="1"/>
    <xf numFmtId="0" fontId="5" fillId="0" borderId="42" xfId="0" applyFont="1" applyBorder="1"/>
    <xf numFmtId="0" fontId="5" fillId="0" borderId="42" xfId="0" applyFont="1" applyBorder="1" applyAlignment="1">
      <alignment horizontal="center"/>
    </xf>
    <xf numFmtId="38" fontId="9" fillId="0" borderId="31" xfId="1" applyFont="1" applyFill="1" applyBorder="1" applyAlignment="1">
      <alignment vertical="center"/>
    </xf>
    <xf numFmtId="38" fontId="9" fillId="0" borderId="0" xfId="1" applyFont="1" applyFill="1" applyBorder="1" applyAlignment="1">
      <alignment vertical="center"/>
    </xf>
    <xf numFmtId="38" fontId="9" fillId="0" borderId="29" xfId="1" applyFont="1" applyFill="1" applyBorder="1" applyAlignment="1">
      <alignment vertical="center"/>
    </xf>
    <xf numFmtId="38" fontId="9" fillId="0" borderId="28" xfId="1" applyFont="1" applyFill="1" applyBorder="1" applyAlignment="1">
      <alignment vertical="center"/>
    </xf>
    <xf numFmtId="0" fontId="9" fillId="0" borderId="32" xfId="0" applyFont="1" applyBorder="1" applyAlignment="1">
      <alignment vertical="center"/>
    </xf>
    <xf numFmtId="0" fontId="5" fillId="4" borderId="32" xfId="0" applyFont="1" applyFill="1" applyBorder="1"/>
    <xf numFmtId="0" fontId="39" fillId="3" borderId="32" xfId="0" applyFont="1" applyFill="1" applyBorder="1"/>
    <xf numFmtId="0" fontId="5" fillId="0" borderId="32" xfId="0" applyFont="1" applyBorder="1"/>
    <xf numFmtId="0" fontId="5" fillId="3" borderId="32" xfId="0" applyFont="1" applyFill="1" applyBorder="1"/>
    <xf numFmtId="38" fontId="9" fillId="0" borderId="30" xfId="1" applyFont="1" applyFill="1" applyBorder="1" applyAlignment="1">
      <alignment vertical="center"/>
    </xf>
    <xf numFmtId="38" fontId="9" fillId="0" borderId="13" xfId="1" applyFont="1" applyFill="1" applyBorder="1" applyAlignment="1">
      <alignment vertical="center"/>
    </xf>
    <xf numFmtId="38" fontId="9" fillId="0" borderId="12" xfId="1" applyFont="1" applyFill="1" applyBorder="1" applyAlignment="1">
      <alignment vertical="center"/>
    </xf>
    <xf numFmtId="38" fontId="9" fillId="0" borderId="21" xfId="1" applyFont="1" applyFill="1" applyBorder="1" applyAlignment="1">
      <alignment vertical="center"/>
    </xf>
    <xf numFmtId="0" fontId="39" fillId="0" borderId="56" xfId="0" applyFont="1" applyBorder="1"/>
    <xf numFmtId="0" fontId="9" fillId="0" borderId="26" xfId="0" applyFont="1" applyBorder="1" applyAlignment="1">
      <alignment horizontal="center" vertical="center"/>
    </xf>
    <xf numFmtId="0" fontId="9" fillId="0" borderId="31" xfId="0" applyFont="1" applyBorder="1" applyAlignment="1">
      <alignment horizontal="center" vertical="center"/>
    </xf>
    <xf numFmtId="38" fontId="16" fillId="0" borderId="13" xfId="1" applyFont="1" applyFill="1" applyBorder="1" applyAlignment="1">
      <alignment vertical="center"/>
    </xf>
    <xf numFmtId="38" fontId="16" fillId="0" borderId="12" xfId="1" applyFont="1" applyFill="1" applyBorder="1" applyAlignment="1">
      <alignment vertical="center"/>
    </xf>
    <xf numFmtId="0" fontId="39" fillId="0" borderId="32" xfId="0" applyFont="1" applyBorder="1"/>
    <xf numFmtId="0" fontId="9" fillId="0" borderId="29" xfId="0" applyFont="1" applyBorder="1" applyAlignment="1">
      <alignment horizontal="center" vertical="center"/>
    </xf>
    <xf numFmtId="0" fontId="9" fillId="0" borderId="56" xfId="0" applyFont="1" applyBorder="1" applyAlignment="1">
      <alignment horizontal="center" vertical="center"/>
    </xf>
    <xf numFmtId="38" fontId="16" fillId="0" borderId="25" xfId="1" applyFont="1" applyFill="1" applyBorder="1" applyAlignment="1">
      <alignment vertical="center"/>
    </xf>
    <xf numFmtId="38" fontId="5" fillId="0" borderId="56" xfId="0" applyNumberFormat="1" applyFont="1" applyBorder="1"/>
    <xf numFmtId="183" fontId="5" fillId="0" borderId="21" xfId="1" applyNumberFormat="1" applyFont="1" applyFill="1" applyBorder="1" applyAlignment="1">
      <alignment horizontal="center" vertical="center"/>
    </xf>
    <xf numFmtId="183" fontId="5" fillId="0" borderId="6" xfId="1" applyNumberFormat="1" applyFont="1" applyFill="1" applyBorder="1"/>
    <xf numFmtId="183" fontId="5" fillId="0" borderId="59" xfId="1" applyNumberFormat="1" applyFont="1" applyFill="1" applyBorder="1"/>
    <xf numFmtId="183" fontId="5" fillId="0" borderId="45" xfId="1" applyNumberFormat="1" applyFont="1" applyFill="1" applyBorder="1"/>
    <xf numFmtId="183" fontId="5" fillId="0" borderId="16" xfId="1" applyNumberFormat="1" applyFont="1" applyFill="1" applyBorder="1"/>
    <xf numFmtId="183" fontId="5" fillId="0" borderId="56" xfId="1" applyNumberFormat="1" applyFont="1" applyFill="1" applyBorder="1"/>
    <xf numFmtId="183" fontId="5" fillId="0" borderId="26" xfId="1" applyNumberFormat="1" applyFont="1" applyFill="1" applyBorder="1"/>
    <xf numFmtId="183" fontId="5" fillId="0" borderId="22" xfId="1" applyNumberFormat="1" applyFont="1" applyFill="1" applyBorder="1"/>
    <xf numFmtId="183" fontId="5" fillId="0" borderId="13" xfId="1" applyNumberFormat="1" applyFont="1" applyFill="1" applyBorder="1"/>
    <xf numFmtId="183" fontId="5" fillId="0" borderId="30" xfId="1" applyNumberFormat="1" applyFont="1" applyFill="1" applyBorder="1"/>
    <xf numFmtId="183" fontId="5" fillId="0" borderId="12" xfId="1" applyNumberFormat="1" applyFont="1" applyFill="1" applyBorder="1"/>
    <xf numFmtId="183" fontId="5" fillId="0" borderId="28" xfId="1" applyNumberFormat="1" applyFont="1" applyFill="1" applyBorder="1"/>
    <xf numFmtId="183" fontId="5" fillId="0" borderId="41" xfId="1" applyNumberFormat="1" applyFont="1" applyFill="1" applyBorder="1" applyAlignment="1">
      <alignment horizontal="center"/>
    </xf>
    <xf numFmtId="183" fontId="5" fillId="0" borderId="42" xfId="1" applyNumberFormat="1" applyFont="1" applyFill="1" applyBorder="1" applyAlignment="1">
      <alignment horizontal="center"/>
    </xf>
    <xf numFmtId="183" fontId="5" fillId="0" borderId="62" xfId="1" applyNumberFormat="1" applyFont="1" applyFill="1" applyBorder="1"/>
    <xf numFmtId="183" fontId="5" fillId="0" borderId="53" xfId="1" applyNumberFormat="1" applyFont="1" applyFill="1" applyBorder="1"/>
    <xf numFmtId="183" fontId="5" fillId="0" borderId="15" xfId="1" applyNumberFormat="1" applyFont="1" applyFill="1" applyBorder="1" applyAlignment="1">
      <alignment vertical="center"/>
    </xf>
    <xf numFmtId="183" fontId="5" fillId="0" borderId="16" xfId="1" applyNumberFormat="1" applyFont="1" applyFill="1" applyBorder="1" applyAlignment="1">
      <alignment vertical="center"/>
    </xf>
    <xf numFmtId="183" fontId="5" fillId="0" borderId="23" xfId="1" applyNumberFormat="1" applyFont="1" applyFill="1" applyBorder="1" applyAlignment="1">
      <alignment horizontal="center" vertical="center"/>
    </xf>
    <xf numFmtId="183" fontId="5" fillId="0" borderId="20" xfId="1" applyNumberFormat="1" applyFont="1" applyFill="1" applyBorder="1" applyAlignment="1">
      <alignment vertical="center" shrinkToFit="1"/>
    </xf>
    <xf numFmtId="183" fontId="5" fillId="0" borderId="31" xfId="1" applyNumberFormat="1" applyFont="1" applyFill="1" applyBorder="1" applyAlignment="1">
      <alignment vertical="center" shrinkToFit="1"/>
    </xf>
    <xf numFmtId="183" fontId="5" fillId="0" borderId="28" xfId="1" applyNumberFormat="1" applyFont="1" applyFill="1" applyBorder="1" applyAlignment="1">
      <alignment vertical="center" shrinkToFit="1"/>
    </xf>
    <xf numFmtId="183" fontId="5" fillId="0" borderId="54" xfId="1" applyNumberFormat="1" applyFont="1" applyFill="1" applyBorder="1" applyAlignment="1">
      <alignment vertical="center" shrinkToFit="1"/>
    </xf>
    <xf numFmtId="183" fontId="5" fillId="0" borderId="12" xfId="1" applyNumberFormat="1" applyFont="1" applyFill="1" applyBorder="1" applyAlignment="1">
      <alignment vertical="center" shrinkToFit="1"/>
    </xf>
    <xf numFmtId="183" fontId="5" fillId="0" borderId="21" xfId="1" applyNumberFormat="1" applyFont="1" applyFill="1" applyBorder="1" applyAlignment="1">
      <alignment vertical="center" shrinkToFit="1"/>
    </xf>
    <xf numFmtId="183" fontId="5" fillId="0" borderId="61" xfId="1" applyNumberFormat="1" applyFont="1" applyFill="1" applyBorder="1" applyAlignment="1">
      <alignment vertical="center" shrinkToFit="1"/>
    </xf>
    <xf numFmtId="183" fontId="5" fillId="0" borderId="56" xfId="1" applyNumberFormat="1" applyFont="1" applyFill="1" applyBorder="1" applyAlignment="1">
      <alignment vertical="center" shrinkToFit="1"/>
    </xf>
    <xf numFmtId="183" fontId="5" fillId="0" borderId="61" xfId="1" applyNumberFormat="1" applyFont="1" applyFill="1" applyBorder="1" applyAlignment="1">
      <alignment horizontal="center" vertical="center" shrinkToFit="1"/>
    </xf>
    <xf numFmtId="183" fontId="5" fillId="0" borderId="56" xfId="1" applyNumberFormat="1" applyFont="1" applyFill="1" applyBorder="1" applyAlignment="1">
      <alignment horizontal="center" vertical="center" shrinkToFit="1"/>
    </xf>
    <xf numFmtId="183" fontId="5" fillId="0" borderId="72" xfId="1" applyNumberFormat="1" applyFont="1" applyFill="1" applyBorder="1" applyAlignment="1">
      <alignment vertical="center"/>
    </xf>
    <xf numFmtId="183" fontId="5" fillId="0" borderId="52" xfId="1" applyNumberFormat="1" applyFont="1" applyFill="1" applyBorder="1" applyAlignment="1">
      <alignment vertical="center"/>
    </xf>
    <xf numFmtId="183" fontId="5" fillId="0" borderId="40" xfId="1" applyNumberFormat="1" applyFont="1" applyFill="1" applyBorder="1" applyAlignment="1">
      <alignment vertical="center"/>
    </xf>
    <xf numFmtId="183" fontId="16" fillId="0" borderId="20" xfId="1" applyNumberFormat="1" applyFont="1" applyFill="1" applyBorder="1" applyAlignment="1">
      <alignment horizontal="right" vertical="center" shrinkToFit="1"/>
    </xf>
    <xf numFmtId="183" fontId="16" fillId="0" borderId="31" xfId="1" applyNumberFormat="1" applyFont="1" applyFill="1" applyBorder="1" applyAlignment="1">
      <alignment horizontal="right" vertical="center" shrinkToFit="1"/>
    </xf>
    <xf numFmtId="183" fontId="16" fillId="0" borderId="28" xfId="1" applyNumberFormat="1" applyFont="1" applyFill="1" applyBorder="1" applyAlignment="1">
      <alignment horizontal="right" vertical="center" shrinkToFit="1"/>
    </xf>
    <xf numFmtId="183" fontId="16" fillId="0" borderId="61" xfId="1" applyNumberFormat="1" applyFont="1" applyFill="1" applyBorder="1" applyAlignment="1">
      <alignment vertical="center" shrinkToFit="1"/>
    </xf>
    <xf numFmtId="183" fontId="16" fillId="0" borderId="56" xfId="1" applyNumberFormat="1" applyFont="1" applyFill="1" applyBorder="1" applyAlignment="1">
      <alignment vertical="center" shrinkToFit="1"/>
    </xf>
    <xf numFmtId="183" fontId="16" fillId="0" borderId="21" xfId="1" applyNumberFormat="1" applyFont="1" applyFill="1" applyBorder="1" applyAlignment="1">
      <alignment vertical="center" shrinkToFit="1"/>
    </xf>
    <xf numFmtId="183" fontId="16" fillId="0" borderId="61" xfId="1" applyNumberFormat="1" applyFont="1" applyFill="1" applyBorder="1" applyAlignment="1">
      <alignment horizontal="center" vertical="center" shrinkToFit="1"/>
    </xf>
    <xf numFmtId="183" fontId="16" fillId="0" borderId="56" xfId="1" applyNumberFormat="1" applyFont="1" applyFill="1" applyBorder="1" applyAlignment="1">
      <alignment horizontal="center" vertical="center" shrinkToFit="1"/>
    </xf>
    <xf numFmtId="183" fontId="16" fillId="0" borderId="21" xfId="1" applyNumberFormat="1" applyFont="1" applyFill="1" applyBorder="1" applyAlignment="1">
      <alignment horizontal="center" vertical="center" shrinkToFit="1"/>
    </xf>
    <xf numFmtId="0" fontId="5" fillId="0" borderId="0" xfId="0" applyFont="1" applyFill="1" applyAlignment="1">
      <alignment vertical="center"/>
    </xf>
    <xf numFmtId="183" fontId="5" fillId="0" borderId="45" xfId="0" applyNumberFormat="1" applyFont="1" applyFill="1" applyBorder="1" applyAlignment="1">
      <alignment vertical="center"/>
    </xf>
    <xf numFmtId="183" fontId="5" fillId="0" borderId="26" xfId="0" applyNumberFormat="1" applyFont="1" applyFill="1" applyBorder="1" applyAlignment="1">
      <alignment vertical="center"/>
    </xf>
    <xf numFmtId="183" fontId="5" fillId="0" borderId="52" xfId="0" applyNumberFormat="1" applyFont="1" applyFill="1" applyBorder="1" applyAlignment="1">
      <alignment vertical="center"/>
    </xf>
    <xf numFmtId="183" fontId="5" fillId="0" borderId="42" xfId="0" applyNumberFormat="1" applyFont="1" applyFill="1" applyBorder="1" applyAlignment="1">
      <alignment vertical="center"/>
    </xf>
    <xf numFmtId="183" fontId="5" fillId="0" borderId="36" xfId="1" applyNumberFormat="1" applyFont="1" applyFill="1" applyBorder="1" applyAlignment="1">
      <alignment vertical="center"/>
    </xf>
    <xf numFmtId="183" fontId="5" fillId="0" borderId="78" xfId="1" applyNumberFormat="1" applyFont="1" applyFill="1" applyBorder="1" applyAlignment="1">
      <alignment vertical="center"/>
    </xf>
    <xf numFmtId="183" fontId="5" fillId="0" borderId="44" xfId="0" applyNumberFormat="1" applyFont="1" applyFill="1" applyBorder="1" applyAlignment="1">
      <alignment vertical="center"/>
    </xf>
    <xf numFmtId="183" fontId="5" fillId="0" borderId="59" xfId="0" applyNumberFormat="1" applyFont="1" applyFill="1" applyBorder="1" applyAlignment="1">
      <alignment vertical="center"/>
    </xf>
    <xf numFmtId="183" fontId="5" fillId="0" borderId="6" xfId="0" applyNumberFormat="1" applyFont="1" applyFill="1" applyBorder="1" applyAlignment="1">
      <alignment vertical="center"/>
    </xf>
    <xf numFmtId="183" fontId="5" fillId="0" borderId="22" xfId="0" applyNumberFormat="1" applyFont="1" applyFill="1" applyBorder="1" applyAlignment="1">
      <alignment vertical="center"/>
    </xf>
    <xf numFmtId="183" fontId="5" fillId="0" borderId="56" xfId="0" applyNumberFormat="1" applyFont="1" applyFill="1" applyBorder="1" applyAlignment="1">
      <alignment vertical="center"/>
    </xf>
    <xf numFmtId="183" fontId="5" fillId="0" borderId="25" xfId="0" applyNumberFormat="1" applyFont="1" applyFill="1" applyBorder="1" applyAlignment="1">
      <alignment vertical="center"/>
    </xf>
    <xf numFmtId="183" fontId="5" fillId="0" borderId="22" xfId="0" applyNumberFormat="1" applyFont="1" applyFill="1" applyBorder="1" applyAlignment="1">
      <alignment horizontal="center" vertical="center"/>
    </xf>
    <xf numFmtId="183" fontId="5" fillId="0" borderId="12" xfId="0" applyNumberFormat="1" applyFont="1" applyFill="1" applyBorder="1" applyAlignment="1">
      <alignment vertical="center"/>
    </xf>
    <xf numFmtId="183" fontId="5" fillId="0" borderId="47" xfId="0" applyNumberFormat="1" applyFont="1" applyFill="1" applyBorder="1" applyAlignment="1">
      <alignment vertical="center"/>
    </xf>
    <xf numFmtId="183" fontId="5" fillId="0" borderId="32" xfId="0" applyNumberFormat="1" applyFont="1" applyFill="1" applyBorder="1" applyAlignment="1">
      <alignment vertical="center"/>
    </xf>
    <xf numFmtId="183" fontId="5" fillId="0" borderId="46" xfId="0" applyNumberFormat="1" applyFont="1" applyFill="1" applyBorder="1" applyAlignment="1">
      <alignment vertical="center"/>
    </xf>
    <xf numFmtId="183" fontId="5" fillId="0" borderId="20" xfId="0" applyNumberFormat="1" applyFont="1" applyFill="1" applyBorder="1" applyAlignment="1">
      <alignment vertical="center"/>
    </xf>
    <xf numFmtId="183" fontId="5" fillId="0" borderId="29" xfId="0" applyNumberFormat="1" applyFont="1" applyFill="1" applyBorder="1" applyAlignment="1">
      <alignment vertical="center"/>
    </xf>
    <xf numFmtId="183" fontId="5" fillId="0" borderId="58" xfId="1" applyNumberFormat="1" applyFont="1" applyFill="1" applyBorder="1" applyAlignment="1">
      <alignment vertical="center"/>
    </xf>
    <xf numFmtId="183" fontId="5" fillId="0" borderId="45" xfId="1" applyNumberFormat="1" applyFont="1" applyFill="1" applyBorder="1" applyAlignment="1">
      <alignment vertical="center"/>
    </xf>
    <xf numFmtId="183" fontId="5" fillId="0" borderId="26" xfId="1" applyNumberFormat="1" applyFont="1" applyFill="1" applyBorder="1" applyAlignment="1">
      <alignment vertical="center"/>
    </xf>
    <xf numFmtId="183" fontId="5" fillId="0" borderId="42" xfId="1" applyNumberFormat="1" applyFont="1" applyFill="1" applyBorder="1" applyAlignment="1">
      <alignment vertical="center"/>
    </xf>
    <xf numFmtId="183" fontId="5" fillId="0" borderId="46" xfId="0" applyNumberFormat="1" applyFont="1" applyFill="1" applyBorder="1" applyAlignment="1">
      <alignment vertical="center" shrinkToFit="1"/>
    </xf>
    <xf numFmtId="183" fontId="5" fillId="0" borderId="22" xfId="0" applyNumberFormat="1" applyFont="1" applyFill="1" applyBorder="1" applyAlignment="1">
      <alignment vertical="center" shrinkToFit="1"/>
    </xf>
    <xf numFmtId="183" fontId="5" fillId="0" borderId="56" xfId="0" applyNumberFormat="1" applyFont="1" applyFill="1" applyBorder="1" applyAlignment="1">
      <alignment vertical="center" shrinkToFit="1"/>
    </xf>
    <xf numFmtId="183" fontId="5" fillId="0" borderId="61" xfId="0" applyNumberFormat="1" applyFont="1" applyFill="1" applyBorder="1" applyAlignment="1">
      <alignment vertical="center" shrinkToFit="1"/>
    </xf>
    <xf numFmtId="183" fontId="5" fillId="0" borderId="26" xfId="0" applyNumberFormat="1" applyFont="1" applyFill="1" applyBorder="1" applyAlignment="1">
      <alignment vertical="center" shrinkToFit="1"/>
    </xf>
    <xf numFmtId="183" fontId="5" fillId="0" borderId="47" xfId="1" applyNumberFormat="1" applyFont="1" applyFill="1" applyBorder="1" applyAlignment="1">
      <alignment vertical="center"/>
    </xf>
    <xf numFmtId="183" fontId="5" fillId="0" borderId="57" xfId="0" applyNumberFormat="1" applyFont="1" applyFill="1" applyBorder="1" applyAlignment="1">
      <alignment vertical="center" shrinkToFit="1"/>
    </xf>
    <xf numFmtId="183" fontId="5" fillId="0" borderId="47" xfId="0" applyNumberFormat="1" applyFont="1" applyFill="1" applyBorder="1" applyAlignment="1">
      <alignment vertical="center" shrinkToFit="1"/>
    </xf>
    <xf numFmtId="0" fontId="5" fillId="0" borderId="0" xfId="0" applyFont="1" applyFill="1"/>
    <xf numFmtId="0" fontId="5" fillId="0" borderId="0" xfId="0" applyFont="1"/>
    <xf numFmtId="0" fontId="0" fillId="0" borderId="55" xfId="0" applyFont="1" applyFill="1" applyBorder="1" applyAlignment="1">
      <alignment horizontal="center" vertical="center" wrapText="1"/>
    </xf>
    <xf numFmtId="0" fontId="13" fillId="0" borderId="41" xfId="0" applyFont="1" applyFill="1" applyBorder="1" applyAlignment="1">
      <alignment horizontal="distributed" vertical="center"/>
    </xf>
    <xf numFmtId="183" fontId="5" fillId="0" borderId="30" xfId="0" applyNumberFormat="1" applyFont="1" applyFill="1" applyBorder="1" applyAlignment="1">
      <alignment vertical="center"/>
    </xf>
    <xf numFmtId="183" fontId="5" fillId="0" borderId="31" xfId="0" applyNumberFormat="1" applyFont="1" applyFill="1" applyBorder="1" applyAlignment="1">
      <alignment vertical="center"/>
    </xf>
    <xf numFmtId="183" fontId="5" fillId="0" borderId="13" xfId="0" applyNumberFormat="1" applyFont="1" applyFill="1" applyBorder="1" applyAlignment="1">
      <alignment vertical="center"/>
    </xf>
    <xf numFmtId="183" fontId="5" fillId="0" borderId="24" xfId="0" applyNumberFormat="1" applyFont="1" applyFill="1" applyBorder="1" applyAlignment="1">
      <alignment vertical="center"/>
    </xf>
    <xf numFmtId="183" fontId="5" fillId="0" borderId="28" xfId="0" applyNumberFormat="1" applyFont="1" applyFill="1" applyBorder="1" applyAlignment="1">
      <alignment vertical="center"/>
    </xf>
    <xf numFmtId="183" fontId="5" fillId="0" borderId="60" xfId="0" applyNumberFormat="1" applyFont="1" applyFill="1" applyBorder="1" applyAlignment="1">
      <alignment vertical="center"/>
    </xf>
    <xf numFmtId="183" fontId="5" fillId="0" borderId="21" xfId="0" applyNumberFormat="1" applyFont="1" applyFill="1" applyBorder="1" applyAlignment="1">
      <alignment vertical="center"/>
    </xf>
    <xf numFmtId="183" fontId="5" fillId="0" borderId="34" xfId="0" applyNumberFormat="1" applyFont="1" applyFill="1" applyBorder="1" applyAlignment="1">
      <alignment vertical="center"/>
    </xf>
    <xf numFmtId="183" fontId="5" fillId="0" borderId="62" xfId="0" applyNumberFormat="1" applyFont="1" applyFill="1" applyBorder="1" applyAlignment="1">
      <alignment vertical="center"/>
    </xf>
    <xf numFmtId="183" fontId="5" fillId="0" borderId="40" xfId="0" applyNumberFormat="1" applyFont="1" applyFill="1" applyBorder="1" applyAlignment="1">
      <alignment vertical="center"/>
    </xf>
    <xf numFmtId="183" fontId="5" fillId="0" borderId="0" xfId="0" applyNumberFormat="1" applyFont="1" applyFill="1"/>
    <xf numFmtId="0" fontId="0" fillId="0" borderId="11" xfId="0" applyFont="1" applyFill="1" applyBorder="1" applyAlignment="1">
      <alignment horizontal="center" vertical="center"/>
    </xf>
    <xf numFmtId="183" fontId="5" fillId="0" borderId="5" xfId="0" applyNumberFormat="1" applyFont="1" applyFill="1" applyBorder="1"/>
    <xf numFmtId="183" fontId="5" fillId="0" borderId="0" xfId="1" applyNumberFormat="1" applyFont="1" applyFill="1" applyBorder="1"/>
    <xf numFmtId="0" fontId="5" fillId="0" borderId="66" xfId="0" applyFont="1" applyFill="1" applyBorder="1" applyAlignment="1">
      <alignment horizontal="distributed" vertical="center"/>
    </xf>
    <xf numFmtId="183" fontId="5" fillId="0" borderId="60" xfId="0" applyNumberFormat="1" applyFont="1" applyFill="1" applyBorder="1"/>
    <xf numFmtId="0" fontId="5" fillId="0" borderId="68" xfId="0" applyFont="1" applyFill="1" applyBorder="1" applyAlignment="1">
      <alignment horizontal="distributed" vertical="center"/>
    </xf>
    <xf numFmtId="183" fontId="5" fillId="0" borderId="40" xfId="0" applyNumberFormat="1" applyFont="1" applyFill="1" applyBorder="1"/>
    <xf numFmtId="183" fontId="5" fillId="0" borderId="51" xfId="0" applyNumberFormat="1" applyFont="1" applyFill="1" applyBorder="1"/>
    <xf numFmtId="183" fontId="5" fillId="0" borderId="11" xfId="0" applyNumberFormat="1" applyFont="1" applyFill="1" applyBorder="1"/>
    <xf numFmtId="0" fontId="7" fillId="0" borderId="54" xfId="0" applyFont="1" applyFill="1" applyBorder="1" applyAlignment="1">
      <alignment horizontal="center" vertical="center"/>
    </xf>
    <xf numFmtId="0" fontId="7" fillId="0" borderId="30" xfId="0" applyFont="1" applyFill="1" applyBorder="1" applyAlignment="1">
      <alignment horizontal="center" vertical="center"/>
    </xf>
    <xf numFmtId="0" fontId="7" fillId="0" borderId="21" xfId="0" applyFont="1" applyFill="1" applyBorder="1" applyAlignment="1">
      <alignment horizontal="center" vertical="center"/>
    </xf>
    <xf numFmtId="0" fontId="7" fillId="0" borderId="34" xfId="0" applyFont="1" applyFill="1" applyBorder="1" applyAlignment="1">
      <alignment horizontal="center" vertical="center"/>
    </xf>
    <xf numFmtId="0" fontId="7" fillId="0" borderId="12" xfId="0" applyFont="1" applyFill="1" applyBorder="1" applyAlignment="1">
      <alignment horizontal="center" vertical="center"/>
    </xf>
    <xf numFmtId="183" fontId="7" fillId="0" borderId="44" xfId="0" applyNumberFormat="1" applyFont="1" applyFill="1" applyBorder="1" applyAlignment="1">
      <alignment vertical="center"/>
    </xf>
    <xf numFmtId="183" fontId="7" fillId="0" borderId="5" xfId="0" applyNumberFormat="1" applyFont="1" applyFill="1" applyBorder="1" applyAlignment="1">
      <alignment vertical="center"/>
    </xf>
    <xf numFmtId="188" fontId="7" fillId="0" borderId="19" xfId="0" applyNumberFormat="1" applyFont="1" applyFill="1" applyBorder="1" applyAlignment="1">
      <alignment vertical="center"/>
    </xf>
    <xf numFmtId="188" fontId="7" fillId="0" borderId="69" xfId="0" applyNumberFormat="1" applyFont="1" applyFill="1" applyBorder="1" applyAlignment="1">
      <alignment vertical="center"/>
    </xf>
    <xf numFmtId="188" fontId="7" fillId="0" borderId="5" xfId="0" applyNumberFormat="1" applyFont="1" applyFill="1" applyBorder="1" applyAlignment="1">
      <alignment vertical="center"/>
    </xf>
    <xf numFmtId="0" fontId="21" fillId="0" borderId="11" xfId="0" applyFont="1" applyFill="1" applyBorder="1" applyAlignment="1">
      <alignment horizontal="center" vertical="center"/>
    </xf>
    <xf numFmtId="183" fontId="7" fillId="0" borderId="20" xfId="0" applyNumberFormat="1" applyFont="1" applyFill="1" applyBorder="1" applyAlignment="1">
      <alignment vertical="center"/>
    </xf>
    <xf numFmtId="183" fontId="7" fillId="0" borderId="31" xfId="0" applyNumberFormat="1" applyFont="1" applyFill="1" applyBorder="1" applyAlignment="1">
      <alignment vertical="center"/>
    </xf>
    <xf numFmtId="183" fontId="7" fillId="0" borderId="28" xfId="0" applyNumberFormat="1" applyFont="1" applyFill="1" applyBorder="1" applyAlignment="1">
      <alignment vertical="center"/>
    </xf>
    <xf numFmtId="183" fontId="7" fillId="0" borderId="40" xfId="0" applyNumberFormat="1" applyFont="1" applyFill="1" applyBorder="1" applyAlignment="1">
      <alignment vertical="center"/>
    </xf>
    <xf numFmtId="188" fontId="7" fillId="0" borderId="42" xfId="0" applyNumberFormat="1" applyFont="1" applyFill="1" applyBorder="1" applyAlignment="1">
      <alignment vertical="center"/>
    </xf>
    <xf numFmtId="188" fontId="7" fillId="0" borderId="62" xfId="0" applyNumberFormat="1" applyFont="1" applyFill="1" applyBorder="1" applyAlignment="1">
      <alignment vertical="center"/>
    </xf>
    <xf numFmtId="188" fontId="7" fillId="0" borderId="40" xfId="0" applyNumberFormat="1" applyFont="1" applyFill="1" applyBorder="1" applyAlignment="1">
      <alignment vertical="center"/>
    </xf>
    <xf numFmtId="0" fontId="21" fillId="0" borderId="40" xfId="0" applyFont="1" applyFill="1" applyBorder="1" applyAlignment="1">
      <alignment horizontal="center" vertical="center"/>
    </xf>
    <xf numFmtId="183" fontId="7" fillId="0" borderId="36" xfId="0" applyNumberFormat="1" applyFont="1" applyFill="1" applyBorder="1" applyAlignment="1">
      <alignment vertical="center"/>
    </xf>
    <xf numFmtId="183" fontId="7" fillId="0" borderId="38" xfId="0" applyNumberFormat="1" applyFont="1" applyFill="1" applyBorder="1" applyAlignment="1">
      <alignment vertical="center"/>
    </xf>
    <xf numFmtId="183" fontId="7" fillId="0" borderId="51" xfId="0" applyNumberFormat="1" applyFont="1" applyFill="1" applyBorder="1" applyAlignment="1">
      <alignment vertical="center"/>
    </xf>
    <xf numFmtId="188" fontId="7" fillId="0" borderId="58" xfId="0" applyNumberFormat="1" applyFont="1" applyFill="1" applyBorder="1" applyAlignment="1">
      <alignment vertical="center"/>
    </xf>
    <xf numFmtId="188" fontId="7" fillId="0" borderId="59" xfId="0" applyNumberFormat="1" applyFont="1" applyFill="1" applyBorder="1" applyAlignment="1">
      <alignment vertical="center"/>
    </xf>
    <xf numFmtId="188" fontId="7" fillId="0" borderId="18" xfId="0" applyNumberFormat="1" applyFont="1" applyFill="1" applyBorder="1" applyAlignment="1">
      <alignment vertical="center"/>
    </xf>
    <xf numFmtId="188" fontId="7" fillId="0" borderId="52" xfId="0" applyNumberFormat="1" applyFont="1" applyFill="1" applyBorder="1" applyAlignment="1">
      <alignment vertical="center"/>
    </xf>
    <xf numFmtId="0" fontId="7" fillId="0" borderId="0" xfId="0" applyFont="1" applyFill="1" applyAlignment="1">
      <alignment vertical="center" wrapText="1"/>
    </xf>
    <xf numFmtId="183" fontId="5" fillId="0" borderId="56" xfId="0" applyNumberFormat="1" applyFont="1" applyFill="1" applyBorder="1"/>
    <xf numFmtId="183" fontId="5" fillId="0" borderId="67" xfId="1" applyNumberFormat="1" applyFont="1" applyFill="1" applyBorder="1" applyAlignment="1">
      <alignment vertical="center"/>
    </xf>
    <xf numFmtId="183" fontId="5" fillId="0" borderId="51" xfId="1" applyNumberFormat="1" applyFont="1" applyFill="1" applyBorder="1" applyAlignment="1">
      <alignment vertical="center"/>
    </xf>
    <xf numFmtId="183" fontId="16" fillId="0" borderId="63" xfId="1" applyNumberFormat="1" applyFont="1" applyFill="1" applyBorder="1" applyAlignment="1">
      <alignment vertical="center"/>
    </xf>
    <xf numFmtId="183" fontId="16" fillId="0" borderId="66" xfId="1" applyNumberFormat="1" applyFont="1" applyFill="1" applyBorder="1" applyAlignment="1">
      <alignment vertical="center"/>
    </xf>
    <xf numFmtId="183" fontId="16" fillId="0" borderId="64" xfId="1" applyNumberFormat="1" applyFont="1" applyFill="1" applyBorder="1" applyAlignment="1">
      <alignment vertical="center"/>
    </xf>
    <xf numFmtId="183" fontId="5" fillId="0" borderId="66" xfId="1" applyNumberFormat="1" applyFont="1" applyFill="1" applyBorder="1" applyAlignment="1">
      <alignment vertical="center"/>
    </xf>
    <xf numFmtId="183" fontId="16" fillId="0" borderId="68" xfId="1" applyNumberFormat="1" applyFont="1" applyFill="1" applyBorder="1" applyAlignment="1">
      <alignment vertical="center"/>
    </xf>
    <xf numFmtId="183" fontId="16" fillId="0" borderId="70" xfId="1" applyNumberFormat="1" applyFont="1" applyFill="1" applyBorder="1" applyAlignment="1">
      <alignment vertical="center"/>
    </xf>
    <xf numFmtId="183" fontId="5" fillId="0" borderId="74" xfId="0" applyNumberFormat="1" applyFont="1" applyFill="1" applyBorder="1" applyAlignment="1">
      <alignment vertical="center"/>
    </xf>
    <xf numFmtId="183" fontId="5" fillId="0" borderId="71" xfId="0" applyNumberFormat="1" applyFont="1" applyFill="1" applyBorder="1" applyAlignment="1">
      <alignment vertical="center"/>
    </xf>
    <xf numFmtId="183" fontId="5" fillId="0" borderId="72" xfId="0" applyNumberFormat="1" applyFont="1" applyFill="1" applyBorder="1"/>
    <xf numFmtId="183" fontId="5" fillId="0" borderId="78" xfId="1" applyNumberFormat="1" applyFont="1" applyFill="1" applyBorder="1" applyAlignment="1">
      <alignment horizontal="right" vertical="center"/>
    </xf>
    <xf numFmtId="183" fontId="5" fillId="0" borderId="74" xfId="1" applyNumberFormat="1" applyFont="1" applyFill="1" applyBorder="1" applyAlignment="1">
      <alignment horizontal="right" vertical="center"/>
    </xf>
    <xf numFmtId="183" fontId="5" fillId="0" borderId="71" xfId="1" applyNumberFormat="1" applyFont="1" applyFill="1" applyBorder="1" applyAlignment="1">
      <alignment horizontal="right" vertical="center"/>
    </xf>
    <xf numFmtId="183" fontId="5" fillId="0" borderId="72" xfId="1" applyNumberFormat="1" applyFont="1" applyFill="1" applyBorder="1" applyAlignment="1">
      <alignment horizontal="right" vertical="center"/>
    </xf>
    <xf numFmtId="183" fontId="5" fillId="0" borderId="18" xfId="0" applyNumberFormat="1" applyFont="1" applyFill="1" applyBorder="1" applyAlignment="1">
      <alignment vertical="center"/>
    </xf>
    <xf numFmtId="183" fontId="5" fillId="0" borderId="79" xfId="0" applyNumberFormat="1" applyFont="1" applyFill="1" applyBorder="1" applyAlignment="1">
      <alignment vertical="center"/>
    </xf>
    <xf numFmtId="183" fontId="5" fillId="0" borderId="66" xfId="0" applyNumberFormat="1" applyFont="1" applyFill="1" applyBorder="1" applyAlignment="1">
      <alignment vertical="center"/>
    </xf>
    <xf numFmtId="183" fontId="5" fillId="0" borderId="68" xfId="0" applyNumberFormat="1" applyFont="1" applyFill="1" applyBorder="1" applyAlignment="1">
      <alignment vertical="center"/>
    </xf>
    <xf numFmtId="183" fontId="5" fillId="0" borderId="65" xfId="1" applyNumberFormat="1" applyFont="1" applyFill="1" applyBorder="1" applyAlignment="1">
      <alignment vertical="center"/>
    </xf>
    <xf numFmtId="183" fontId="5" fillId="0" borderId="80" xfId="1" applyNumberFormat="1" applyFont="1" applyFill="1" applyBorder="1" applyAlignment="1">
      <alignment vertical="center"/>
    </xf>
    <xf numFmtId="183" fontId="5" fillId="0" borderId="15" xfId="0" applyNumberFormat="1" applyFont="1" applyFill="1" applyBorder="1" applyAlignment="1">
      <alignment horizontal="right" vertical="center"/>
    </xf>
    <xf numFmtId="183" fontId="5" fillId="0" borderId="44" xfId="0" applyNumberFormat="1" applyFont="1" applyFill="1" applyBorder="1" applyAlignment="1">
      <alignment horizontal="right" vertical="center"/>
    </xf>
    <xf numFmtId="183" fontId="5" fillId="0" borderId="16" xfId="0" applyNumberFormat="1" applyFont="1" applyFill="1" applyBorder="1" applyAlignment="1">
      <alignment horizontal="right" vertical="center"/>
    </xf>
    <xf numFmtId="183" fontId="5" fillId="0" borderId="54" xfId="0" applyNumberFormat="1" applyFont="1" applyFill="1" applyBorder="1" applyAlignment="1">
      <alignment horizontal="right" vertical="center"/>
    </xf>
    <xf numFmtId="183" fontId="5" fillId="0" borderId="22" xfId="0" applyNumberFormat="1" applyFont="1" applyFill="1" applyBorder="1" applyAlignment="1">
      <alignment horizontal="right" vertical="center"/>
    </xf>
    <xf numFmtId="183" fontId="5" fillId="0" borderId="61" xfId="0" applyNumberFormat="1" applyFont="1" applyFill="1" applyBorder="1" applyAlignment="1">
      <alignment horizontal="right" vertical="center"/>
    </xf>
    <xf numFmtId="183" fontId="5" fillId="0" borderId="0" xfId="0" applyNumberFormat="1" applyFont="1" applyFill="1" applyAlignment="1">
      <alignment vertical="center"/>
    </xf>
    <xf numFmtId="183" fontId="5" fillId="0" borderId="67" xfId="0" applyNumberFormat="1" applyFont="1" applyFill="1" applyBorder="1" applyAlignment="1">
      <alignment vertical="center"/>
    </xf>
    <xf numFmtId="183" fontId="5" fillId="0" borderId="80" xfId="0" applyNumberFormat="1" applyFont="1" applyFill="1" applyBorder="1" applyAlignment="1">
      <alignment vertical="center"/>
    </xf>
    <xf numFmtId="183" fontId="16" fillId="0" borderId="67" xfId="0" applyNumberFormat="1" applyFont="1" applyFill="1" applyBorder="1" applyAlignment="1">
      <alignment vertical="center"/>
    </xf>
    <xf numFmtId="183" fontId="5" fillId="0" borderId="49" xfId="0" applyNumberFormat="1" applyFont="1" applyFill="1" applyBorder="1" applyAlignment="1">
      <alignment vertical="center"/>
    </xf>
    <xf numFmtId="183" fontId="5" fillId="0" borderId="78" xfId="0" applyNumberFormat="1" applyFont="1" applyFill="1" applyBorder="1" applyAlignment="1">
      <alignment vertical="center"/>
    </xf>
    <xf numFmtId="183" fontId="5" fillId="0" borderId="72" xfId="0" applyNumberFormat="1" applyFont="1" applyFill="1" applyBorder="1" applyAlignment="1">
      <alignment vertical="center"/>
    </xf>
    <xf numFmtId="183" fontId="5" fillId="0" borderId="77" xfId="0" applyNumberFormat="1" applyFont="1" applyFill="1" applyBorder="1" applyAlignment="1">
      <alignment vertical="center"/>
    </xf>
    <xf numFmtId="183" fontId="5" fillId="0" borderId="74" xfId="0" applyNumberFormat="1" applyFont="1" applyFill="1" applyBorder="1"/>
    <xf numFmtId="183" fontId="5" fillId="0" borderId="71" xfId="0" applyNumberFormat="1" applyFont="1" applyFill="1" applyBorder="1"/>
    <xf numFmtId="183" fontId="5" fillId="0" borderId="17" xfId="0" applyNumberFormat="1" applyFont="1" applyFill="1" applyBorder="1" applyAlignment="1">
      <alignment vertical="center"/>
    </xf>
    <xf numFmtId="183" fontId="5" fillId="0" borderId="33" xfId="0" applyNumberFormat="1" applyFont="1" applyFill="1" applyBorder="1" applyAlignment="1">
      <alignment vertical="center"/>
    </xf>
    <xf numFmtId="183" fontId="5" fillId="0" borderId="53" xfId="0" applyNumberFormat="1" applyFont="1" applyFill="1" applyBorder="1" applyAlignment="1">
      <alignment vertical="center"/>
    </xf>
    <xf numFmtId="183" fontId="5" fillId="0" borderId="70" xfId="0" applyNumberFormat="1" applyFont="1" applyFill="1" applyBorder="1" applyAlignment="1">
      <alignment vertical="center"/>
    </xf>
    <xf numFmtId="183" fontId="5" fillId="0" borderId="56" xfId="0" applyNumberFormat="1" applyFont="1" applyFill="1" applyBorder="1" applyAlignment="1">
      <alignment horizontal="center" vertical="center"/>
    </xf>
    <xf numFmtId="183" fontId="5" fillId="0" borderId="25" xfId="0" applyNumberFormat="1" applyFont="1" applyFill="1" applyBorder="1" applyAlignment="1">
      <alignment horizontal="center" vertical="center"/>
    </xf>
    <xf numFmtId="192" fontId="5" fillId="0" borderId="7" xfId="1" applyNumberFormat="1" applyFont="1" applyFill="1" applyBorder="1" applyAlignment="1">
      <alignment vertical="center"/>
    </xf>
    <xf numFmtId="192" fontId="5" fillId="0" borderId="50" xfId="1" applyNumberFormat="1" applyFont="1" applyFill="1" applyBorder="1" applyAlignment="1">
      <alignment vertical="center"/>
    </xf>
    <xf numFmtId="192" fontId="5" fillId="0" borderId="55" xfId="1" applyNumberFormat="1" applyFont="1" applyFill="1" applyBorder="1" applyAlignment="1">
      <alignment vertical="center"/>
    </xf>
    <xf numFmtId="192" fontId="5" fillId="0" borderId="43" xfId="1" applyNumberFormat="1" applyFont="1" applyFill="1" applyBorder="1" applyAlignment="1">
      <alignment vertical="center"/>
    </xf>
    <xf numFmtId="183" fontId="16" fillId="0" borderId="46" xfId="0" applyNumberFormat="1" applyFont="1" applyFill="1" applyBorder="1" applyAlignment="1">
      <alignment horizontal="right" vertical="center" shrinkToFit="1"/>
    </xf>
    <xf numFmtId="183" fontId="16" fillId="0" borderId="22" xfId="0" applyNumberFormat="1" applyFont="1" applyFill="1" applyBorder="1" applyAlignment="1">
      <alignment vertical="center" shrinkToFit="1"/>
    </xf>
    <xf numFmtId="183" fontId="16" fillId="0" borderId="22" xfId="0" applyNumberFormat="1" applyFont="1" applyFill="1" applyBorder="1" applyAlignment="1">
      <alignment horizontal="center" vertical="center" shrinkToFit="1"/>
    </xf>
    <xf numFmtId="183" fontId="5" fillId="0" borderId="3" xfId="1" applyNumberFormat="1" applyFont="1" applyFill="1" applyBorder="1" applyAlignment="1">
      <alignment vertical="center"/>
    </xf>
    <xf numFmtId="183" fontId="5" fillId="0" borderId="3" xfId="0" applyNumberFormat="1" applyFont="1" applyFill="1" applyBorder="1" applyAlignment="1">
      <alignment vertical="center"/>
    </xf>
    <xf numFmtId="183" fontId="5" fillId="0" borderId="0" xfId="0" applyNumberFormat="1" applyFont="1" applyFill="1" applyBorder="1"/>
    <xf numFmtId="183" fontId="5" fillId="0" borderId="55" xfId="1" applyNumberFormat="1" applyFont="1" applyFill="1" applyBorder="1"/>
    <xf numFmtId="183" fontId="16" fillId="0" borderId="53" xfId="0" applyNumberFormat="1" applyFont="1" applyFill="1" applyBorder="1" applyAlignment="1">
      <alignment horizontal="right" vertical="center"/>
    </xf>
    <xf numFmtId="183" fontId="5" fillId="0" borderId="57" xfId="0" applyNumberFormat="1" applyFont="1" applyFill="1" applyBorder="1" applyAlignment="1">
      <alignment vertical="center"/>
    </xf>
    <xf numFmtId="183" fontId="5" fillId="0" borderId="54" xfId="0" applyNumberFormat="1" applyFont="1" applyFill="1" applyBorder="1" applyAlignment="1">
      <alignment vertical="center"/>
    </xf>
    <xf numFmtId="183" fontId="5" fillId="0" borderId="58" xfId="0" applyNumberFormat="1" applyFont="1" applyFill="1" applyBorder="1" applyAlignment="1">
      <alignment vertical="center"/>
    </xf>
    <xf numFmtId="183" fontId="5" fillId="0" borderId="61" xfId="0" applyNumberFormat="1" applyFont="1" applyFill="1" applyBorder="1" applyAlignment="1">
      <alignment vertical="center"/>
    </xf>
    <xf numFmtId="183" fontId="5" fillId="0" borderId="24" xfId="0" applyNumberFormat="1" applyFont="1" applyFill="1" applyBorder="1"/>
    <xf numFmtId="183" fontId="5" fillId="0" borderId="73" xfId="1" applyNumberFormat="1" applyFont="1" applyFill="1" applyBorder="1" applyAlignment="1">
      <alignment vertical="center"/>
    </xf>
    <xf numFmtId="183" fontId="5" fillId="0" borderId="76" xfId="0" applyNumberFormat="1" applyFont="1" applyFill="1" applyBorder="1"/>
    <xf numFmtId="183" fontId="5" fillId="0" borderId="71" xfId="1" applyNumberFormat="1" applyFont="1" applyFill="1" applyBorder="1" applyAlignment="1">
      <alignment vertical="center"/>
    </xf>
    <xf numFmtId="183" fontId="5" fillId="0" borderId="77" xfId="0" applyNumberFormat="1" applyFont="1" applyFill="1" applyBorder="1"/>
    <xf numFmtId="183" fontId="5" fillId="0" borderId="76" xfId="1" applyNumberFormat="1" applyFont="1" applyFill="1" applyBorder="1" applyAlignment="1">
      <alignment vertical="center"/>
    </xf>
    <xf numFmtId="183" fontId="5" fillId="0" borderId="61" xfId="0" applyNumberFormat="1" applyFont="1" applyFill="1" applyBorder="1" applyAlignment="1">
      <alignment vertical="center"/>
    </xf>
    <xf numFmtId="183" fontId="5" fillId="0" borderId="54" xfId="0" applyNumberFormat="1" applyFont="1" applyFill="1" applyBorder="1" applyAlignment="1">
      <alignment vertical="center"/>
    </xf>
    <xf numFmtId="176" fontId="5" fillId="0" borderId="17" xfId="0" applyNumberFormat="1" applyFont="1" applyFill="1" applyBorder="1" applyAlignment="1">
      <alignment vertical="center"/>
    </xf>
    <xf numFmtId="176" fontId="5" fillId="0" borderId="23" xfId="0" applyNumberFormat="1" applyFont="1" applyFill="1" applyBorder="1" applyAlignment="1">
      <alignment vertical="center"/>
    </xf>
    <xf numFmtId="0" fontId="5" fillId="0" borderId="0" xfId="0" applyFont="1" applyFill="1" applyAlignment="1">
      <alignment vertical="center"/>
    </xf>
    <xf numFmtId="0" fontId="5" fillId="0" borderId="13" xfId="0" applyFont="1" applyFill="1" applyBorder="1" applyAlignment="1">
      <alignment horizontal="center" vertical="center"/>
    </xf>
    <xf numFmtId="0" fontId="5" fillId="0" borderId="13" xfId="0" applyFont="1" applyFill="1" applyBorder="1" applyAlignment="1">
      <alignment vertical="center"/>
    </xf>
    <xf numFmtId="0" fontId="5" fillId="0" borderId="2" xfId="0" applyFont="1" applyFill="1" applyBorder="1" applyAlignment="1">
      <alignment vertical="center"/>
    </xf>
    <xf numFmtId="0" fontId="5" fillId="0" borderId="4" xfId="0" applyFont="1" applyFill="1" applyBorder="1" applyAlignment="1">
      <alignment horizontal="right" vertical="center"/>
    </xf>
    <xf numFmtId="176" fontId="5" fillId="0" borderId="49" xfId="0" applyNumberFormat="1" applyFont="1" applyFill="1" applyBorder="1" applyAlignment="1">
      <alignment vertical="center"/>
    </xf>
    <xf numFmtId="0" fontId="5" fillId="0" borderId="22" xfId="0" applyFont="1" applyFill="1" applyBorder="1" applyAlignment="1">
      <alignment vertical="center"/>
    </xf>
    <xf numFmtId="0" fontId="5" fillId="0" borderId="25" xfId="0" applyFont="1" applyFill="1" applyBorder="1" applyAlignment="1">
      <alignment vertical="center"/>
    </xf>
    <xf numFmtId="0" fontId="5" fillId="0" borderId="44" xfId="0" applyFont="1" applyFill="1" applyBorder="1" applyAlignment="1">
      <alignment vertical="center"/>
    </xf>
    <xf numFmtId="0" fontId="5" fillId="0" borderId="6" xfId="0" applyFont="1" applyFill="1" applyBorder="1" applyAlignment="1">
      <alignment vertical="center"/>
    </xf>
    <xf numFmtId="0" fontId="5" fillId="0" borderId="55" xfId="0" applyFont="1" applyFill="1" applyBorder="1" applyAlignment="1">
      <alignment vertical="center"/>
    </xf>
    <xf numFmtId="0" fontId="5" fillId="0" borderId="2" xfId="0" applyFont="1" applyFill="1" applyBorder="1" applyAlignment="1">
      <alignment horizontal="right" vertical="center"/>
    </xf>
    <xf numFmtId="0" fontId="5" fillId="0" borderId="8" xfId="0" applyFont="1" applyFill="1" applyBorder="1" applyAlignment="1">
      <alignment vertical="center"/>
    </xf>
    <xf numFmtId="0" fontId="5" fillId="0" borderId="9" xfId="0" applyFont="1" applyFill="1" applyBorder="1" applyAlignment="1">
      <alignment vertical="center"/>
    </xf>
    <xf numFmtId="0" fontId="5" fillId="0" borderId="3" xfId="0" applyFont="1" applyFill="1" applyBorder="1" applyAlignment="1">
      <alignment vertical="center"/>
    </xf>
    <xf numFmtId="0" fontId="5" fillId="0" borderId="1" xfId="0" applyFont="1" applyFill="1" applyBorder="1" applyAlignment="1">
      <alignment vertical="center"/>
    </xf>
    <xf numFmtId="0" fontId="5" fillId="0" borderId="40" xfId="0" applyFont="1" applyFill="1" applyBorder="1" applyAlignment="1">
      <alignment horizontal="center" vertical="center"/>
    </xf>
    <xf numFmtId="0" fontId="9" fillId="0" borderId="0" xfId="0" applyFont="1" applyFill="1" applyAlignment="1">
      <alignment vertical="center"/>
    </xf>
    <xf numFmtId="0" fontId="5" fillId="0" borderId="24" xfId="0" applyFont="1" applyFill="1" applyBorder="1" applyAlignment="1">
      <alignment horizontal="center" vertical="center"/>
    </xf>
    <xf numFmtId="176" fontId="5" fillId="0" borderId="18" xfId="0" applyNumberFormat="1" applyFont="1" applyFill="1" applyBorder="1" applyAlignment="1">
      <alignment vertical="center"/>
    </xf>
    <xf numFmtId="176" fontId="5" fillId="0" borderId="40" xfId="0" applyNumberFormat="1" applyFont="1" applyFill="1" applyBorder="1" applyAlignment="1">
      <alignment vertical="center"/>
    </xf>
    <xf numFmtId="0" fontId="0" fillId="0" borderId="38" xfId="0" applyFont="1" applyFill="1" applyBorder="1" applyAlignment="1">
      <alignment horizontal="center" vertical="center" wrapText="1"/>
    </xf>
    <xf numFmtId="178" fontId="5" fillId="0" borderId="19" xfId="1" applyNumberFormat="1" applyFont="1" applyFill="1" applyBorder="1" applyAlignment="1">
      <alignment vertical="center"/>
    </xf>
    <xf numFmtId="180" fontId="5" fillId="0" borderId="7" xfId="2" applyNumberFormat="1" applyFont="1" applyFill="1" applyBorder="1" applyAlignment="1">
      <alignment vertical="center"/>
    </xf>
    <xf numFmtId="178" fontId="5" fillId="0" borderId="26" xfId="1" applyNumberFormat="1" applyFont="1" applyFill="1" applyBorder="1" applyAlignment="1">
      <alignment vertical="center"/>
    </xf>
    <xf numFmtId="180" fontId="5" fillId="0" borderId="27" xfId="2" applyNumberFormat="1" applyFont="1" applyFill="1" applyBorder="1" applyAlignment="1">
      <alignment vertical="center"/>
    </xf>
    <xf numFmtId="178" fontId="5" fillId="0" borderId="29" xfId="1" applyNumberFormat="1" applyFont="1" applyFill="1" applyBorder="1" applyAlignment="1">
      <alignment vertical="center"/>
    </xf>
    <xf numFmtId="180" fontId="5" fillId="0" borderId="27" xfId="2" applyNumberFormat="1" applyFont="1" applyFill="1" applyBorder="1" applyAlignment="1">
      <alignment horizontal="right" vertical="center"/>
    </xf>
    <xf numFmtId="180" fontId="5" fillId="0" borderId="14" xfId="2" applyNumberFormat="1" applyFont="1" applyFill="1" applyBorder="1" applyAlignment="1">
      <alignment vertical="center"/>
    </xf>
    <xf numFmtId="178" fontId="5" fillId="0" borderId="42" xfId="1" applyNumberFormat="1" applyFont="1" applyFill="1" applyBorder="1" applyAlignment="1">
      <alignment vertical="center"/>
    </xf>
    <xf numFmtId="180" fontId="5" fillId="0" borderId="43" xfId="2" applyNumberFormat="1" applyFont="1" applyFill="1" applyBorder="1" applyAlignment="1">
      <alignment vertical="center"/>
    </xf>
    <xf numFmtId="178" fontId="5" fillId="0" borderId="45" xfId="1" applyNumberFormat="1" applyFont="1" applyFill="1" applyBorder="1" applyAlignment="1">
      <alignment vertical="center"/>
    </xf>
    <xf numFmtId="178" fontId="5" fillId="0" borderId="47" xfId="1" applyNumberFormat="1" applyFont="1" applyFill="1" applyBorder="1" applyAlignment="1">
      <alignment vertical="center"/>
    </xf>
    <xf numFmtId="180" fontId="5" fillId="0" borderId="50" xfId="2" applyNumberFormat="1" applyFont="1" applyFill="1" applyBorder="1" applyAlignment="1">
      <alignment vertical="center"/>
    </xf>
    <xf numFmtId="0" fontId="3" fillId="0" borderId="0" xfId="0" applyFont="1" applyFill="1" applyAlignment="1">
      <alignment vertical="center"/>
    </xf>
    <xf numFmtId="0" fontId="5" fillId="0" borderId="12" xfId="0" applyFont="1" applyFill="1" applyBorder="1" applyAlignment="1">
      <alignment horizontal="center" vertical="center"/>
    </xf>
    <xf numFmtId="0" fontId="5" fillId="0" borderId="14" xfId="0" applyFont="1" applyFill="1" applyBorder="1" applyAlignment="1">
      <alignment horizontal="center" vertical="center"/>
    </xf>
    <xf numFmtId="177" fontId="5" fillId="0" borderId="6" xfId="0" applyNumberFormat="1" applyFont="1" applyFill="1" applyBorder="1" applyAlignment="1">
      <alignment vertical="center"/>
    </xf>
    <xf numFmtId="179" fontId="5" fillId="0" borderId="6" xfId="0" applyNumberFormat="1" applyFont="1" applyFill="1" applyBorder="1" applyAlignment="1">
      <alignment vertical="center"/>
    </xf>
    <xf numFmtId="0" fontId="5" fillId="0" borderId="22" xfId="0" applyFont="1" applyFill="1" applyBorder="1" applyAlignment="1">
      <alignment horizontal="distributed" vertical="center"/>
    </xf>
    <xf numFmtId="176" fontId="5" fillId="0" borderId="24" xfId="0" applyNumberFormat="1" applyFont="1" applyFill="1" applyBorder="1" applyAlignment="1">
      <alignment vertical="center"/>
    </xf>
    <xf numFmtId="177" fontId="5" fillId="0" borderId="25" xfId="0" applyNumberFormat="1" applyFont="1" applyFill="1" applyBorder="1" applyAlignment="1">
      <alignment vertical="center"/>
    </xf>
    <xf numFmtId="179" fontId="5" fillId="0" borderId="25" xfId="0" applyNumberFormat="1" applyFont="1" applyFill="1" applyBorder="1" applyAlignment="1">
      <alignment vertical="center"/>
    </xf>
    <xf numFmtId="0" fontId="6" fillId="0" borderId="22" xfId="0" applyFont="1" applyFill="1" applyBorder="1" applyAlignment="1">
      <alignment horizontal="center" vertical="center" shrinkToFit="1"/>
    </xf>
    <xf numFmtId="0" fontId="5" fillId="0" borderId="22" xfId="0" applyFont="1" applyFill="1" applyBorder="1" applyAlignment="1">
      <alignment horizontal="center" vertical="center" shrinkToFit="1"/>
    </xf>
    <xf numFmtId="176" fontId="5" fillId="0" borderId="34" xfId="0" applyNumberFormat="1" applyFont="1" applyFill="1" applyBorder="1" applyAlignment="1">
      <alignment vertical="center"/>
    </xf>
    <xf numFmtId="177" fontId="5" fillId="0" borderId="13" xfId="0" applyNumberFormat="1" applyFont="1" applyFill="1" applyBorder="1" applyAlignment="1">
      <alignment vertical="center"/>
    </xf>
    <xf numFmtId="179" fontId="5" fillId="0" borderId="13" xfId="0" applyNumberFormat="1" applyFont="1" applyFill="1" applyBorder="1" applyAlignment="1">
      <alignment vertical="center"/>
    </xf>
    <xf numFmtId="0" fontId="0" fillId="0" borderId="31" xfId="0" applyFont="1" applyFill="1" applyBorder="1" applyAlignment="1">
      <alignment horizontal="center" vertical="center" wrapText="1"/>
    </xf>
    <xf numFmtId="0" fontId="0" fillId="0" borderId="29" xfId="0" applyFont="1" applyFill="1" applyBorder="1" applyAlignment="1">
      <alignment horizontal="center" vertical="center" wrapText="1"/>
    </xf>
    <xf numFmtId="0" fontId="6" fillId="0" borderId="35" xfId="0" applyFont="1" applyFill="1" applyBorder="1" applyAlignment="1">
      <alignment horizontal="center" vertical="center" shrinkToFit="1"/>
    </xf>
    <xf numFmtId="0" fontId="0" fillId="0" borderId="37" xfId="0" applyFont="1" applyFill="1" applyBorder="1" applyAlignment="1">
      <alignment horizontal="center" vertical="center" wrapText="1"/>
    </xf>
    <xf numFmtId="0" fontId="5" fillId="0" borderId="35" xfId="0" applyFont="1" applyFill="1" applyBorder="1" applyAlignment="1">
      <alignment horizontal="center" vertical="center" shrinkToFit="1"/>
    </xf>
    <xf numFmtId="177" fontId="5" fillId="0" borderId="41" xfId="0" applyNumberFormat="1" applyFont="1" applyFill="1" applyBorder="1" applyAlignment="1">
      <alignment vertical="center"/>
    </xf>
    <xf numFmtId="179" fontId="5" fillId="0" borderId="41" xfId="0" applyNumberFormat="1" applyFont="1" applyFill="1" applyBorder="1" applyAlignment="1">
      <alignment vertical="center"/>
    </xf>
    <xf numFmtId="0" fontId="5" fillId="0" borderId="46" xfId="0" applyFont="1" applyFill="1" applyBorder="1" applyAlignment="1">
      <alignment horizontal="distributed" vertical="center"/>
    </xf>
    <xf numFmtId="177" fontId="5" fillId="0" borderId="35" xfId="0" applyNumberFormat="1" applyFont="1" applyFill="1" applyBorder="1" applyAlignment="1">
      <alignment vertical="center"/>
    </xf>
    <xf numFmtId="179" fontId="5" fillId="0" borderId="35" xfId="0" applyNumberFormat="1" applyFont="1" applyFill="1" applyBorder="1" applyAlignment="1">
      <alignment vertical="center"/>
    </xf>
    <xf numFmtId="176" fontId="5" fillId="0" borderId="41" xfId="0" applyNumberFormat="1" applyFont="1" applyFill="1" applyBorder="1" applyAlignment="1">
      <alignment vertical="center"/>
    </xf>
    <xf numFmtId="177" fontId="5" fillId="0" borderId="39" xfId="0" applyNumberFormat="1" applyFont="1" applyFill="1" applyBorder="1" applyAlignment="1">
      <alignment vertical="center"/>
    </xf>
    <xf numFmtId="0" fontId="5" fillId="0" borderId="1" xfId="0" applyFont="1" applyFill="1" applyBorder="1" applyAlignment="1">
      <alignment horizontal="center" vertical="center"/>
    </xf>
    <xf numFmtId="0" fontId="5" fillId="0" borderId="31" xfId="0" applyFont="1" applyFill="1" applyBorder="1" applyAlignment="1">
      <alignment horizontal="center" vertical="center" textRotation="255"/>
    </xf>
    <xf numFmtId="0" fontId="13" fillId="0" borderId="40" xfId="0" applyFont="1" applyFill="1" applyBorder="1" applyAlignment="1">
      <alignment horizontal="distributed" vertical="center"/>
    </xf>
    <xf numFmtId="0" fontId="5" fillId="0" borderId="40" xfId="0" applyFont="1" applyFill="1" applyBorder="1" applyAlignment="1">
      <alignment horizontal="distributed" vertical="center" wrapText="1"/>
    </xf>
    <xf numFmtId="0" fontId="5" fillId="0" borderId="46" xfId="0" applyFont="1" applyFill="1" applyBorder="1" applyAlignment="1">
      <alignment vertical="center"/>
    </xf>
    <xf numFmtId="0" fontId="5" fillId="0" borderId="27" xfId="0" applyFont="1" applyFill="1" applyBorder="1" applyAlignment="1">
      <alignment vertical="center"/>
    </xf>
    <xf numFmtId="0" fontId="5" fillId="0" borderId="35" xfId="0" applyFont="1" applyFill="1" applyBorder="1" applyAlignment="1">
      <alignment vertical="center"/>
    </xf>
    <xf numFmtId="0" fontId="16" fillId="0" borderId="0" xfId="0" applyFont="1" applyFill="1" applyAlignment="1">
      <alignment vertical="center"/>
    </xf>
    <xf numFmtId="0" fontId="0" fillId="0" borderId="27" xfId="0" applyFont="1" applyFill="1" applyBorder="1" applyAlignment="1">
      <alignment horizontal="center" vertical="center" wrapText="1"/>
    </xf>
    <xf numFmtId="0" fontId="5" fillId="0" borderId="44" xfId="0" applyFont="1" applyFill="1" applyBorder="1" applyAlignment="1">
      <alignment horizontal="center" vertical="center"/>
    </xf>
    <xf numFmtId="182" fontId="5" fillId="0" borderId="7" xfId="0" applyNumberFormat="1" applyFont="1" applyFill="1" applyBorder="1" applyAlignment="1">
      <alignment horizontal="right" vertical="center"/>
    </xf>
    <xf numFmtId="182" fontId="5" fillId="0" borderId="27" xfId="0" applyNumberFormat="1" applyFont="1" applyFill="1" applyBorder="1" applyAlignment="1">
      <alignment horizontal="right" vertical="center"/>
    </xf>
    <xf numFmtId="182" fontId="5" fillId="0" borderId="43" xfId="0" applyNumberFormat="1" applyFont="1" applyFill="1" applyBorder="1" applyAlignment="1">
      <alignment horizontal="right" vertical="center"/>
    </xf>
    <xf numFmtId="0" fontId="5" fillId="0" borderId="3" xfId="0" applyFont="1" applyFill="1" applyBorder="1" applyAlignment="1">
      <alignment horizontal="right" vertical="center"/>
    </xf>
    <xf numFmtId="0" fontId="0" fillId="0" borderId="14" xfId="0" applyFont="1" applyFill="1" applyBorder="1" applyAlignment="1">
      <alignment vertical="center" wrapText="1"/>
    </xf>
    <xf numFmtId="0" fontId="5" fillId="0" borderId="28" xfId="0" applyFont="1" applyFill="1" applyBorder="1" applyAlignment="1">
      <alignment horizontal="center" vertical="center"/>
    </xf>
    <xf numFmtId="0" fontId="5" fillId="0" borderId="51" xfId="0" applyFont="1" applyFill="1" applyBorder="1" applyAlignment="1">
      <alignment vertical="center"/>
    </xf>
    <xf numFmtId="176" fontId="5" fillId="0" borderId="33" xfId="0" applyNumberFormat="1" applyFont="1" applyFill="1" applyBorder="1" applyAlignment="1">
      <alignment vertical="center"/>
    </xf>
    <xf numFmtId="176" fontId="5" fillId="0" borderId="39" xfId="0" applyNumberFormat="1" applyFont="1" applyFill="1" applyBorder="1" applyAlignment="1">
      <alignment vertical="center"/>
    </xf>
    <xf numFmtId="176" fontId="5" fillId="0" borderId="48" xfId="0" applyNumberFormat="1" applyFont="1" applyFill="1" applyBorder="1" applyAlignment="1">
      <alignment vertical="center"/>
    </xf>
    <xf numFmtId="176" fontId="5" fillId="0" borderId="52" xfId="0" applyNumberFormat="1" applyFont="1" applyFill="1" applyBorder="1" applyAlignment="1">
      <alignment vertical="center"/>
    </xf>
    <xf numFmtId="0" fontId="5" fillId="0" borderId="16" xfId="0" applyFont="1" applyFill="1" applyBorder="1" applyAlignment="1">
      <alignment horizontal="right" vertical="center"/>
    </xf>
    <xf numFmtId="0" fontId="5" fillId="0" borderId="28" xfId="0" applyFont="1" applyFill="1" applyBorder="1" applyAlignment="1">
      <alignment vertical="center"/>
    </xf>
    <xf numFmtId="0" fontId="5" fillId="0" borderId="58" xfId="0" applyFont="1" applyFill="1" applyBorder="1" applyAlignment="1">
      <alignment vertical="center"/>
    </xf>
    <xf numFmtId="0" fontId="5" fillId="0" borderId="21" xfId="0" applyFont="1" applyFill="1" applyBorder="1" applyAlignment="1">
      <alignment horizontal="center" vertical="center"/>
    </xf>
    <xf numFmtId="0" fontId="5" fillId="0" borderId="22" xfId="0" applyFont="1" applyFill="1" applyBorder="1" applyAlignment="1">
      <alignment horizontal="center" vertical="center"/>
    </xf>
    <xf numFmtId="0" fontId="5" fillId="0" borderId="46" xfId="0" applyFont="1" applyFill="1" applyBorder="1" applyAlignment="1">
      <alignment horizontal="center" vertical="center"/>
    </xf>
    <xf numFmtId="0" fontId="5" fillId="0" borderId="34" xfId="0" applyFont="1" applyFill="1" applyBorder="1" applyAlignment="1">
      <alignment horizontal="center" vertical="center"/>
    </xf>
    <xf numFmtId="0" fontId="15" fillId="0" borderId="0" xfId="0" applyFont="1" applyFill="1" applyAlignment="1">
      <alignment vertical="center"/>
    </xf>
    <xf numFmtId="0" fontId="5" fillId="0" borderId="17" xfId="0" applyFont="1" applyFill="1" applyBorder="1" applyAlignment="1">
      <alignment vertical="center"/>
    </xf>
    <xf numFmtId="0" fontId="5" fillId="0" borderId="7" xfId="0" applyFont="1" applyFill="1" applyBorder="1" applyAlignment="1">
      <alignment vertical="center"/>
    </xf>
    <xf numFmtId="0" fontId="5" fillId="0" borderId="45" xfId="0" applyFont="1" applyFill="1" applyBorder="1" applyAlignment="1">
      <alignment vertical="center"/>
    </xf>
    <xf numFmtId="181" fontId="5" fillId="0" borderId="3" xfId="0" applyNumberFormat="1" applyFont="1" applyFill="1" applyBorder="1" applyAlignment="1">
      <alignment vertical="center"/>
    </xf>
    <xf numFmtId="0" fontId="5" fillId="0" borderId="29" xfId="0" applyFont="1" applyFill="1" applyBorder="1" applyAlignment="1">
      <alignment vertical="center"/>
    </xf>
    <xf numFmtId="181" fontId="5" fillId="0" borderId="56" xfId="0" applyNumberFormat="1" applyFont="1" applyFill="1" applyBorder="1" applyAlignment="1">
      <alignment vertical="center"/>
    </xf>
    <xf numFmtId="0" fontId="5" fillId="0" borderId="26" xfId="0" applyFont="1" applyFill="1" applyBorder="1" applyAlignment="1">
      <alignment vertical="center"/>
    </xf>
    <xf numFmtId="181" fontId="5" fillId="0" borderId="0" xfId="0" applyNumberFormat="1" applyFont="1" applyFill="1" applyAlignment="1">
      <alignment vertical="center"/>
    </xf>
    <xf numFmtId="0" fontId="5" fillId="0" borderId="50" xfId="0" applyFont="1" applyFill="1" applyBorder="1" applyAlignment="1">
      <alignment vertical="center"/>
    </xf>
    <xf numFmtId="0" fontId="5" fillId="0" borderId="47" xfId="0" applyFont="1" applyFill="1" applyBorder="1" applyAlignment="1">
      <alignment vertical="center"/>
    </xf>
    <xf numFmtId="0" fontId="5" fillId="0" borderId="37" xfId="0" applyFont="1" applyFill="1" applyBorder="1" applyAlignment="1">
      <alignment vertical="center"/>
    </xf>
    <xf numFmtId="181" fontId="5" fillId="0" borderId="1" xfId="0" applyNumberFormat="1" applyFont="1" applyFill="1" applyBorder="1" applyAlignment="1">
      <alignment vertical="center"/>
    </xf>
    <xf numFmtId="0" fontId="30" fillId="0" borderId="0" xfId="0" applyFont="1" applyFill="1" applyAlignment="1">
      <alignment vertical="center"/>
    </xf>
    <xf numFmtId="38" fontId="5" fillId="0" borderId="44" xfId="1" applyFont="1" applyFill="1" applyBorder="1" applyAlignment="1">
      <alignment horizontal="center" vertical="center"/>
    </xf>
    <xf numFmtId="178" fontId="5" fillId="0" borderId="45" xfId="1" applyNumberFormat="1" applyFont="1" applyFill="1" applyBorder="1" applyAlignment="1">
      <alignment horizontal="right" vertical="center"/>
    </xf>
    <xf numFmtId="38" fontId="5" fillId="0" borderId="22" xfId="1" applyFont="1" applyFill="1" applyBorder="1" applyAlignment="1">
      <alignment horizontal="center" vertical="center"/>
    </xf>
    <xf numFmtId="178" fontId="5" fillId="0" borderId="26" xfId="1" applyNumberFormat="1" applyFont="1" applyFill="1" applyBorder="1" applyAlignment="1">
      <alignment horizontal="right" vertical="center"/>
    </xf>
    <xf numFmtId="0" fontId="5" fillId="0" borderId="24" xfId="0" applyFont="1" applyFill="1" applyBorder="1" applyAlignment="1">
      <alignment horizontal="distributed" vertical="center" wrapText="1"/>
    </xf>
    <xf numFmtId="38" fontId="5" fillId="0" borderId="21" xfId="1" applyFont="1" applyFill="1" applyBorder="1" applyAlignment="1">
      <alignment horizontal="center" vertical="center"/>
    </xf>
    <xf numFmtId="178" fontId="5" fillId="0" borderId="12" xfId="1" applyNumberFormat="1" applyFont="1" applyFill="1" applyBorder="1" applyAlignment="1">
      <alignment horizontal="right" vertical="center"/>
    </xf>
    <xf numFmtId="182" fontId="5" fillId="0" borderId="14" xfId="0" applyNumberFormat="1" applyFont="1" applyFill="1" applyBorder="1" applyAlignment="1">
      <alignment horizontal="right" vertical="center"/>
    </xf>
    <xf numFmtId="38" fontId="5" fillId="0" borderId="53" xfId="1" applyFont="1" applyFill="1" applyBorder="1" applyAlignment="1">
      <alignment horizontal="center" vertical="center"/>
    </xf>
    <xf numFmtId="178" fontId="5" fillId="0" borderId="42" xfId="1" applyNumberFormat="1" applyFont="1" applyFill="1" applyBorder="1" applyAlignment="1">
      <alignment horizontal="right" vertical="center"/>
    </xf>
    <xf numFmtId="0" fontId="0" fillId="0" borderId="35" xfId="0" applyFont="1" applyFill="1" applyBorder="1" applyAlignment="1">
      <alignment vertical="center" wrapText="1"/>
    </xf>
    <xf numFmtId="0" fontId="0" fillId="0" borderId="38" xfId="0" applyFont="1" applyFill="1" applyBorder="1" applyAlignment="1">
      <alignment vertical="center"/>
    </xf>
    <xf numFmtId="0" fontId="5" fillId="0" borderId="0" xfId="0" applyFont="1" applyFill="1" applyAlignment="1">
      <alignment vertical="center"/>
    </xf>
    <xf numFmtId="0" fontId="7" fillId="0" borderId="40" xfId="0" applyFont="1" applyFill="1" applyBorder="1" applyAlignment="1">
      <alignment horizontal="distributed" vertical="center"/>
    </xf>
    <xf numFmtId="38" fontId="5" fillId="0" borderId="25" xfId="1" applyFont="1" applyFill="1" applyBorder="1" applyAlignment="1">
      <alignment vertical="center"/>
    </xf>
    <xf numFmtId="38" fontId="5" fillId="0" borderId="13" xfId="1" applyFont="1" applyFill="1" applyBorder="1" applyAlignment="1">
      <alignment vertical="center"/>
    </xf>
    <xf numFmtId="38" fontId="5" fillId="0" borderId="0" xfId="1" applyFont="1" applyFill="1" applyBorder="1" applyAlignment="1">
      <alignment vertical="center"/>
    </xf>
    <xf numFmtId="0" fontId="9" fillId="0" borderId="0" xfId="0" applyFont="1" applyFill="1" applyAlignment="1">
      <alignment vertical="center"/>
    </xf>
    <xf numFmtId="0" fontId="5" fillId="0" borderId="31" xfId="0" applyFont="1" applyFill="1" applyBorder="1" applyAlignment="1">
      <alignment vertical="center"/>
    </xf>
    <xf numFmtId="0" fontId="5" fillId="0" borderId="64" xfId="0" applyFont="1" applyFill="1" applyBorder="1" applyAlignment="1">
      <alignment horizontal="center" vertical="center"/>
    </xf>
    <xf numFmtId="0" fontId="5" fillId="0" borderId="65" xfId="0" applyFont="1" applyFill="1" applyBorder="1" applyAlignment="1">
      <alignment vertical="center"/>
    </xf>
    <xf numFmtId="0" fontId="5" fillId="0" borderId="0" xfId="0" applyFont="1" applyFill="1" applyAlignment="1">
      <alignment horizontal="center" vertical="center"/>
    </xf>
    <xf numFmtId="0" fontId="7" fillId="0" borderId="1" xfId="0" applyFont="1" applyFill="1" applyBorder="1" applyAlignment="1">
      <alignment horizontal="right" vertical="center"/>
    </xf>
    <xf numFmtId="0" fontId="0" fillId="0" borderId="55" xfId="0" applyFont="1" applyFill="1" applyBorder="1" applyAlignment="1">
      <alignment vertical="center"/>
    </xf>
    <xf numFmtId="186" fontId="5" fillId="0" borderId="28" xfId="1" applyNumberFormat="1" applyFont="1" applyFill="1" applyBorder="1" applyAlignment="1">
      <alignment vertical="center"/>
    </xf>
    <xf numFmtId="186" fontId="5" fillId="0" borderId="60" xfId="1" applyNumberFormat="1" applyFont="1" applyFill="1" applyBorder="1" applyAlignment="1">
      <alignment vertical="center"/>
    </xf>
    <xf numFmtId="186" fontId="5" fillId="0" borderId="22" xfId="1" applyNumberFormat="1" applyFont="1" applyFill="1" applyBorder="1" applyAlignment="1">
      <alignment vertical="center"/>
    </xf>
    <xf numFmtId="186" fontId="5" fillId="0" borderId="24" xfId="1" applyNumberFormat="1" applyFont="1" applyFill="1" applyBorder="1" applyAlignment="1">
      <alignment vertical="center"/>
    </xf>
    <xf numFmtId="38" fontId="5" fillId="0" borderId="33" xfId="1" applyFont="1" applyFill="1" applyBorder="1" applyAlignment="1">
      <alignment vertical="center"/>
    </xf>
    <xf numFmtId="38" fontId="5" fillId="0" borderId="61" xfId="1" applyFont="1" applyFill="1" applyBorder="1" applyAlignment="1">
      <alignment vertical="center"/>
    </xf>
    <xf numFmtId="38" fontId="5" fillId="0" borderId="54" xfId="1" applyFont="1" applyFill="1" applyBorder="1" applyAlignment="1">
      <alignment vertical="center"/>
    </xf>
    <xf numFmtId="0" fontId="5" fillId="0" borderId="67" xfId="0" applyFont="1" applyFill="1" applyBorder="1" applyAlignment="1">
      <alignment horizontal="center" vertical="center"/>
    </xf>
    <xf numFmtId="185" fontId="5" fillId="0" borderId="56" xfId="0" applyNumberFormat="1" applyFont="1" applyFill="1" applyBorder="1" applyAlignment="1">
      <alignment vertical="center"/>
    </xf>
    <xf numFmtId="185" fontId="5" fillId="0" borderId="56" xfId="0" applyNumberFormat="1" applyFont="1" applyFill="1" applyBorder="1" applyAlignment="1">
      <alignment horizontal="right" vertical="center"/>
    </xf>
    <xf numFmtId="185" fontId="5" fillId="0" borderId="24" xfId="0" applyNumberFormat="1" applyFont="1" applyFill="1" applyBorder="1" applyAlignment="1">
      <alignment horizontal="right" vertical="center"/>
    </xf>
    <xf numFmtId="0" fontId="17" fillId="0" borderId="0" xfId="0" applyFont="1" applyFill="1" applyAlignment="1">
      <alignment vertical="center"/>
    </xf>
    <xf numFmtId="0" fontId="10" fillId="0" borderId="0" xfId="0" applyFont="1" applyFill="1" applyAlignment="1">
      <alignment vertical="center"/>
    </xf>
    <xf numFmtId="0" fontId="5" fillId="0" borderId="63" xfId="0" applyFont="1" applyFill="1" applyBorder="1" applyAlignment="1">
      <alignment horizontal="right" vertical="center"/>
    </xf>
    <xf numFmtId="0" fontId="5" fillId="0" borderId="64" xfId="0" applyFont="1" applyFill="1" applyBorder="1" applyAlignment="1">
      <alignment horizontal="right" vertical="center"/>
    </xf>
    <xf numFmtId="185" fontId="5" fillId="0" borderId="31" xfId="0" applyNumberFormat="1" applyFont="1" applyFill="1" applyBorder="1" applyAlignment="1">
      <alignment vertical="center"/>
    </xf>
    <xf numFmtId="0" fontId="5" fillId="0" borderId="66" xfId="0" applyFont="1" applyFill="1" applyBorder="1" applyAlignment="1">
      <alignment horizontal="center" vertical="center"/>
    </xf>
    <xf numFmtId="185" fontId="5" fillId="0" borderId="22" xfId="0" applyNumberFormat="1" applyFont="1" applyFill="1" applyBorder="1" applyAlignment="1">
      <alignment vertical="center"/>
    </xf>
    <xf numFmtId="185" fontId="5" fillId="0" borderId="24" xfId="0" applyNumberFormat="1" applyFont="1" applyFill="1" applyBorder="1" applyAlignment="1">
      <alignment vertical="center"/>
    </xf>
    <xf numFmtId="185" fontId="5" fillId="0" borderId="28" xfId="0" applyNumberFormat="1" applyFont="1" applyFill="1" applyBorder="1" applyAlignment="1">
      <alignment vertical="center"/>
    </xf>
    <xf numFmtId="185" fontId="5" fillId="0" borderId="60" xfId="0" applyNumberFormat="1" applyFont="1" applyFill="1" applyBorder="1" applyAlignment="1">
      <alignment vertical="center"/>
    </xf>
    <xf numFmtId="185" fontId="0" fillId="0" borderId="24" xfId="0" applyNumberFormat="1" applyFont="1" applyFill="1" applyBorder="1" applyAlignment="1">
      <alignment horizontal="right" vertical="center"/>
    </xf>
    <xf numFmtId="185" fontId="5" fillId="0" borderId="30" xfId="0" applyNumberFormat="1" applyFont="1" applyFill="1" applyBorder="1" applyAlignment="1">
      <alignment vertical="center"/>
    </xf>
    <xf numFmtId="185" fontId="5" fillId="0" borderId="13" xfId="0" applyNumberFormat="1" applyFont="1" applyFill="1" applyBorder="1" applyAlignment="1">
      <alignment vertical="center"/>
    </xf>
    <xf numFmtId="185" fontId="5" fillId="0" borderId="34" xfId="0" applyNumberFormat="1" applyFont="1" applyFill="1" applyBorder="1" applyAlignment="1">
      <alignment vertical="center"/>
    </xf>
    <xf numFmtId="185" fontId="5" fillId="0" borderId="30" xfId="0" applyNumberFormat="1" applyFont="1" applyFill="1" applyBorder="1" applyAlignment="1">
      <alignment horizontal="right" vertical="center"/>
    </xf>
    <xf numFmtId="185" fontId="5" fillId="0" borderId="13" xfId="0" applyNumberFormat="1" applyFont="1" applyFill="1" applyBorder="1" applyAlignment="1">
      <alignment horizontal="right" vertical="center"/>
    </xf>
    <xf numFmtId="0" fontId="5" fillId="0" borderId="68" xfId="0" applyFont="1" applyFill="1" applyBorder="1" applyAlignment="1">
      <alignment vertical="center"/>
    </xf>
    <xf numFmtId="192" fontId="16" fillId="0" borderId="58" xfId="1" applyNumberFormat="1" applyFont="1" applyFill="1" applyBorder="1" applyAlignment="1">
      <alignment horizontal="right" vertical="center"/>
    </xf>
    <xf numFmtId="192" fontId="16" fillId="0" borderId="59" xfId="1" applyNumberFormat="1" applyFont="1" applyFill="1" applyBorder="1" applyAlignment="1">
      <alignment horizontal="right" vertical="center"/>
    </xf>
    <xf numFmtId="192" fontId="16" fillId="0" borderId="44" xfId="1" applyNumberFormat="1" applyFont="1" applyFill="1" applyBorder="1" applyAlignment="1">
      <alignment horizontal="right" vertical="center"/>
    </xf>
    <xf numFmtId="0" fontId="5" fillId="0" borderId="0" xfId="0" applyFont="1"/>
    <xf numFmtId="38" fontId="5" fillId="0" borderId="0" xfId="1" applyFont="1" applyFill="1" applyBorder="1"/>
    <xf numFmtId="38" fontId="5" fillId="0" borderId="56" xfId="1" applyFont="1" applyFill="1" applyBorder="1" applyAlignment="1">
      <alignment vertical="center"/>
    </xf>
    <xf numFmtId="184" fontId="5" fillId="0" borderId="18" xfId="1" applyNumberFormat="1" applyFont="1" applyFill="1" applyBorder="1" applyAlignment="1">
      <alignment vertical="center"/>
    </xf>
    <xf numFmtId="184" fontId="5" fillId="0" borderId="40" xfId="1" applyNumberFormat="1" applyFont="1" applyFill="1" applyBorder="1" applyAlignment="1">
      <alignment vertical="center"/>
    </xf>
    <xf numFmtId="38" fontId="5" fillId="0" borderId="44" xfId="1" applyFont="1" applyFill="1" applyBorder="1" applyAlignment="1">
      <alignment vertical="center"/>
    </xf>
    <xf numFmtId="38" fontId="5" fillId="0" borderId="22" xfId="1" applyFont="1" applyFill="1" applyBorder="1" applyAlignment="1">
      <alignment vertical="center"/>
    </xf>
    <xf numFmtId="38" fontId="5" fillId="0" borderId="53" xfId="1" applyFont="1" applyFill="1" applyBorder="1" applyAlignment="1">
      <alignment vertical="center"/>
    </xf>
    <xf numFmtId="38" fontId="5" fillId="0" borderId="21" xfId="1" applyFont="1" applyFill="1" applyBorder="1" applyAlignment="1">
      <alignment vertical="center"/>
    </xf>
    <xf numFmtId="0" fontId="5" fillId="0" borderId="0" xfId="0" applyFont="1" applyFill="1"/>
    <xf numFmtId="0" fontId="5" fillId="0" borderId="65" xfId="0" applyFont="1" applyFill="1" applyBorder="1"/>
    <xf numFmtId="0" fontId="5" fillId="0" borderId="8" xfId="0" applyFont="1" applyFill="1" applyBorder="1"/>
    <xf numFmtId="0" fontId="5" fillId="0" borderId="0" xfId="0" applyFont="1" applyFill="1" applyAlignment="1">
      <alignment vertical="center"/>
    </xf>
    <xf numFmtId="0" fontId="0" fillId="0" borderId="0" xfId="0" applyFont="1" applyFill="1"/>
    <xf numFmtId="0" fontId="5" fillId="0" borderId="0" xfId="0" applyFont="1" applyFill="1" applyAlignment="1">
      <alignment vertical="top"/>
    </xf>
    <xf numFmtId="0" fontId="5" fillId="0" borderId="33" xfId="0" applyFont="1" applyFill="1" applyBorder="1" applyAlignment="1">
      <alignment horizontal="distributed" vertical="center"/>
    </xf>
    <xf numFmtId="0" fontId="5" fillId="0" borderId="13" xfId="0" applyFont="1" applyFill="1" applyBorder="1" applyAlignment="1">
      <alignment horizontal="center" vertical="center"/>
    </xf>
    <xf numFmtId="0" fontId="5" fillId="0" borderId="13" xfId="0" applyFont="1" applyFill="1" applyBorder="1" applyAlignment="1">
      <alignment vertical="center"/>
    </xf>
    <xf numFmtId="0" fontId="5" fillId="0" borderId="14" xfId="0" applyFont="1" applyFill="1" applyBorder="1" applyAlignment="1">
      <alignment vertical="center"/>
    </xf>
    <xf numFmtId="0" fontId="7" fillId="0" borderId="8" xfId="0" applyFont="1" applyFill="1" applyBorder="1" applyAlignment="1">
      <alignment vertical="center"/>
    </xf>
    <xf numFmtId="0" fontId="5" fillId="0" borderId="20" xfId="0" applyFont="1" applyFill="1" applyBorder="1" applyAlignment="1">
      <alignment vertical="center"/>
    </xf>
    <xf numFmtId="0" fontId="16" fillId="0" borderId="30" xfId="0" applyFont="1" applyFill="1" applyBorder="1" applyAlignment="1">
      <alignment horizontal="distributed" vertical="center"/>
    </xf>
    <xf numFmtId="0" fontId="16" fillId="0" borderId="21" xfId="0" applyFont="1" applyFill="1" applyBorder="1" applyAlignment="1">
      <alignment horizontal="distributed" vertical="center"/>
    </xf>
    <xf numFmtId="0" fontId="7" fillId="0" borderId="30" xfId="0" applyFont="1" applyFill="1" applyBorder="1" applyAlignment="1">
      <alignment horizontal="distributed" vertical="center"/>
    </xf>
    <xf numFmtId="0" fontId="5" fillId="0" borderId="0" xfId="0" applyFont="1" applyFill="1" applyAlignment="1">
      <alignment vertical="top" wrapText="1"/>
    </xf>
    <xf numFmtId="0" fontId="5" fillId="0" borderId="2" xfId="0" applyFont="1" applyFill="1" applyBorder="1" applyAlignment="1">
      <alignment vertical="center"/>
    </xf>
    <xf numFmtId="0" fontId="7" fillId="0" borderId="3" xfId="0" applyFont="1" applyFill="1" applyBorder="1" applyAlignment="1">
      <alignment horizontal="right" vertical="center"/>
    </xf>
    <xf numFmtId="0" fontId="5" fillId="0" borderId="4" xfId="0" applyFont="1" applyFill="1" applyBorder="1" applyAlignment="1">
      <alignment horizontal="right" vertical="center"/>
    </xf>
    <xf numFmtId="0" fontId="5" fillId="0" borderId="10" xfId="0" applyFont="1" applyFill="1" applyBorder="1" applyAlignment="1">
      <alignment vertical="center"/>
    </xf>
    <xf numFmtId="0" fontId="13" fillId="0" borderId="0" xfId="0" applyFont="1" applyFill="1" applyAlignment="1">
      <alignment horizontal="right" vertical="center"/>
    </xf>
    <xf numFmtId="0" fontId="5" fillId="0" borderId="7" xfId="0" applyFont="1" applyFill="1" applyBorder="1" applyAlignment="1">
      <alignment horizontal="right" vertical="center"/>
    </xf>
    <xf numFmtId="0" fontId="5" fillId="0" borderId="36" xfId="0" applyFont="1" applyFill="1" applyBorder="1" applyAlignment="1">
      <alignment vertical="center"/>
    </xf>
    <xf numFmtId="0" fontId="7" fillId="0" borderId="62" xfId="0" applyFont="1" applyFill="1" applyBorder="1" applyAlignment="1">
      <alignment horizontal="distributed" vertical="center"/>
    </xf>
    <xf numFmtId="0" fontId="7" fillId="0" borderId="53" xfId="0" applyFont="1" applyFill="1" applyBorder="1" applyAlignment="1">
      <alignment horizontal="distributed" vertical="center"/>
    </xf>
    <xf numFmtId="0" fontId="5" fillId="0" borderId="36" xfId="0" applyFont="1" applyFill="1" applyBorder="1" applyAlignment="1">
      <alignment horizontal="center" vertical="center"/>
    </xf>
    <xf numFmtId="0" fontId="7" fillId="0" borderId="40" xfId="0" applyFont="1" applyFill="1" applyBorder="1" applyAlignment="1">
      <alignment horizontal="distributed" vertical="center"/>
    </xf>
    <xf numFmtId="0" fontId="5" fillId="0" borderId="20" xfId="0" applyFont="1" applyFill="1" applyBorder="1" applyAlignment="1">
      <alignment horizontal="center" vertical="center"/>
    </xf>
    <xf numFmtId="0" fontId="5" fillId="0" borderId="18" xfId="0" applyFont="1" applyFill="1" applyBorder="1" applyAlignment="1">
      <alignment vertical="center"/>
    </xf>
    <xf numFmtId="176" fontId="5" fillId="0" borderId="49" xfId="0" applyNumberFormat="1" applyFont="1" applyFill="1" applyBorder="1" applyAlignment="1">
      <alignment vertical="center"/>
    </xf>
    <xf numFmtId="0" fontId="5" fillId="0" borderId="22" xfId="0" applyFont="1" applyFill="1" applyBorder="1" applyAlignment="1">
      <alignment vertical="center"/>
    </xf>
    <xf numFmtId="0" fontId="5" fillId="0" borderId="57" xfId="0" applyFont="1" applyFill="1" applyBorder="1" applyAlignment="1">
      <alignment vertical="center"/>
    </xf>
    <xf numFmtId="0" fontId="5" fillId="0" borderId="23" xfId="0" applyFont="1" applyFill="1" applyBorder="1" applyAlignment="1">
      <alignment vertical="center"/>
    </xf>
    <xf numFmtId="0" fontId="5" fillId="0" borderId="25" xfId="0" applyFont="1" applyFill="1" applyBorder="1" applyAlignment="1">
      <alignment vertical="center"/>
    </xf>
    <xf numFmtId="0" fontId="5" fillId="0" borderId="54" xfId="0" applyFont="1" applyFill="1" applyBorder="1" applyAlignment="1">
      <alignment horizontal="center" vertical="center"/>
    </xf>
    <xf numFmtId="0" fontId="5" fillId="0" borderId="21" xfId="0" applyFont="1" applyFill="1" applyBorder="1" applyAlignment="1">
      <alignment vertical="center"/>
    </xf>
    <xf numFmtId="0" fontId="15" fillId="0" borderId="0" xfId="0" applyFont="1" applyFill="1"/>
    <xf numFmtId="0" fontId="9" fillId="0" borderId="65" xfId="0" applyFont="1" applyFill="1" applyBorder="1"/>
    <xf numFmtId="0" fontId="25" fillId="0" borderId="57" xfId="0" applyFont="1" applyFill="1" applyBorder="1" applyAlignment="1">
      <alignment horizontal="center" vertical="center" wrapText="1"/>
    </xf>
    <xf numFmtId="0" fontId="16" fillId="0" borderId="14" xfId="0" applyFont="1" applyFill="1" applyBorder="1" applyAlignment="1">
      <alignment horizontal="center" vertical="center" wrapText="1"/>
    </xf>
    <xf numFmtId="188" fontId="5" fillId="0" borderId="52" xfId="0" applyNumberFormat="1" applyFont="1" applyFill="1" applyBorder="1" applyAlignment="1">
      <alignment vertical="center"/>
    </xf>
    <xf numFmtId="188" fontId="5" fillId="0" borderId="62" xfId="0" applyNumberFormat="1" applyFont="1" applyFill="1" applyBorder="1" applyAlignment="1">
      <alignment vertical="center"/>
    </xf>
    <xf numFmtId="188" fontId="5" fillId="0" borderId="53" xfId="0" applyNumberFormat="1" applyFont="1" applyFill="1" applyBorder="1" applyAlignment="1">
      <alignment vertical="center"/>
    </xf>
    <xf numFmtId="0" fontId="0" fillId="0" borderId="65" xfId="0" applyFont="1" applyFill="1" applyBorder="1" applyAlignment="1">
      <alignment shrinkToFit="1"/>
    </xf>
    <xf numFmtId="188" fontId="5" fillId="0" borderId="41" xfId="0" applyNumberFormat="1" applyFont="1" applyFill="1" applyBorder="1" applyAlignment="1">
      <alignment vertical="center"/>
    </xf>
    <xf numFmtId="188" fontId="5" fillId="0" borderId="40" xfId="0" applyNumberFormat="1" applyFont="1" applyFill="1" applyBorder="1" applyAlignment="1">
      <alignment vertical="center"/>
    </xf>
    <xf numFmtId="0" fontId="5" fillId="0" borderId="2" xfId="0" applyFont="1" applyFill="1" applyBorder="1"/>
    <xf numFmtId="0" fontId="5" fillId="0" borderId="44" xfId="0" applyFont="1" applyFill="1" applyBorder="1" applyAlignment="1">
      <alignment vertical="center"/>
    </xf>
    <xf numFmtId="0" fontId="5" fillId="0" borderId="6" xfId="0" applyFont="1" applyFill="1" applyBorder="1" applyAlignment="1">
      <alignment vertical="center"/>
    </xf>
    <xf numFmtId="0" fontId="5" fillId="0" borderId="10" xfId="0" applyFont="1" applyFill="1" applyBorder="1" applyAlignment="1">
      <alignment horizontal="center" vertical="center"/>
    </xf>
    <xf numFmtId="0" fontId="5" fillId="0" borderId="53" xfId="0" applyFont="1" applyFill="1" applyBorder="1" applyAlignment="1">
      <alignment vertical="center"/>
    </xf>
    <xf numFmtId="0" fontId="5" fillId="0" borderId="55" xfId="0" applyFont="1" applyFill="1" applyBorder="1" applyAlignment="1">
      <alignment vertical="center"/>
    </xf>
    <xf numFmtId="0" fontId="5" fillId="0" borderId="73" xfId="0" applyFont="1" applyFill="1" applyBorder="1" applyAlignment="1">
      <alignment vertical="center"/>
    </xf>
    <xf numFmtId="0" fontId="5" fillId="0" borderId="76" xfId="0" applyFont="1" applyFill="1" applyBorder="1" applyAlignment="1">
      <alignment vertical="center"/>
    </xf>
    <xf numFmtId="0" fontId="5" fillId="0" borderId="57" xfId="0" applyFont="1" applyFill="1" applyBorder="1" applyAlignment="1">
      <alignment horizontal="center" vertical="center"/>
    </xf>
    <xf numFmtId="0" fontId="5" fillId="0" borderId="2" xfId="0" applyFont="1" applyFill="1" applyBorder="1" applyAlignment="1">
      <alignment horizontal="right" vertical="center"/>
    </xf>
    <xf numFmtId="0" fontId="5" fillId="0" borderId="8" xfId="0" applyFont="1" applyFill="1" applyBorder="1" applyAlignment="1">
      <alignment vertical="center"/>
    </xf>
    <xf numFmtId="0" fontId="5" fillId="0" borderId="9" xfId="0" applyFont="1" applyFill="1" applyBorder="1" applyAlignment="1">
      <alignment vertical="center"/>
    </xf>
    <xf numFmtId="0" fontId="5" fillId="0" borderId="24" xfId="0" applyFont="1" applyFill="1" applyBorder="1" applyAlignment="1">
      <alignment horizontal="center" vertical="center" shrinkToFit="1"/>
    </xf>
    <xf numFmtId="190" fontId="5" fillId="0" borderId="52" xfId="0" applyNumberFormat="1" applyFont="1" applyFill="1" applyBorder="1" applyAlignment="1">
      <alignment vertical="center" shrinkToFit="1"/>
    </xf>
    <xf numFmtId="190" fontId="5" fillId="0" borderId="62" xfId="0" applyNumberFormat="1" applyFont="1" applyFill="1" applyBorder="1" applyAlignment="1">
      <alignment vertical="center" shrinkToFit="1"/>
    </xf>
    <xf numFmtId="190" fontId="5" fillId="0" borderId="53" xfId="0" applyNumberFormat="1" applyFont="1" applyFill="1" applyBorder="1" applyAlignment="1">
      <alignment vertical="center" shrinkToFit="1"/>
    </xf>
    <xf numFmtId="190" fontId="5" fillId="0" borderId="40" xfId="0" applyNumberFormat="1" applyFont="1" applyFill="1" applyBorder="1" applyAlignment="1">
      <alignment vertical="center"/>
    </xf>
    <xf numFmtId="0" fontId="0" fillId="0" borderId="57" xfId="0" applyFont="1" applyFill="1" applyBorder="1" applyAlignment="1">
      <alignment horizontal="center" vertical="center" shrinkToFit="1"/>
    </xf>
    <xf numFmtId="0" fontId="5" fillId="0" borderId="3" xfId="0" applyFont="1" applyFill="1" applyBorder="1" applyAlignment="1">
      <alignment vertical="center"/>
    </xf>
    <xf numFmtId="0" fontId="5" fillId="0" borderId="1" xfId="0" applyFont="1" applyFill="1" applyBorder="1" applyAlignment="1">
      <alignment vertical="center"/>
    </xf>
    <xf numFmtId="0" fontId="5" fillId="0" borderId="9" xfId="0" applyFont="1" applyFill="1" applyBorder="1" applyAlignment="1">
      <alignment horizontal="right" vertical="center"/>
    </xf>
    <xf numFmtId="0" fontId="5" fillId="0" borderId="0" xfId="0" applyFont="1" applyFill="1" applyAlignment="1">
      <alignment shrinkToFit="1"/>
    </xf>
    <xf numFmtId="0" fontId="5" fillId="0" borderId="40" xfId="0" applyFont="1" applyFill="1" applyBorder="1" applyAlignment="1">
      <alignment horizontal="center" vertical="center"/>
    </xf>
    <xf numFmtId="0" fontId="32" fillId="0" borderId="0" xfId="0" applyFont="1" applyFill="1"/>
    <xf numFmtId="0" fontId="0" fillId="0" borderId="7" xfId="0" applyFont="1" applyFill="1" applyBorder="1" applyAlignment="1">
      <alignment horizontal="center" vertical="center"/>
    </xf>
    <xf numFmtId="38" fontId="5" fillId="0" borderId="73" xfId="1" applyFont="1" applyFill="1" applyBorder="1" applyAlignment="1">
      <alignment vertical="center"/>
    </xf>
    <xf numFmtId="38" fontId="5" fillId="0" borderId="76" xfId="1" applyFont="1" applyFill="1" applyBorder="1" applyAlignment="1">
      <alignment vertical="center"/>
    </xf>
    <xf numFmtId="38" fontId="5" fillId="0" borderId="15" xfId="1" applyFont="1" applyFill="1" applyBorder="1" applyAlignment="1">
      <alignment horizontal="center" vertical="center"/>
    </xf>
    <xf numFmtId="38" fontId="5" fillId="0" borderId="6" xfId="1" applyFont="1" applyFill="1" applyBorder="1" applyAlignment="1">
      <alignment vertical="center"/>
    </xf>
    <xf numFmtId="38" fontId="5" fillId="0" borderId="20" xfId="1" applyFont="1" applyFill="1" applyBorder="1" applyAlignment="1">
      <alignment horizontal="center" vertical="center"/>
    </xf>
    <xf numFmtId="38" fontId="5" fillId="0" borderId="25" xfId="1" applyFont="1" applyFill="1" applyBorder="1" applyAlignment="1">
      <alignment vertical="center"/>
    </xf>
    <xf numFmtId="38" fontId="5" fillId="0" borderId="22" xfId="1" applyFont="1" applyFill="1" applyBorder="1" applyAlignment="1">
      <alignment vertical="center" shrinkToFit="1"/>
    </xf>
    <xf numFmtId="38" fontId="5" fillId="0" borderId="25" xfId="1" applyFont="1" applyFill="1" applyBorder="1" applyAlignment="1">
      <alignment vertical="center" shrinkToFit="1"/>
    </xf>
    <xf numFmtId="38" fontId="5" fillId="0" borderId="13" xfId="1" applyFont="1" applyFill="1" applyBorder="1" applyAlignment="1">
      <alignment vertical="center"/>
    </xf>
    <xf numFmtId="38" fontId="5" fillId="0" borderId="10" xfId="1" applyFont="1" applyFill="1" applyBorder="1" applyAlignment="1">
      <alignment horizontal="center" vertical="center"/>
    </xf>
    <xf numFmtId="38" fontId="5" fillId="0" borderId="8" xfId="1" applyFont="1" applyFill="1" applyBorder="1" applyAlignment="1">
      <alignment horizontal="center" vertical="center"/>
    </xf>
    <xf numFmtId="38" fontId="5" fillId="0" borderId="41" xfId="1" applyFont="1" applyFill="1" applyBorder="1" applyAlignment="1">
      <alignment vertical="center"/>
    </xf>
    <xf numFmtId="38" fontId="5" fillId="0" borderId="10" xfId="1" applyFont="1" applyFill="1" applyBorder="1" applyAlignment="1">
      <alignment vertical="center"/>
    </xf>
    <xf numFmtId="38" fontId="5" fillId="0" borderId="0" xfId="1" applyFont="1" applyFill="1" applyBorder="1" applyAlignment="1">
      <alignment vertical="center"/>
    </xf>
    <xf numFmtId="38" fontId="5" fillId="0" borderId="55" xfId="1" applyFont="1" applyFill="1" applyBorder="1" applyAlignment="1">
      <alignment vertical="center"/>
    </xf>
    <xf numFmtId="184" fontId="5" fillId="0" borderId="60" xfId="1" applyNumberFormat="1" applyFont="1" applyFill="1" applyBorder="1" applyAlignment="1">
      <alignment vertical="center"/>
    </xf>
    <xf numFmtId="0" fontId="5" fillId="0" borderId="2" xfId="0" applyFont="1" applyFill="1" applyBorder="1" applyAlignment="1">
      <alignment horizontal="right" vertical="center" wrapText="1"/>
    </xf>
    <xf numFmtId="0" fontId="5" fillId="0" borderId="55" xfId="0" applyFont="1" applyFill="1" applyBorder="1" applyAlignment="1">
      <alignment horizontal="right" vertical="center"/>
    </xf>
    <xf numFmtId="0" fontId="13" fillId="0" borderId="3" xfId="0" applyFont="1" applyFill="1" applyBorder="1" applyAlignment="1">
      <alignment horizontal="right" vertical="center"/>
    </xf>
    <xf numFmtId="0" fontId="0" fillId="0" borderId="75" xfId="0" applyFont="1" applyFill="1" applyBorder="1" applyAlignment="1">
      <alignment horizontal="right" vertical="center"/>
    </xf>
    <xf numFmtId="178" fontId="5" fillId="0" borderId="63" xfId="0" applyNumberFormat="1" applyFont="1" applyFill="1" applyBorder="1" applyAlignment="1">
      <alignment vertical="center"/>
    </xf>
    <xf numFmtId="178" fontId="5" fillId="0" borderId="66" xfId="0" applyNumberFormat="1" applyFont="1" applyFill="1" applyBorder="1" applyAlignment="1">
      <alignment vertical="center"/>
    </xf>
    <xf numFmtId="178" fontId="5" fillId="0" borderId="66" xfId="0" applyNumberFormat="1" applyFont="1" applyFill="1" applyBorder="1" applyAlignment="1">
      <alignment vertical="center" shrinkToFit="1"/>
    </xf>
    <xf numFmtId="178" fontId="5" fillId="0" borderId="67" xfId="0" applyNumberFormat="1" applyFont="1" applyFill="1" applyBorder="1" applyAlignment="1">
      <alignment vertical="center"/>
    </xf>
    <xf numFmtId="178" fontId="5" fillId="0" borderId="70" xfId="0" applyNumberFormat="1" applyFont="1" applyFill="1" applyBorder="1" applyAlignment="1">
      <alignment vertical="center"/>
    </xf>
    <xf numFmtId="178" fontId="5" fillId="0" borderId="64" xfId="0" applyNumberFormat="1" applyFont="1" applyFill="1" applyBorder="1" applyAlignment="1">
      <alignment vertical="center"/>
    </xf>
    <xf numFmtId="178" fontId="5" fillId="0" borderId="68" xfId="0" applyNumberFormat="1" applyFont="1" applyFill="1" applyBorder="1" applyAlignment="1">
      <alignment vertical="center" shrinkToFit="1"/>
    </xf>
    <xf numFmtId="0" fontId="9" fillId="0" borderId="0" xfId="0" applyFont="1" applyFill="1" applyAlignment="1">
      <alignment vertical="center"/>
    </xf>
    <xf numFmtId="0" fontId="0" fillId="0" borderId="63" xfId="0" applyFont="1" applyFill="1" applyBorder="1" applyAlignment="1">
      <alignment horizontal="center" vertical="center"/>
    </xf>
    <xf numFmtId="191" fontId="5" fillId="0" borderId="60" xfId="0" applyNumberFormat="1" applyFont="1" applyFill="1" applyBorder="1" applyAlignment="1">
      <alignment vertical="center" shrinkToFit="1"/>
    </xf>
    <xf numFmtId="178" fontId="5" fillId="0" borderId="25" xfId="0" applyNumberFormat="1" applyFont="1" applyFill="1" applyBorder="1" applyAlignment="1">
      <alignment vertical="center"/>
    </xf>
    <xf numFmtId="191" fontId="5" fillId="0" borderId="24" xfId="0" applyNumberFormat="1" applyFont="1" applyFill="1" applyBorder="1" applyAlignment="1">
      <alignment vertical="center" shrinkToFit="1"/>
    </xf>
    <xf numFmtId="178" fontId="5" fillId="0" borderId="25" xfId="0" applyNumberFormat="1" applyFont="1" applyFill="1" applyBorder="1" applyAlignment="1">
      <alignment vertical="center" shrinkToFit="1"/>
    </xf>
    <xf numFmtId="0" fontId="5" fillId="0" borderId="0" xfId="0" applyFont="1" applyFill="1" applyAlignment="1">
      <alignment vertical="center" shrinkToFit="1"/>
    </xf>
    <xf numFmtId="178" fontId="5" fillId="0" borderId="13" xfId="0" applyNumberFormat="1" applyFont="1" applyFill="1" applyBorder="1" applyAlignment="1">
      <alignment vertical="center"/>
    </xf>
    <xf numFmtId="191" fontId="5" fillId="0" borderId="34" xfId="0" applyNumberFormat="1" applyFont="1" applyFill="1" applyBorder="1" applyAlignment="1">
      <alignment vertical="center" shrinkToFit="1"/>
    </xf>
    <xf numFmtId="178" fontId="5" fillId="0" borderId="35" xfId="0" applyNumberFormat="1" applyFont="1" applyFill="1" applyBorder="1" applyAlignment="1">
      <alignment vertical="center"/>
    </xf>
    <xf numFmtId="191" fontId="5" fillId="0" borderId="49" xfId="0" applyNumberFormat="1" applyFont="1" applyFill="1" applyBorder="1" applyAlignment="1">
      <alignment vertical="center" shrinkToFit="1"/>
    </xf>
    <xf numFmtId="178" fontId="5" fillId="0" borderId="41" xfId="0" applyNumberFormat="1" applyFont="1" applyFill="1" applyBorder="1" applyAlignment="1">
      <alignment vertical="center" shrinkToFit="1"/>
    </xf>
    <xf numFmtId="191" fontId="5" fillId="0" borderId="40" xfId="0" applyNumberFormat="1" applyFont="1" applyFill="1" applyBorder="1" applyAlignment="1">
      <alignment vertical="center" shrinkToFit="1"/>
    </xf>
    <xf numFmtId="190" fontId="5" fillId="0" borderId="53" xfId="0" applyNumberFormat="1" applyFont="1" applyFill="1" applyBorder="1" applyAlignment="1">
      <alignment vertical="center"/>
    </xf>
    <xf numFmtId="178" fontId="5" fillId="0" borderId="0" xfId="0" applyNumberFormat="1" applyFont="1" applyFill="1" applyBorder="1" applyAlignment="1">
      <alignment vertical="center"/>
    </xf>
    <xf numFmtId="0" fontId="5" fillId="0" borderId="36" xfId="0" applyFont="1" applyFill="1" applyBorder="1" applyAlignment="1">
      <alignment vertical="center" wrapText="1" shrinkToFit="1"/>
    </xf>
    <xf numFmtId="0" fontId="5" fillId="0" borderId="43" xfId="0" applyFont="1" applyFill="1" applyBorder="1" applyAlignment="1">
      <alignment vertical="center" wrapText="1" shrinkToFit="1"/>
    </xf>
    <xf numFmtId="0" fontId="5" fillId="0" borderId="56" xfId="0" applyFont="1" applyFill="1" applyBorder="1" applyAlignment="1">
      <alignment horizontal="center" vertical="center"/>
    </xf>
    <xf numFmtId="184" fontId="5" fillId="0" borderId="49" xfId="1" applyNumberFormat="1" applyFont="1" applyFill="1" applyBorder="1" applyAlignment="1">
      <alignment vertical="center"/>
    </xf>
    <xf numFmtId="0" fontId="5" fillId="0" borderId="0" xfId="0" applyFont="1" applyFill="1" applyAlignment="1">
      <alignment wrapText="1"/>
    </xf>
    <xf numFmtId="0" fontId="32" fillId="0" borderId="2" xfId="0" applyFont="1" applyFill="1" applyBorder="1" applyAlignment="1">
      <alignment horizontal="right" vertical="center"/>
    </xf>
    <xf numFmtId="0" fontId="32" fillId="0" borderId="4" xfId="0" applyFont="1" applyFill="1" applyBorder="1" applyAlignment="1">
      <alignment horizontal="right" vertical="center"/>
    </xf>
    <xf numFmtId="0" fontId="5" fillId="0" borderId="8" xfId="0" applyFont="1" applyFill="1" applyBorder="1" applyAlignment="1">
      <alignment vertical="top"/>
    </xf>
    <xf numFmtId="0" fontId="9" fillId="0" borderId="9" xfId="0" applyFont="1" applyFill="1" applyBorder="1" applyAlignment="1">
      <alignment vertical="center"/>
    </xf>
    <xf numFmtId="0" fontId="5" fillId="0" borderId="6" xfId="0" applyFont="1" applyFill="1" applyBorder="1"/>
    <xf numFmtId="0" fontId="5" fillId="0" borderId="44" xfId="0" applyFont="1" applyFill="1" applyBorder="1"/>
    <xf numFmtId="0" fontId="5" fillId="0" borderId="56" xfId="0" applyFont="1" applyFill="1" applyBorder="1"/>
    <xf numFmtId="0" fontId="5" fillId="0" borderId="25" xfId="0" applyFont="1" applyFill="1" applyBorder="1"/>
    <xf numFmtId="176" fontId="5" fillId="0" borderId="22" xfId="0" applyNumberFormat="1" applyFont="1" applyFill="1" applyBorder="1"/>
    <xf numFmtId="0" fontId="5" fillId="0" borderId="22" xfId="0" applyFont="1" applyFill="1" applyBorder="1"/>
    <xf numFmtId="0" fontId="0" fillId="0" borderId="57" xfId="0" applyFont="1" applyFill="1" applyBorder="1" applyAlignment="1">
      <alignment horizontal="center" vertical="center"/>
    </xf>
    <xf numFmtId="0" fontId="5" fillId="0" borderId="24" xfId="0" applyFont="1" applyFill="1" applyBorder="1" applyAlignment="1">
      <alignment horizontal="center" vertical="center"/>
    </xf>
    <xf numFmtId="185" fontId="5" fillId="0" borderId="62" xfId="0" applyNumberFormat="1" applyFont="1" applyFill="1" applyBorder="1" applyAlignment="1">
      <alignment vertical="center" shrinkToFit="1"/>
    </xf>
    <xf numFmtId="189" fontId="5" fillId="0" borderId="62" xfId="0" applyNumberFormat="1" applyFont="1" applyFill="1" applyBorder="1" applyAlignment="1">
      <alignment vertical="center" shrinkToFit="1"/>
    </xf>
    <xf numFmtId="189" fontId="5" fillId="0" borderId="41" xfId="0" applyNumberFormat="1" applyFont="1" applyFill="1" applyBorder="1" applyAlignment="1">
      <alignment vertical="center" shrinkToFit="1"/>
    </xf>
    <xf numFmtId="189" fontId="5" fillId="0" borderId="53" xfId="0" applyNumberFormat="1" applyFont="1" applyFill="1" applyBorder="1" applyAlignment="1">
      <alignment vertical="center" shrinkToFit="1"/>
    </xf>
    <xf numFmtId="189" fontId="5" fillId="0" borderId="53" xfId="0" applyNumberFormat="1" applyFont="1" applyFill="1" applyBorder="1"/>
    <xf numFmtId="189" fontId="5" fillId="0" borderId="40" xfId="0" applyNumberFormat="1" applyFont="1" applyFill="1" applyBorder="1"/>
    <xf numFmtId="0" fontId="0" fillId="0" borderId="2" xfId="0" applyFont="1" applyFill="1" applyBorder="1" applyAlignment="1">
      <alignment horizontal="right" vertical="center"/>
    </xf>
    <xf numFmtId="176" fontId="5" fillId="0" borderId="18" xfId="0" applyNumberFormat="1" applyFont="1" applyFill="1" applyBorder="1" applyAlignment="1">
      <alignment vertical="center"/>
    </xf>
    <xf numFmtId="176" fontId="5" fillId="0" borderId="60" xfId="0" applyNumberFormat="1" applyFont="1" applyFill="1" applyBorder="1" applyAlignment="1">
      <alignment vertical="center"/>
    </xf>
    <xf numFmtId="0" fontId="5" fillId="0" borderId="40" xfId="0" applyFont="1" applyFill="1" applyBorder="1" applyAlignment="1">
      <alignment vertical="center"/>
    </xf>
    <xf numFmtId="176" fontId="5" fillId="0" borderId="40" xfId="0" applyNumberFormat="1" applyFont="1" applyFill="1" applyBorder="1" applyAlignment="1">
      <alignment vertical="center"/>
    </xf>
    <xf numFmtId="0" fontId="5" fillId="0" borderId="4" xfId="0" applyFont="1" applyFill="1" applyBorder="1"/>
    <xf numFmtId="0" fontId="5" fillId="0" borderId="10" xfId="0" applyFont="1" applyFill="1" applyBorder="1"/>
    <xf numFmtId="0" fontId="13" fillId="0" borderId="8" xfId="0" applyFont="1" applyFill="1" applyBorder="1"/>
    <xf numFmtId="0" fontId="5" fillId="0" borderId="1" xfId="0" applyFont="1" applyFill="1" applyBorder="1" applyAlignment="1">
      <alignment horizontal="right"/>
    </xf>
    <xf numFmtId="0" fontId="5" fillId="0" borderId="9" xfId="0" applyFont="1" applyFill="1" applyBorder="1" applyAlignment="1">
      <alignment horizontal="right"/>
    </xf>
    <xf numFmtId="0" fontId="5" fillId="0" borderId="49" xfId="0" applyFont="1" applyFill="1" applyBorder="1" applyAlignment="1">
      <alignment horizontal="center"/>
    </xf>
    <xf numFmtId="0" fontId="5" fillId="0" borderId="25" xfId="0" applyFont="1" applyFill="1" applyBorder="1" applyAlignment="1">
      <alignment horizontal="center"/>
    </xf>
    <xf numFmtId="0" fontId="5" fillId="0" borderId="17" xfId="0" applyFont="1" applyFill="1" applyBorder="1"/>
    <xf numFmtId="0" fontId="5" fillId="0" borderId="23" xfId="0" applyFont="1" applyFill="1" applyBorder="1"/>
    <xf numFmtId="0" fontId="5" fillId="0" borderId="39" xfId="0" applyFont="1" applyFill="1" applyBorder="1"/>
    <xf numFmtId="0" fontId="5" fillId="0" borderId="41" xfId="0" applyFont="1" applyFill="1" applyBorder="1"/>
    <xf numFmtId="0" fontId="5" fillId="0" borderId="3" xfId="0" applyFont="1" applyFill="1" applyBorder="1"/>
    <xf numFmtId="0" fontId="9" fillId="0" borderId="0" xfId="0" applyFont="1" applyFill="1"/>
    <xf numFmtId="0" fontId="5" fillId="0" borderId="1" xfId="0" applyFont="1" applyFill="1" applyBorder="1"/>
    <xf numFmtId="0" fontId="5" fillId="0" borderId="15" xfId="0" applyFont="1" applyFill="1" applyBorder="1" applyAlignment="1">
      <alignment horizontal="center" vertical="center"/>
    </xf>
    <xf numFmtId="190" fontId="5" fillId="0" borderId="62" xfId="0" applyNumberFormat="1" applyFont="1" applyFill="1" applyBorder="1" applyAlignment="1">
      <alignment vertical="center"/>
    </xf>
    <xf numFmtId="0" fontId="5" fillId="0" borderId="3" xfId="0" applyFont="1" applyFill="1" applyBorder="1" applyAlignment="1">
      <alignment horizontal="center" vertical="center"/>
    </xf>
    <xf numFmtId="0" fontId="5" fillId="0" borderId="39" xfId="0" applyFont="1" applyFill="1" applyBorder="1" applyAlignment="1">
      <alignment horizontal="distributed" vertical="center"/>
    </xf>
    <xf numFmtId="0" fontId="5" fillId="0" borderId="5" xfId="0" applyFont="1" applyFill="1" applyBorder="1" applyAlignment="1">
      <alignment horizontal="center" vertical="center"/>
    </xf>
    <xf numFmtId="184" fontId="5" fillId="0" borderId="5" xfId="1" applyNumberFormat="1" applyFont="1" applyFill="1" applyBorder="1" applyAlignment="1">
      <alignment vertical="center"/>
    </xf>
    <xf numFmtId="184" fontId="5" fillId="0" borderId="24" xfId="1" applyNumberFormat="1" applyFont="1" applyFill="1" applyBorder="1" applyAlignment="1">
      <alignment vertical="center"/>
    </xf>
    <xf numFmtId="184" fontId="5" fillId="0" borderId="11" xfId="1" applyNumberFormat="1" applyFont="1" applyFill="1" applyBorder="1" applyAlignment="1">
      <alignment vertical="center"/>
    </xf>
    <xf numFmtId="184" fontId="5" fillId="0" borderId="78" xfId="1" applyNumberFormat="1" applyFont="1" applyFill="1" applyBorder="1" applyAlignment="1">
      <alignment vertical="center"/>
    </xf>
    <xf numFmtId="184" fontId="5" fillId="0" borderId="74" xfId="1" applyNumberFormat="1" applyFont="1" applyFill="1" applyBorder="1" applyAlignment="1">
      <alignment vertical="center"/>
    </xf>
    <xf numFmtId="184" fontId="5" fillId="0" borderId="71" xfId="1" applyNumberFormat="1" applyFont="1" applyFill="1" applyBorder="1" applyAlignment="1">
      <alignment vertical="center"/>
    </xf>
    <xf numFmtId="184" fontId="5" fillId="0" borderId="72" xfId="1" applyNumberFormat="1" applyFont="1" applyFill="1" applyBorder="1" applyAlignment="1">
      <alignment vertical="center"/>
    </xf>
    <xf numFmtId="176" fontId="5" fillId="0" borderId="0" xfId="0" applyNumberFormat="1" applyFont="1" applyFill="1"/>
    <xf numFmtId="0" fontId="5" fillId="0" borderId="14" xfId="0" applyFont="1" applyFill="1" applyBorder="1" applyAlignment="1">
      <alignment horizontal="center" vertical="center"/>
    </xf>
    <xf numFmtId="176" fontId="5" fillId="0" borderId="24" xfId="0" applyNumberFormat="1" applyFont="1" applyFill="1" applyBorder="1" applyAlignment="1">
      <alignment vertical="center"/>
    </xf>
    <xf numFmtId="0" fontId="5" fillId="0" borderId="4" xfId="0" applyFont="1" applyFill="1" applyBorder="1" applyAlignment="1">
      <alignment horizontal="right"/>
    </xf>
    <xf numFmtId="0" fontId="5" fillId="0" borderId="55" xfId="0" applyFont="1" applyFill="1" applyBorder="1"/>
    <xf numFmtId="0" fontId="5" fillId="0" borderId="27" xfId="0" applyFont="1" applyFill="1" applyBorder="1"/>
    <xf numFmtId="0" fontId="5" fillId="0" borderId="46" xfId="0" applyFont="1" applyFill="1" applyBorder="1"/>
    <xf numFmtId="0" fontId="0" fillId="0" borderId="36" xfId="0" applyFont="1" applyFill="1" applyBorder="1" applyAlignment="1">
      <alignment vertical="center"/>
    </xf>
    <xf numFmtId="0" fontId="13" fillId="0" borderId="40" xfId="0" applyFont="1" applyFill="1" applyBorder="1" applyAlignment="1">
      <alignment horizontal="distributed" vertical="center"/>
    </xf>
    <xf numFmtId="0" fontId="3" fillId="0" borderId="0" xfId="0" applyFont="1" applyFill="1"/>
    <xf numFmtId="0" fontId="18" fillId="0" borderId="0" xfId="0" applyFont="1" applyFill="1"/>
    <xf numFmtId="0" fontId="5" fillId="0" borderId="0" xfId="0" applyFont="1" applyFill="1" applyAlignment="1">
      <alignment horizontal="left"/>
    </xf>
    <xf numFmtId="0" fontId="7" fillId="0" borderId="2" xfId="0" applyFont="1" applyFill="1" applyBorder="1"/>
    <xf numFmtId="0" fontId="7" fillId="0" borderId="3" xfId="0" applyFont="1" applyFill="1" applyBorder="1"/>
    <xf numFmtId="0" fontId="7" fillId="0" borderId="3" xfId="0" applyFont="1" applyFill="1" applyBorder="1" applyAlignment="1">
      <alignment horizontal="right"/>
    </xf>
    <xf numFmtId="0" fontId="7" fillId="0" borderId="10" xfId="0" applyFont="1" applyFill="1" applyBorder="1"/>
    <xf numFmtId="0" fontId="7" fillId="0" borderId="0" xfId="0" applyFont="1" applyFill="1"/>
    <xf numFmtId="0" fontId="5" fillId="0" borderId="31" xfId="0" applyFont="1" applyFill="1" applyBorder="1" applyAlignment="1">
      <alignment horizontal="distributed" vertical="center"/>
    </xf>
    <xf numFmtId="0" fontId="5" fillId="0" borderId="32" xfId="0" applyFont="1" applyFill="1" applyBorder="1" applyAlignment="1">
      <alignment horizontal="distributed" vertical="center"/>
    </xf>
    <xf numFmtId="0" fontId="5" fillId="0" borderId="28" xfId="0" applyFont="1" applyFill="1" applyBorder="1" applyAlignment="1">
      <alignment horizontal="distributed" vertical="center"/>
    </xf>
    <xf numFmtId="0" fontId="11" fillId="0" borderId="24" xfId="0" applyFont="1" applyFill="1" applyBorder="1" applyAlignment="1">
      <alignment horizontal="distributed" vertical="center"/>
    </xf>
    <xf numFmtId="0" fontId="5" fillId="0" borderId="51" xfId="0" applyFont="1" applyFill="1" applyBorder="1" applyAlignment="1">
      <alignment horizontal="distributed" vertical="center"/>
    </xf>
    <xf numFmtId="0" fontId="5" fillId="0" borderId="40" xfId="0" applyFont="1" applyFill="1" applyBorder="1" applyAlignment="1">
      <alignment horizontal="distributed" vertical="center"/>
    </xf>
    <xf numFmtId="0" fontId="5" fillId="0" borderId="0" xfId="0" applyFont="1" applyFill="1" applyAlignment="1">
      <alignment horizontal="center"/>
    </xf>
    <xf numFmtId="0" fontId="0" fillId="0" borderId="28" xfId="0" applyFont="1" applyFill="1" applyBorder="1" applyAlignment="1">
      <alignment horizontal="distributed" vertical="center"/>
    </xf>
    <xf numFmtId="0" fontId="5" fillId="0" borderId="40" xfId="0" applyFont="1" applyFill="1" applyBorder="1" applyAlignment="1">
      <alignment horizontal="distributed" vertical="center" wrapText="1"/>
    </xf>
    <xf numFmtId="176" fontId="5" fillId="0" borderId="0" xfId="0" applyNumberFormat="1" applyFont="1" applyFill="1" applyAlignment="1">
      <alignment vertical="center"/>
    </xf>
    <xf numFmtId="0" fontId="5" fillId="0" borderId="15" xfId="0" applyFont="1" applyFill="1" applyBorder="1" applyAlignment="1">
      <alignment vertical="center"/>
    </xf>
    <xf numFmtId="0" fontId="24" fillId="0" borderId="7" xfId="0" applyFont="1" applyFill="1" applyBorder="1" applyAlignment="1">
      <alignment horizontal="distributed" vertical="center"/>
    </xf>
    <xf numFmtId="0" fontId="13" fillId="0" borderId="49" xfId="0" applyFont="1" applyFill="1" applyBorder="1" applyAlignment="1">
      <alignment horizontal="distributed" vertical="center" wrapText="1"/>
    </xf>
    <xf numFmtId="0" fontId="16" fillId="0" borderId="25" xfId="0" applyFont="1" applyFill="1" applyBorder="1" applyAlignment="1">
      <alignment vertical="center"/>
    </xf>
    <xf numFmtId="0" fontId="5" fillId="0" borderId="24" xfId="0" applyFont="1" applyFill="1" applyBorder="1" applyAlignment="1">
      <alignment vertical="center"/>
    </xf>
    <xf numFmtId="0" fontId="16" fillId="0" borderId="22" xfId="0" applyFont="1" applyFill="1" applyBorder="1" applyAlignment="1">
      <alignment horizontal="distributed" vertical="center"/>
    </xf>
    <xf numFmtId="0" fontId="16" fillId="0" borderId="35" xfId="0" applyFont="1" applyFill="1" applyBorder="1" applyAlignment="1">
      <alignment horizontal="distributed" vertical="center"/>
    </xf>
    <xf numFmtId="0" fontId="5" fillId="0" borderId="46" xfId="0" applyFont="1" applyFill="1" applyBorder="1" applyAlignment="1">
      <alignment vertical="center"/>
    </xf>
    <xf numFmtId="0" fontId="16" fillId="0" borderId="25" xfId="0" applyFont="1" applyFill="1" applyBorder="1" applyAlignment="1">
      <alignment horizontal="distributed" vertical="center"/>
    </xf>
    <xf numFmtId="0" fontId="30" fillId="0" borderId="56" xfId="0" applyFont="1" applyFill="1" applyBorder="1"/>
    <xf numFmtId="0" fontId="13" fillId="0" borderId="22" xfId="0" applyFont="1" applyFill="1" applyBorder="1" applyAlignment="1">
      <alignment horizontal="distributed" vertical="center"/>
    </xf>
    <xf numFmtId="0" fontId="16" fillId="0" borderId="13" xfId="0" applyFont="1" applyFill="1" applyBorder="1" applyAlignment="1">
      <alignment horizontal="distributed" vertical="center"/>
    </xf>
    <xf numFmtId="0" fontId="5" fillId="0" borderId="31" xfId="0" applyFont="1" applyFill="1" applyBorder="1" applyAlignment="1">
      <alignment vertical="center"/>
    </xf>
    <xf numFmtId="0" fontId="16" fillId="0" borderId="53" xfId="0" applyFont="1" applyFill="1" applyBorder="1" applyAlignment="1">
      <alignment horizontal="distributed" vertical="center"/>
    </xf>
    <xf numFmtId="0" fontId="5" fillId="0" borderId="53" xfId="0" applyFont="1" applyFill="1" applyBorder="1"/>
    <xf numFmtId="0" fontId="5" fillId="0" borderId="72" xfId="0" applyFont="1" applyFill="1" applyBorder="1"/>
    <xf numFmtId="0" fontId="5" fillId="0" borderId="0" xfId="0" applyFont="1" applyFill="1" applyAlignment="1">
      <alignment horizontal="center" vertical="center" wrapText="1"/>
    </xf>
    <xf numFmtId="0" fontId="30" fillId="0" borderId="56" xfId="0" applyFont="1" applyFill="1" applyBorder="1" applyAlignment="1">
      <alignment vertical="center"/>
    </xf>
    <xf numFmtId="176" fontId="5" fillId="0" borderId="56" xfId="0" applyNumberFormat="1" applyFont="1" applyFill="1" applyBorder="1" applyAlignment="1">
      <alignment vertical="center"/>
    </xf>
    <xf numFmtId="176" fontId="5" fillId="0" borderId="56" xfId="0" applyNumberFormat="1" applyFont="1" applyFill="1" applyBorder="1"/>
    <xf numFmtId="0" fontId="31" fillId="0" borderId="9" xfId="0" applyFont="1" applyFill="1" applyBorder="1" applyAlignment="1">
      <alignment vertical="center"/>
    </xf>
    <xf numFmtId="0" fontId="16" fillId="0" borderId="54" xfId="0" applyFont="1" applyFill="1" applyBorder="1" applyAlignment="1">
      <alignment horizontal="distributed" vertical="center"/>
    </xf>
    <xf numFmtId="0" fontId="16" fillId="0" borderId="52" xfId="0" applyFont="1" applyFill="1" applyBorder="1" applyAlignment="1">
      <alignment horizontal="distributed" vertical="center"/>
    </xf>
    <xf numFmtId="0" fontId="16" fillId="0" borderId="34" xfId="0" applyFont="1" applyFill="1" applyBorder="1" applyAlignment="1">
      <alignment horizontal="distributed" vertical="center"/>
    </xf>
    <xf numFmtId="0" fontId="7" fillId="0" borderId="0" xfId="0" applyFont="1" applyFill="1" applyAlignment="1">
      <alignment horizontal="right"/>
    </xf>
    <xf numFmtId="0" fontId="7" fillId="0" borderId="9" xfId="0" applyFont="1" applyFill="1" applyBorder="1"/>
    <xf numFmtId="0" fontId="16" fillId="0" borderId="49" xfId="0" applyFont="1" applyFill="1" applyBorder="1" applyAlignment="1">
      <alignment horizontal="distributed" vertical="center"/>
    </xf>
    <xf numFmtId="0" fontId="16" fillId="0" borderId="24" xfId="0" applyFont="1" applyFill="1" applyBorder="1" applyAlignment="1">
      <alignment horizontal="distributed" vertical="center"/>
    </xf>
    <xf numFmtId="0" fontId="25" fillId="0" borderId="24" xfId="0" applyFont="1" applyFill="1" applyBorder="1" applyAlignment="1">
      <alignment horizontal="center" vertical="center"/>
    </xf>
    <xf numFmtId="0" fontId="7" fillId="0" borderId="34" xfId="0" applyFont="1" applyFill="1" applyBorder="1" applyAlignment="1">
      <alignment horizontal="center" vertical="center" wrapText="1"/>
    </xf>
    <xf numFmtId="188" fontId="5" fillId="0" borderId="52" xfId="0" applyNumberFormat="1" applyFont="1" applyFill="1" applyBorder="1" applyAlignment="1">
      <alignment horizontal="right" vertical="center"/>
    </xf>
    <xf numFmtId="188" fontId="5" fillId="0" borderId="53" xfId="0" applyNumberFormat="1" applyFont="1" applyFill="1" applyBorder="1" applyAlignment="1">
      <alignment horizontal="right" vertical="center"/>
    </xf>
    <xf numFmtId="188" fontId="5" fillId="0" borderId="62" xfId="0" applyNumberFormat="1" applyFont="1" applyFill="1" applyBorder="1" applyAlignment="1">
      <alignment horizontal="right" vertical="center"/>
    </xf>
    <xf numFmtId="0" fontId="16" fillId="0" borderId="7" xfId="0" applyFont="1" applyFill="1" applyBorder="1" applyAlignment="1">
      <alignment horizontal="distributed" vertical="center"/>
    </xf>
    <xf numFmtId="0" fontId="16" fillId="0" borderId="27" xfId="0" applyFont="1" applyFill="1" applyBorder="1" applyAlignment="1">
      <alignment horizontal="distributed" vertical="center"/>
    </xf>
    <xf numFmtId="0" fontId="25" fillId="0" borderId="55" xfId="0" applyFont="1" applyFill="1" applyBorder="1" applyAlignment="1">
      <alignment horizontal="center" vertical="center"/>
    </xf>
    <xf numFmtId="0" fontId="7" fillId="0" borderId="43" xfId="0" applyFont="1" applyFill="1" applyBorder="1" applyAlignment="1">
      <alignment horizontal="center" vertical="center" wrapText="1"/>
    </xf>
    <xf numFmtId="0" fontId="16" fillId="0" borderId="50" xfId="0" applyFont="1" applyFill="1" applyBorder="1" applyAlignment="1">
      <alignment horizontal="distributed" vertical="center"/>
    </xf>
    <xf numFmtId="188" fontId="5" fillId="0" borderId="38" xfId="0" applyNumberFormat="1" applyFont="1" applyFill="1" applyBorder="1" applyAlignment="1">
      <alignment horizontal="right" vertical="center"/>
    </xf>
    <xf numFmtId="188" fontId="5" fillId="0" borderId="51" xfId="0" applyNumberFormat="1" applyFont="1" applyFill="1" applyBorder="1" applyAlignment="1">
      <alignment horizontal="right" vertical="center"/>
    </xf>
    <xf numFmtId="0" fontId="7" fillId="0" borderId="40" xfId="0" applyFont="1" applyFill="1" applyBorder="1" applyAlignment="1">
      <alignment horizontal="center" vertical="center" wrapText="1"/>
    </xf>
    <xf numFmtId="0" fontId="5" fillId="0" borderId="33" xfId="0" applyFont="1" applyFill="1" applyBorder="1" applyAlignment="1">
      <alignment horizontal="center" vertical="center"/>
    </xf>
    <xf numFmtId="0" fontId="16" fillId="0" borderId="8" xfId="0" applyFont="1" applyFill="1" applyBorder="1"/>
    <xf numFmtId="0" fontId="5" fillId="0" borderId="27" xfId="0" applyFont="1" applyFill="1" applyBorder="1" applyAlignment="1">
      <alignment vertical="center"/>
    </xf>
    <xf numFmtId="0" fontId="5" fillId="0" borderId="0" xfId="0" applyFont="1" applyFill="1" applyAlignment="1">
      <alignment vertical="center" wrapText="1"/>
    </xf>
    <xf numFmtId="178" fontId="5" fillId="0" borderId="52" xfId="0" applyNumberFormat="1" applyFont="1" applyFill="1" applyBorder="1" applyAlignment="1">
      <alignment vertical="center"/>
    </xf>
    <xf numFmtId="178" fontId="5" fillId="0" borderId="42" xfId="0" applyNumberFormat="1" applyFont="1" applyFill="1" applyBorder="1" applyAlignment="1">
      <alignment vertical="center"/>
    </xf>
    <xf numFmtId="178" fontId="5" fillId="0" borderId="43" xfId="0" applyNumberFormat="1" applyFont="1" applyFill="1" applyBorder="1" applyAlignment="1">
      <alignment vertical="center"/>
    </xf>
    <xf numFmtId="178" fontId="5" fillId="0" borderId="68" xfId="0" applyNumberFormat="1" applyFont="1" applyFill="1" applyBorder="1" applyAlignment="1">
      <alignment vertical="center"/>
    </xf>
    <xf numFmtId="0" fontId="5" fillId="0" borderId="10" xfId="0" applyFont="1" applyFill="1" applyBorder="1" applyAlignment="1">
      <alignment horizontal="right" vertical="center" wrapText="1"/>
    </xf>
    <xf numFmtId="0" fontId="0" fillId="0" borderId="10" xfId="0" applyFont="1" applyFill="1" applyBorder="1" applyAlignment="1">
      <alignment horizontal="center" vertical="center" shrinkToFit="1"/>
    </xf>
    <xf numFmtId="0" fontId="5" fillId="0" borderId="8" xfId="0" applyFont="1" applyFill="1" applyBorder="1" applyAlignment="1">
      <alignment horizontal="right" vertical="center"/>
    </xf>
    <xf numFmtId="0" fontId="5" fillId="0" borderId="38" xfId="0" applyFont="1" applyFill="1" applyBorder="1" applyAlignment="1">
      <alignment horizontal="right" vertical="center"/>
    </xf>
    <xf numFmtId="0" fontId="5" fillId="0" borderId="3" xfId="0" applyFont="1" applyFill="1" applyBorder="1" applyAlignment="1">
      <alignment horizontal="right"/>
    </xf>
    <xf numFmtId="0" fontId="0" fillId="0" borderId="4" xfId="0" applyFont="1" applyFill="1" applyBorder="1" applyAlignment="1">
      <alignment horizontal="center"/>
    </xf>
    <xf numFmtId="0" fontId="5" fillId="0" borderId="0" xfId="0" applyFont="1" applyFill="1" applyAlignment="1">
      <alignment horizontal="right"/>
    </xf>
    <xf numFmtId="0" fontId="5" fillId="0" borderId="34" xfId="0" applyFont="1" applyFill="1" applyBorder="1" applyAlignment="1">
      <alignment horizontal="center" shrinkToFit="1"/>
    </xf>
    <xf numFmtId="0" fontId="7" fillId="0" borderId="8" xfId="0" applyFont="1" applyFill="1" applyBorder="1"/>
    <xf numFmtId="0" fontId="7" fillId="0" borderId="1" xfId="0" applyFont="1" applyFill="1" applyBorder="1"/>
    <xf numFmtId="0" fontId="5" fillId="0" borderId="10" xfId="0" applyFont="1" applyFill="1" applyBorder="1" applyAlignment="1">
      <alignment horizontal="right"/>
    </xf>
    <xf numFmtId="0" fontId="5" fillId="0" borderId="31" xfId="0" applyFont="1" applyFill="1" applyBorder="1" applyAlignment="1">
      <alignment horizontal="right"/>
    </xf>
    <xf numFmtId="0" fontId="5" fillId="0" borderId="28" xfId="0" applyFont="1" applyFill="1" applyBorder="1" applyAlignment="1">
      <alignment horizontal="right"/>
    </xf>
    <xf numFmtId="0" fontId="5" fillId="0" borderId="60" xfId="0" applyFont="1" applyFill="1" applyBorder="1" applyAlignment="1">
      <alignment horizontal="right"/>
    </xf>
    <xf numFmtId="0" fontId="5" fillId="0" borderId="21" xfId="0" applyFont="1" applyFill="1" applyBorder="1"/>
    <xf numFmtId="0" fontId="0" fillId="0" borderId="46" xfId="0" applyFont="1" applyFill="1" applyBorder="1"/>
    <xf numFmtId="0" fontId="0" fillId="0" borderId="27" xfId="0" applyFont="1" applyFill="1" applyBorder="1" applyAlignment="1">
      <alignment horizontal="center" vertical="center" shrinkToFit="1"/>
    </xf>
    <xf numFmtId="0" fontId="5" fillId="0" borderId="34" xfId="0" applyFont="1" applyFill="1" applyBorder="1" applyAlignment="1">
      <alignment horizontal="center" vertical="center" shrinkToFit="1"/>
    </xf>
    <xf numFmtId="0" fontId="5" fillId="0" borderId="36" xfId="0" applyFont="1" applyFill="1" applyBorder="1" applyAlignment="1">
      <alignment horizontal="right" vertical="center"/>
    </xf>
    <xf numFmtId="0" fontId="5" fillId="0" borderId="51" xfId="0" applyFont="1" applyFill="1" applyBorder="1" applyAlignment="1">
      <alignment horizontal="right" vertical="center"/>
    </xf>
    <xf numFmtId="0" fontId="5" fillId="0" borderId="11" xfId="0" applyFont="1" applyFill="1" applyBorder="1" applyAlignment="1">
      <alignment horizontal="right" vertical="center"/>
    </xf>
    <xf numFmtId="0" fontId="5" fillId="0" borderId="4" xfId="0" applyFont="1" applyFill="1" applyBorder="1" applyAlignment="1">
      <alignment vertical="center"/>
    </xf>
    <xf numFmtId="178" fontId="5" fillId="0" borderId="79" xfId="0" applyNumberFormat="1" applyFont="1" applyFill="1" applyBorder="1" applyAlignment="1">
      <alignment vertical="center"/>
    </xf>
    <xf numFmtId="178" fontId="5" fillId="0" borderId="61" xfId="0" applyNumberFormat="1" applyFont="1" applyFill="1" applyBorder="1" applyAlignment="1">
      <alignment vertical="center"/>
    </xf>
    <xf numFmtId="178" fontId="5" fillId="0" borderId="56" xfId="0" applyNumberFormat="1" applyFont="1" applyFill="1" applyBorder="1" applyAlignment="1">
      <alignment vertical="center"/>
    </xf>
    <xf numFmtId="178" fontId="5" fillId="0" borderId="24" xfId="0" applyNumberFormat="1" applyFont="1" applyFill="1" applyBorder="1" applyAlignment="1">
      <alignment vertical="center"/>
    </xf>
    <xf numFmtId="184" fontId="5" fillId="0" borderId="0" xfId="1" applyNumberFormat="1" applyFont="1" applyFill="1" applyBorder="1" applyAlignment="1">
      <alignment vertical="center"/>
    </xf>
    <xf numFmtId="0" fontId="7" fillId="0" borderId="4" xfId="0" applyFont="1" applyFill="1" applyBorder="1"/>
    <xf numFmtId="0" fontId="5" fillId="0" borderId="63" xfId="0" applyFont="1" applyFill="1" applyBorder="1" applyAlignment="1">
      <alignment vertical="center"/>
    </xf>
    <xf numFmtId="0" fontId="7" fillId="0" borderId="55" xfId="0" applyFont="1" applyFill="1" applyBorder="1" applyAlignment="1">
      <alignment horizontal="right"/>
    </xf>
    <xf numFmtId="0" fontId="5" fillId="0" borderId="64" xfId="0" applyFont="1" applyFill="1" applyBorder="1" applyAlignment="1">
      <alignment horizontal="center" vertical="center"/>
    </xf>
    <xf numFmtId="0" fontId="5" fillId="0" borderId="55" xfId="0" applyFont="1" applyFill="1" applyBorder="1" applyAlignment="1">
      <alignment horizontal="center" vertical="center"/>
    </xf>
    <xf numFmtId="0" fontId="5" fillId="0" borderId="63" xfId="0" applyFont="1" applyFill="1" applyBorder="1" applyAlignment="1">
      <alignment horizontal="center" vertical="center"/>
    </xf>
    <xf numFmtId="0" fontId="5" fillId="0" borderId="65" xfId="0" applyFont="1" applyFill="1" applyBorder="1" applyAlignment="1">
      <alignment horizontal="right" vertical="center"/>
    </xf>
    <xf numFmtId="0" fontId="5" fillId="0" borderId="2" xfId="0" applyFont="1" applyFill="1" applyBorder="1" applyAlignment="1">
      <alignment horizontal="center" vertical="center"/>
    </xf>
    <xf numFmtId="184" fontId="5" fillId="0" borderId="0" xfId="0" applyNumberFormat="1" applyFont="1" applyFill="1"/>
    <xf numFmtId="3" fontId="5" fillId="0" borderId="0" xfId="0" applyNumberFormat="1" applyFont="1" applyFill="1"/>
    <xf numFmtId="0" fontId="0" fillId="0" borderId="13" xfId="0" applyFont="1" applyFill="1" applyBorder="1" applyAlignment="1">
      <alignment vertical="center"/>
    </xf>
    <xf numFmtId="0" fontId="0" fillId="0" borderId="1" xfId="0" applyFont="1" applyFill="1" applyBorder="1" applyAlignment="1">
      <alignment vertical="center"/>
    </xf>
    <xf numFmtId="0" fontId="16" fillId="0" borderId="0" xfId="0" applyFont="1" applyFill="1"/>
    <xf numFmtId="189" fontId="5" fillId="0" borderId="53" xfId="0" applyNumberFormat="1" applyFont="1" applyFill="1" applyBorder="1" applyAlignment="1">
      <alignment horizontal="right" vertical="center"/>
    </xf>
    <xf numFmtId="189" fontId="5" fillId="0" borderId="40" xfId="0" applyNumberFormat="1" applyFont="1" applyFill="1" applyBorder="1" applyAlignment="1">
      <alignment vertical="center"/>
    </xf>
    <xf numFmtId="0" fontId="0" fillId="0" borderId="32" xfId="0" applyFont="1" applyFill="1" applyBorder="1" applyAlignment="1">
      <alignment vertical="center" wrapText="1"/>
    </xf>
    <xf numFmtId="0" fontId="7" fillId="0" borderId="28" xfId="0" applyFont="1" applyFill="1" applyBorder="1" applyAlignment="1">
      <alignment horizontal="distributed" vertical="center"/>
    </xf>
    <xf numFmtId="0" fontId="0" fillId="0" borderId="0" xfId="0" applyFont="1" applyFill="1" applyAlignment="1">
      <alignment vertical="center" wrapText="1"/>
    </xf>
    <xf numFmtId="0" fontId="0" fillId="0" borderId="1" xfId="0" applyFont="1" applyFill="1" applyBorder="1" applyAlignment="1">
      <alignment vertical="center" wrapText="1"/>
    </xf>
    <xf numFmtId="0" fontId="16" fillId="0" borderId="0" xfId="0" applyFont="1" applyFill="1" applyAlignment="1">
      <alignment horizontal="distributed" vertical="center"/>
    </xf>
    <xf numFmtId="0" fontId="5" fillId="0" borderId="23" xfId="0" applyFont="1" applyFill="1" applyBorder="1" applyAlignment="1">
      <alignment horizontal="distributed" vertical="center"/>
    </xf>
    <xf numFmtId="0" fontId="5" fillId="0" borderId="73" xfId="0" applyFont="1" applyFill="1" applyBorder="1" applyAlignment="1">
      <alignment horizontal="distributed" vertical="center"/>
    </xf>
    <xf numFmtId="0" fontId="40" fillId="0" borderId="63" xfId="0" applyFont="1" applyFill="1" applyBorder="1" applyAlignment="1">
      <alignment horizontal="right"/>
    </xf>
    <xf numFmtId="0" fontId="5" fillId="0" borderId="64" xfId="0" applyFont="1" applyFill="1" applyBorder="1"/>
    <xf numFmtId="0" fontId="24" fillId="0" borderId="27" xfId="0" applyFont="1" applyFill="1" applyBorder="1" applyAlignment="1">
      <alignment horizontal="distributed"/>
    </xf>
    <xf numFmtId="0" fontId="13" fillId="0" borderId="11" xfId="0" applyFont="1" applyFill="1" applyBorder="1" applyAlignment="1">
      <alignment horizontal="distributed"/>
    </xf>
    <xf numFmtId="0" fontId="5" fillId="0" borderId="48" xfId="0" applyFont="1" applyFill="1" applyBorder="1" applyAlignment="1">
      <alignment horizontal="distributed" vertical="center"/>
    </xf>
    <xf numFmtId="0" fontId="7" fillId="0" borderId="24" xfId="0" applyFont="1" applyFill="1" applyBorder="1" applyAlignment="1">
      <alignment horizontal="distributed" vertical="center"/>
    </xf>
    <xf numFmtId="0" fontId="0" fillId="0" borderId="75" xfId="0" applyFont="1" applyFill="1" applyBorder="1" applyAlignment="1">
      <alignment horizontal="center" vertical="center"/>
    </xf>
    <xf numFmtId="0" fontId="5" fillId="0" borderId="65" xfId="0" applyFont="1" applyFill="1" applyBorder="1" applyAlignment="1">
      <alignment vertical="center"/>
    </xf>
    <xf numFmtId="0" fontId="13" fillId="0" borderId="3" xfId="0" applyFont="1" applyFill="1" applyBorder="1" applyAlignment="1">
      <alignment horizontal="right"/>
    </xf>
    <xf numFmtId="0" fontId="13" fillId="0" borderId="10" xfId="0" applyFont="1" applyFill="1" applyBorder="1"/>
    <xf numFmtId="0" fontId="25" fillId="0" borderId="31" xfId="0" applyFont="1" applyFill="1" applyBorder="1" applyAlignment="1">
      <alignment horizontal="distributed" vertical="center"/>
    </xf>
    <xf numFmtId="0" fontId="25" fillId="0" borderId="32" xfId="0" applyFont="1" applyFill="1" applyBorder="1" applyAlignment="1">
      <alignment horizontal="distributed" vertical="center"/>
    </xf>
    <xf numFmtId="0" fontId="25" fillId="0" borderId="38" xfId="0" applyFont="1" applyFill="1" applyBorder="1" applyAlignment="1">
      <alignment horizontal="distributed" vertical="center"/>
    </xf>
    <xf numFmtId="176" fontId="5" fillId="0" borderId="24" xfId="0" applyNumberFormat="1" applyFont="1" applyFill="1" applyBorder="1"/>
    <xf numFmtId="0" fontId="40" fillId="0" borderId="65" xfId="0" applyFont="1" applyFill="1" applyBorder="1"/>
    <xf numFmtId="0" fontId="40" fillId="0" borderId="43" xfId="0" applyFont="1" applyFill="1" applyBorder="1" applyAlignment="1">
      <alignment horizontal="distributed" vertical="center"/>
    </xf>
    <xf numFmtId="0" fontId="40" fillId="0" borderId="40" xfId="0" applyFont="1" applyFill="1" applyBorder="1" applyAlignment="1">
      <alignment horizontal="distributed" vertical="center"/>
    </xf>
    <xf numFmtId="0" fontId="0" fillId="0" borderId="27" xfId="0" applyFont="1" applyFill="1" applyBorder="1" applyAlignment="1">
      <alignment horizontal="distributed" vertical="center"/>
    </xf>
    <xf numFmtId="176" fontId="5" fillId="0" borderId="80" xfId="0" applyNumberFormat="1" applyFont="1" applyFill="1" applyBorder="1" applyAlignment="1">
      <alignment vertical="center"/>
    </xf>
    <xf numFmtId="0" fontId="5" fillId="0" borderId="73" xfId="0" applyFont="1" applyFill="1" applyBorder="1"/>
    <xf numFmtId="0" fontId="5" fillId="0" borderId="76" xfId="0" applyFont="1" applyFill="1" applyBorder="1"/>
    <xf numFmtId="0" fontId="5" fillId="0" borderId="75" xfId="0" applyFont="1" applyFill="1" applyBorder="1"/>
    <xf numFmtId="0" fontId="13" fillId="0" borderId="4" xfId="0" applyFont="1" applyFill="1" applyBorder="1"/>
    <xf numFmtId="0" fontId="5" fillId="0" borderId="15" xfId="0" applyFont="1" applyFill="1" applyBorder="1" applyAlignment="1">
      <alignment horizontal="center"/>
    </xf>
    <xf numFmtId="0" fontId="5" fillId="0" borderId="69" xfId="0" applyFont="1" applyFill="1" applyBorder="1" applyAlignment="1">
      <alignment horizontal="center"/>
    </xf>
    <xf numFmtId="0" fontId="5" fillId="0" borderId="5" xfId="0" applyFont="1" applyFill="1" applyBorder="1" applyAlignment="1">
      <alignment horizontal="center"/>
    </xf>
    <xf numFmtId="0" fontId="5" fillId="0" borderId="4" xfId="0" applyFont="1" applyFill="1" applyBorder="1" applyAlignment="1">
      <alignment horizontal="center"/>
    </xf>
    <xf numFmtId="0" fontId="5" fillId="0" borderId="20" xfId="0" applyFont="1" applyFill="1" applyBorder="1"/>
    <xf numFmtId="0" fontId="5" fillId="0" borderId="31" xfId="0" applyFont="1" applyFill="1" applyBorder="1"/>
    <xf numFmtId="0" fontId="5" fillId="0" borderId="60" xfId="0" applyFont="1" applyFill="1" applyBorder="1"/>
    <xf numFmtId="0" fontId="5" fillId="0" borderId="71" xfId="0" applyFont="1" applyFill="1" applyBorder="1"/>
    <xf numFmtId="0" fontId="5" fillId="0" borderId="74" xfId="0" applyFont="1" applyFill="1" applyBorder="1"/>
    <xf numFmtId="0" fontId="0" fillId="0" borderId="8" xfId="0" applyFont="1" applyFill="1" applyBorder="1" applyAlignment="1">
      <alignment vertical="center" shrinkToFit="1"/>
    </xf>
    <xf numFmtId="0" fontId="5" fillId="0" borderId="40" xfId="0" applyFont="1" applyFill="1" applyBorder="1" applyAlignment="1">
      <alignment vertical="center" shrinkToFit="1"/>
    </xf>
    <xf numFmtId="176" fontId="5" fillId="0" borderId="69" xfId="0" applyNumberFormat="1" applyFont="1" applyFill="1" applyBorder="1"/>
    <xf numFmtId="176" fontId="5" fillId="0" borderId="19" xfId="0" applyNumberFormat="1" applyFont="1" applyFill="1" applyBorder="1"/>
    <xf numFmtId="176" fontId="5" fillId="0" borderId="3" xfId="0" applyNumberFormat="1" applyFont="1" applyFill="1" applyBorder="1"/>
    <xf numFmtId="176" fontId="5" fillId="0" borderId="16" xfId="0" applyNumberFormat="1" applyFont="1" applyFill="1" applyBorder="1"/>
    <xf numFmtId="176" fontId="5" fillId="0" borderId="26" xfId="0" applyNumberFormat="1" applyFont="1" applyFill="1" applyBorder="1"/>
    <xf numFmtId="176" fontId="5" fillId="0" borderId="25" xfId="0" applyNumberFormat="1" applyFont="1" applyFill="1" applyBorder="1"/>
    <xf numFmtId="176" fontId="5" fillId="0" borderId="31" xfId="0" applyNumberFormat="1" applyFont="1" applyFill="1" applyBorder="1"/>
    <xf numFmtId="176" fontId="5" fillId="0" borderId="29" xfId="0" applyNumberFormat="1" applyFont="1" applyFill="1" applyBorder="1"/>
    <xf numFmtId="176" fontId="5" fillId="0" borderId="28" xfId="0" applyNumberFormat="1" applyFont="1" applyFill="1" applyBorder="1"/>
    <xf numFmtId="0" fontId="0" fillId="0" borderId="36" xfId="0" applyFont="1" applyFill="1" applyBorder="1" applyAlignment="1">
      <alignment vertical="center" shrinkToFit="1"/>
    </xf>
    <xf numFmtId="176" fontId="5" fillId="0" borderId="74" xfId="0" applyNumberFormat="1" applyFont="1" applyFill="1" applyBorder="1"/>
    <xf numFmtId="176" fontId="5" fillId="0" borderId="77" xfId="0" applyNumberFormat="1" applyFont="1" applyFill="1" applyBorder="1"/>
    <xf numFmtId="176" fontId="5" fillId="0" borderId="76" xfId="0" applyNumberFormat="1" applyFont="1" applyFill="1" applyBorder="1"/>
    <xf numFmtId="176" fontId="5" fillId="0" borderId="71" xfId="0" applyNumberFormat="1" applyFont="1" applyFill="1" applyBorder="1"/>
    <xf numFmtId="0" fontId="0" fillId="0" borderId="0" xfId="0" applyFont="1" applyFill="1" applyAlignment="1">
      <alignment horizontal="center" vertical="center"/>
    </xf>
    <xf numFmtId="0" fontId="0" fillId="0" borderId="35" xfId="0" applyFont="1" applyFill="1" applyBorder="1" applyAlignment="1">
      <alignment horizontal="center" vertical="center"/>
    </xf>
    <xf numFmtId="0" fontId="25" fillId="0" borderId="24" xfId="0" applyFont="1" applyFill="1" applyBorder="1" applyAlignment="1">
      <alignment horizontal="distributed" vertical="center"/>
    </xf>
    <xf numFmtId="0" fontId="0" fillId="0" borderId="38" xfId="0" applyFont="1" applyFill="1" applyBorder="1" applyAlignment="1">
      <alignment horizontal="center" vertical="center"/>
    </xf>
    <xf numFmtId="0" fontId="0" fillId="0" borderId="1" xfId="0" applyFont="1" applyFill="1" applyBorder="1" applyAlignment="1">
      <alignment horizontal="center" vertical="center"/>
    </xf>
    <xf numFmtId="0" fontId="16" fillId="0" borderId="40" xfId="0" applyFont="1" applyFill="1" applyBorder="1" applyAlignment="1">
      <alignment horizontal="distributed" vertical="center"/>
    </xf>
    <xf numFmtId="0" fontId="31" fillId="0" borderId="63" xfId="0" applyFont="1" applyFill="1" applyBorder="1" applyAlignment="1">
      <alignment horizontal="right"/>
    </xf>
    <xf numFmtId="0" fontId="31" fillId="0" borderId="65" xfId="0" applyFont="1" applyFill="1" applyBorder="1"/>
    <xf numFmtId="0" fontId="13" fillId="0" borderId="43" xfId="0" applyFont="1" applyFill="1" applyBorder="1" applyAlignment="1">
      <alignment horizontal="distributed" vertical="center"/>
    </xf>
    <xf numFmtId="0" fontId="0" fillId="0" borderId="4" xfId="0" applyFont="1" applyFill="1" applyBorder="1" applyAlignment="1">
      <alignment horizontal="center" vertical="center"/>
    </xf>
    <xf numFmtId="0" fontId="0" fillId="0" borderId="0" xfId="0" applyFont="1" applyFill="1" applyAlignment="1">
      <alignment vertical="center"/>
    </xf>
    <xf numFmtId="0" fontId="5" fillId="0" borderId="41" xfId="0" applyFont="1" applyFill="1" applyBorder="1" applyAlignment="1">
      <alignment vertical="center"/>
    </xf>
    <xf numFmtId="0" fontId="13" fillId="0" borderId="1" xfId="0" applyFont="1" applyFill="1" applyBorder="1"/>
    <xf numFmtId="0" fontId="5" fillId="0" borderId="31" xfId="0" applyFont="1" applyFill="1" applyBorder="1" applyAlignment="1">
      <alignment horizontal="center" vertical="center"/>
    </xf>
    <xf numFmtId="0" fontId="5" fillId="0" borderId="70" xfId="0" applyFont="1" applyFill="1" applyBorder="1"/>
    <xf numFmtId="0" fontId="5" fillId="0" borderId="48" xfId="0" applyFont="1" applyFill="1" applyBorder="1"/>
    <xf numFmtId="0" fontId="0" fillId="0" borderId="48" xfId="0" applyFont="1" applyFill="1" applyBorder="1" applyAlignment="1">
      <alignment horizontal="center" vertical="center"/>
    </xf>
    <xf numFmtId="190" fontId="5" fillId="0" borderId="52" xfId="0" applyNumberFormat="1" applyFont="1" applyFill="1" applyBorder="1" applyAlignment="1">
      <alignment vertical="center"/>
    </xf>
    <xf numFmtId="190" fontId="5" fillId="0" borderId="41" xfId="0" applyNumberFormat="1" applyFont="1" applyFill="1" applyBorder="1" applyAlignment="1">
      <alignment vertical="center"/>
    </xf>
    <xf numFmtId="0" fontId="25" fillId="0" borderId="2" xfId="0" applyFont="1" applyFill="1" applyBorder="1"/>
    <xf numFmtId="0" fontId="13" fillId="0" borderId="3" xfId="0" applyFont="1" applyFill="1" applyBorder="1"/>
    <xf numFmtId="0" fontId="25" fillId="0" borderId="8" xfId="0" applyFont="1" applyFill="1" applyBorder="1"/>
    <xf numFmtId="0" fontId="5" fillId="0" borderId="75" xfId="0" applyFont="1" applyFill="1" applyBorder="1" applyAlignment="1">
      <alignment vertical="center"/>
    </xf>
    <xf numFmtId="0" fontId="5" fillId="0" borderId="35" xfId="0" applyFont="1" applyFill="1" applyBorder="1" applyAlignment="1">
      <alignment vertical="center"/>
    </xf>
    <xf numFmtId="0" fontId="5" fillId="0" borderId="39" xfId="0" applyFont="1" applyFill="1" applyBorder="1" applyAlignment="1">
      <alignment vertical="center"/>
    </xf>
    <xf numFmtId="0" fontId="0" fillId="0" borderId="8" xfId="0" applyFont="1" applyFill="1" applyBorder="1" applyAlignment="1">
      <alignment horizontal="center" vertical="center" wrapText="1"/>
    </xf>
    <xf numFmtId="0" fontId="5" fillId="0" borderId="40" xfId="0" applyFont="1" applyFill="1" applyBorder="1" applyAlignment="1">
      <alignment horizontal="center" vertical="center" wrapText="1"/>
    </xf>
    <xf numFmtId="0" fontId="16" fillId="0" borderId="0" xfId="0" applyFont="1" applyFill="1" applyAlignment="1">
      <alignment vertical="center"/>
    </xf>
    <xf numFmtId="0" fontId="7" fillId="0" borderId="2" xfId="0" applyFont="1" applyFill="1" applyBorder="1" applyAlignment="1">
      <alignment horizontal="right" vertical="center"/>
    </xf>
    <xf numFmtId="0" fontId="7" fillId="0" borderId="10" xfId="0" applyFont="1" applyFill="1" applyBorder="1" applyAlignment="1">
      <alignment horizontal="right" vertical="center"/>
    </xf>
    <xf numFmtId="0" fontId="7" fillId="0" borderId="10" xfId="0" applyFont="1" applyFill="1" applyBorder="1" applyAlignment="1">
      <alignment vertical="center"/>
    </xf>
    <xf numFmtId="0" fontId="7" fillId="0" borderId="21" xfId="0" applyFont="1" applyFill="1" applyBorder="1" applyAlignment="1">
      <alignment horizontal="distributed" vertical="center"/>
    </xf>
    <xf numFmtId="0" fontId="7" fillId="0" borderId="34" xfId="0" applyFont="1" applyFill="1" applyBorder="1" applyAlignment="1">
      <alignment horizontal="distributed" vertical="center"/>
    </xf>
    <xf numFmtId="0" fontId="5" fillId="0" borderId="17" xfId="0" applyFont="1" applyFill="1" applyBorder="1" applyAlignment="1">
      <alignment horizontal="distributed" vertical="center"/>
    </xf>
    <xf numFmtId="0" fontId="5" fillId="0" borderId="80" xfId="0" applyFont="1" applyFill="1" applyBorder="1" applyAlignment="1">
      <alignment horizontal="distributed" vertical="center"/>
    </xf>
    <xf numFmtId="0" fontId="0" fillId="0" borderId="4" xfId="0" applyFont="1" applyFill="1" applyBorder="1" applyAlignment="1">
      <alignment horizontal="right" vertical="center"/>
    </xf>
    <xf numFmtId="0" fontId="0" fillId="0" borderId="7" xfId="0" applyFont="1" applyFill="1" applyBorder="1" applyAlignment="1">
      <alignment horizontal="right" vertical="center"/>
    </xf>
    <xf numFmtId="192" fontId="5" fillId="0" borderId="57" xfId="0" applyNumberFormat="1" applyFont="1" applyFill="1" applyBorder="1" applyAlignment="1">
      <alignment vertical="center"/>
    </xf>
    <xf numFmtId="0" fontId="5" fillId="0" borderId="74" xfId="0" applyFont="1" applyFill="1" applyBorder="1" applyAlignment="1">
      <alignment horizontal="center" vertical="center"/>
    </xf>
    <xf numFmtId="0" fontId="5" fillId="0" borderId="72" xfId="0" applyFont="1" applyFill="1" applyBorder="1" applyAlignment="1">
      <alignment horizontal="center" vertical="center"/>
    </xf>
    <xf numFmtId="0" fontId="25" fillId="0" borderId="36" xfId="0" applyFont="1" applyFill="1" applyBorder="1" applyAlignment="1">
      <alignment vertical="center" shrinkToFit="1"/>
    </xf>
    <xf numFmtId="0" fontId="25" fillId="0" borderId="43" xfId="0" applyFont="1" applyFill="1" applyBorder="1" applyAlignment="1">
      <alignment vertical="center" shrinkToFit="1"/>
    </xf>
    <xf numFmtId="192" fontId="5" fillId="0" borderId="47" xfId="0" applyNumberFormat="1" applyFont="1" applyFill="1" applyBorder="1" applyAlignment="1">
      <alignment vertical="center"/>
    </xf>
    <xf numFmtId="192" fontId="5" fillId="0" borderId="56" xfId="0" applyNumberFormat="1" applyFont="1" applyFill="1" applyBorder="1" applyAlignment="1">
      <alignment vertical="center"/>
    </xf>
    <xf numFmtId="192" fontId="5" fillId="0" borderId="22" xfId="0" applyNumberFormat="1" applyFont="1" applyFill="1" applyBorder="1" applyAlignment="1">
      <alignment vertical="center"/>
    </xf>
    <xf numFmtId="192" fontId="5" fillId="0" borderId="20" xfId="0" applyNumberFormat="1" applyFont="1" applyFill="1" applyBorder="1" applyAlignment="1">
      <alignment vertical="center"/>
    </xf>
    <xf numFmtId="192" fontId="5" fillId="0" borderId="29" xfId="0" applyNumberFormat="1" applyFont="1" applyFill="1" applyBorder="1" applyAlignment="1">
      <alignment vertical="center"/>
    </xf>
    <xf numFmtId="192" fontId="5" fillId="0" borderId="58" xfId="1" applyNumberFormat="1" applyFont="1" applyFill="1" applyBorder="1" applyAlignment="1">
      <alignment vertical="center"/>
    </xf>
    <xf numFmtId="192" fontId="5" fillId="0" borderId="59" xfId="1" applyNumberFormat="1" applyFont="1" applyFill="1" applyBorder="1" applyAlignment="1">
      <alignment vertical="center"/>
    </xf>
    <xf numFmtId="192" fontId="5" fillId="0" borderId="18" xfId="1" applyNumberFormat="1" applyFont="1" applyFill="1" applyBorder="1" applyAlignment="1">
      <alignment vertical="center"/>
    </xf>
    <xf numFmtId="192" fontId="5" fillId="0" borderId="45" xfId="1" applyNumberFormat="1" applyFont="1" applyFill="1" applyBorder="1" applyAlignment="1">
      <alignment vertical="center"/>
    </xf>
    <xf numFmtId="192" fontId="5" fillId="0" borderId="61" xfId="1" applyNumberFormat="1" applyFont="1" applyFill="1" applyBorder="1" applyAlignment="1">
      <alignment vertical="center"/>
    </xf>
    <xf numFmtId="192" fontId="5" fillId="0" borderId="56" xfId="1" applyNumberFormat="1" applyFont="1" applyFill="1" applyBorder="1" applyAlignment="1">
      <alignment vertical="center"/>
    </xf>
    <xf numFmtId="192" fontId="5" fillId="0" borderId="24" xfId="1" applyNumberFormat="1" applyFont="1" applyFill="1" applyBorder="1" applyAlignment="1">
      <alignment vertical="center"/>
    </xf>
    <xf numFmtId="192" fontId="5" fillId="0" borderId="26" xfId="1" applyNumberFormat="1" applyFont="1" applyFill="1" applyBorder="1" applyAlignment="1">
      <alignment vertical="center"/>
    </xf>
    <xf numFmtId="192" fontId="5" fillId="0" borderId="52" xfId="1" applyNumberFormat="1" applyFont="1" applyFill="1" applyBorder="1" applyAlignment="1">
      <alignment vertical="center"/>
    </xf>
    <xf numFmtId="192" fontId="5" fillId="0" borderId="62" xfId="1" applyNumberFormat="1" applyFont="1" applyFill="1" applyBorder="1" applyAlignment="1">
      <alignment vertical="center"/>
    </xf>
    <xf numFmtId="192" fontId="5" fillId="0" borderId="40" xfId="1" applyNumberFormat="1" applyFont="1" applyFill="1" applyBorder="1" applyAlignment="1">
      <alignment vertical="center"/>
    </xf>
    <xf numFmtId="192" fontId="5" fillId="0" borderId="42" xfId="1" applyNumberFormat="1" applyFont="1" applyFill="1" applyBorder="1" applyAlignment="1">
      <alignment vertical="center"/>
    </xf>
    <xf numFmtId="192" fontId="5" fillId="0" borderId="58" xfId="0" applyNumberFormat="1" applyFont="1" applyFill="1" applyBorder="1" applyAlignment="1">
      <alignment vertical="center"/>
    </xf>
    <xf numFmtId="192" fontId="5" fillId="0" borderId="45" xfId="0" applyNumberFormat="1" applyFont="1" applyFill="1" applyBorder="1" applyAlignment="1">
      <alignment vertical="center"/>
    </xf>
    <xf numFmtId="192" fontId="5" fillId="0" borderId="61" xfId="0" applyNumberFormat="1" applyFont="1" applyFill="1" applyBorder="1" applyAlignment="1">
      <alignment vertical="center"/>
    </xf>
    <xf numFmtId="192" fontId="5" fillId="0" borderId="26" xfId="0" applyNumberFormat="1" applyFont="1" applyFill="1" applyBorder="1" applyAlignment="1">
      <alignment vertical="center"/>
    </xf>
    <xf numFmtId="192" fontId="5" fillId="0" borderId="52" xfId="0" applyNumberFormat="1" applyFont="1" applyFill="1" applyBorder="1" applyAlignment="1">
      <alignment vertical="center"/>
    </xf>
    <xf numFmtId="192" fontId="5" fillId="0" borderId="42" xfId="0" applyNumberFormat="1" applyFont="1" applyFill="1" applyBorder="1" applyAlignment="1">
      <alignment vertical="center"/>
    </xf>
    <xf numFmtId="192" fontId="5" fillId="0" borderId="37" xfId="1" applyNumberFormat="1" applyFont="1" applyFill="1" applyBorder="1" applyAlignment="1">
      <alignment vertical="center"/>
    </xf>
    <xf numFmtId="192" fontId="5" fillId="0" borderId="1" xfId="1" applyNumberFormat="1" applyFont="1" applyFill="1" applyBorder="1" applyAlignment="1">
      <alignment vertical="center"/>
    </xf>
    <xf numFmtId="192" fontId="5" fillId="0" borderId="36" xfId="1" applyNumberFormat="1" applyFont="1" applyFill="1" applyBorder="1" applyAlignment="1">
      <alignment vertical="center"/>
    </xf>
    <xf numFmtId="192" fontId="5" fillId="0" borderId="9" xfId="1" applyNumberFormat="1" applyFont="1" applyFill="1" applyBorder="1" applyAlignment="1">
      <alignment vertical="center"/>
    </xf>
    <xf numFmtId="192" fontId="5" fillId="0" borderId="78" xfId="1" applyNumberFormat="1" applyFont="1" applyFill="1" applyBorder="1" applyAlignment="1">
      <alignment vertical="center"/>
    </xf>
    <xf numFmtId="192" fontId="5" fillId="0" borderId="77" xfId="1" applyNumberFormat="1" applyFont="1" applyFill="1" applyBorder="1" applyAlignment="1">
      <alignment vertical="center"/>
    </xf>
    <xf numFmtId="192" fontId="5" fillId="0" borderId="75" xfId="1" applyNumberFormat="1" applyFont="1" applyFill="1" applyBorder="1" applyAlignment="1">
      <alignment vertical="center"/>
    </xf>
    <xf numFmtId="192" fontId="5" fillId="0" borderId="5" xfId="1" applyNumberFormat="1" applyFont="1" applyFill="1" applyBorder="1" applyAlignment="1">
      <alignment vertical="center"/>
    </xf>
    <xf numFmtId="192" fontId="5" fillId="0" borderId="54" xfId="0" applyNumberFormat="1" applyFont="1" applyFill="1" applyBorder="1" applyAlignment="1">
      <alignment vertical="center"/>
    </xf>
    <xf numFmtId="192" fontId="5" fillId="0" borderId="60" xfId="1" applyNumberFormat="1" applyFont="1" applyFill="1" applyBorder="1" applyAlignment="1">
      <alignment vertical="center"/>
    </xf>
    <xf numFmtId="0" fontId="5" fillId="0" borderId="0" xfId="0" applyFont="1" applyFill="1" applyAlignment="1">
      <alignment horizontal="left" vertical="top" wrapText="1"/>
    </xf>
    <xf numFmtId="0" fontId="46" fillId="0" borderId="0" xfId="0" applyFont="1" applyFill="1" applyAlignment="1">
      <alignment vertical="center"/>
    </xf>
    <xf numFmtId="0" fontId="9" fillId="0" borderId="0" xfId="0" applyFont="1" applyFill="1" applyAlignment="1">
      <alignment horizontal="left" vertical="center"/>
    </xf>
    <xf numFmtId="0" fontId="5" fillId="0" borderId="40" xfId="0" applyFont="1" applyFill="1" applyBorder="1" applyAlignment="1">
      <alignment horizontal="center" vertical="center" shrinkToFit="1"/>
    </xf>
    <xf numFmtId="0" fontId="5" fillId="0" borderId="0" xfId="0" applyFont="1" applyFill="1" applyAlignment="1">
      <alignment horizontal="center" vertical="center"/>
    </xf>
    <xf numFmtId="0" fontId="0" fillId="0" borderId="0" xfId="0" applyFont="1" applyFill="1" applyAlignment="1">
      <alignment horizontal="center"/>
    </xf>
    <xf numFmtId="0" fontId="5" fillId="0" borderId="22" xfId="0" applyFont="1" applyFill="1" applyBorder="1" applyAlignment="1">
      <alignment horizontal="center"/>
    </xf>
    <xf numFmtId="176" fontId="5" fillId="0" borderId="61" xfId="0" applyNumberFormat="1" applyFont="1" applyFill="1" applyBorder="1"/>
    <xf numFmtId="176" fontId="5" fillId="0" borderId="49" xfId="0" applyNumberFormat="1" applyFont="1" applyFill="1" applyBorder="1" applyAlignment="1">
      <alignment horizontal="center"/>
    </xf>
    <xf numFmtId="0" fontId="5" fillId="0" borderId="23" xfId="0" applyFont="1" applyFill="1" applyBorder="1" applyAlignment="1">
      <alignment horizontal="center"/>
    </xf>
    <xf numFmtId="176" fontId="5" fillId="0" borderId="54" xfId="0" applyNumberFormat="1" applyFont="1" applyFill="1" applyBorder="1"/>
    <xf numFmtId="176" fontId="5" fillId="0" borderId="30" xfId="0" applyNumberFormat="1" applyFont="1" applyFill="1" applyBorder="1"/>
    <xf numFmtId="176" fontId="5" fillId="0" borderId="21" xfId="0" applyNumberFormat="1" applyFont="1" applyFill="1" applyBorder="1"/>
    <xf numFmtId="176" fontId="5" fillId="0" borderId="34" xfId="0" applyNumberFormat="1" applyFont="1" applyFill="1" applyBorder="1"/>
    <xf numFmtId="0" fontId="5" fillId="0" borderId="21" xfId="0" applyFont="1" applyFill="1" applyBorder="1" applyAlignment="1">
      <alignment horizontal="center"/>
    </xf>
    <xf numFmtId="0" fontId="5" fillId="0" borderId="0" xfId="0" applyFont="1" applyFill="1" applyAlignment="1">
      <alignment horizontal="left" vertical="top"/>
    </xf>
    <xf numFmtId="0" fontId="0" fillId="0" borderId="0" xfId="0" applyFont="1" applyFill="1" applyAlignment="1">
      <alignment horizontal="left"/>
    </xf>
    <xf numFmtId="184" fontId="5" fillId="0" borderId="73" xfId="1" applyNumberFormat="1" applyFont="1" applyFill="1" applyBorder="1"/>
    <xf numFmtId="184" fontId="5" fillId="0" borderId="74" xfId="1" applyNumberFormat="1" applyFont="1" applyFill="1" applyBorder="1"/>
    <xf numFmtId="184" fontId="5" fillId="0" borderId="76" xfId="1" applyNumberFormat="1" applyFont="1" applyFill="1" applyBorder="1"/>
    <xf numFmtId="184" fontId="5" fillId="0" borderId="72" xfId="1" applyNumberFormat="1" applyFont="1" applyFill="1" applyBorder="1"/>
    <xf numFmtId="0" fontId="5" fillId="0" borderId="3" xfId="0" applyFont="1" applyFill="1" applyBorder="1" applyAlignment="1">
      <alignment horizontal="right" vertical="top"/>
    </xf>
    <xf numFmtId="0" fontId="25" fillId="0" borderId="4" xfId="0" applyFont="1" applyFill="1" applyBorder="1" applyAlignment="1">
      <alignment horizontal="center" vertical="center"/>
    </xf>
    <xf numFmtId="0" fontId="5" fillId="0" borderId="9" xfId="0" applyFont="1" applyFill="1" applyBorder="1" applyAlignment="1">
      <alignment horizontal="right" vertical="top"/>
    </xf>
    <xf numFmtId="0" fontId="16" fillId="0" borderId="40" xfId="0" applyFont="1" applyFill="1" applyBorder="1" applyAlignment="1">
      <alignment horizontal="center" vertical="center"/>
    </xf>
    <xf numFmtId="0" fontId="5" fillId="0" borderId="8" xfId="0" applyFont="1" applyFill="1" applyBorder="1" applyAlignment="1">
      <alignment horizontal="center" vertical="center"/>
    </xf>
    <xf numFmtId="0" fontId="0" fillId="0" borderId="65" xfId="0" applyFont="1" applyFill="1" applyBorder="1"/>
    <xf numFmtId="0" fontId="23" fillId="0" borderId="2" xfId="0" applyFont="1" applyFill="1" applyBorder="1" applyAlignment="1">
      <alignment horizontal="right" vertical="center"/>
    </xf>
    <xf numFmtId="0" fontId="16" fillId="0" borderId="20" xfId="0" applyFont="1" applyFill="1" applyBorder="1" applyAlignment="1">
      <alignment vertical="center"/>
    </xf>
    <xf numFmtId="192" fontId="5" fillId="0" borderId="12" xfId="0" applyNumberFormat="1" applyFont="1" applyFill="1" applyBorder="1" applyAlignment="1">
      <alignment vertical="center"/>
    </xf>
    <xf numFmtId="0" fontId="13" fillId="0" borderId="8" xfId="0" applyFont="1" applyFill="1" applyBorder="1" applyAlignment="1">
      <alignment vertical="center"/>
    </xf>
    <xf numFmtId="0" fontId="5" fillId="0" borderId="77" xfId="0" applyFont="1" applyFill="1" applyBorder="1" applyAlignment="1">
      <alignment horizontal="center" vertical="center"/>
    </xf>
    <xf numFmtId="0" fontId="5" fillId="0" borderId="75" xfId="0" applyFont="1" applyFill="1" applyBorder="1" applyAlignment="1">
      <alignment horizontal="center" vertical="center"/>
    </xf>
    <xf numFmtId="0" fontId="25" fillId="0" borderId="36" xfId="0" applyFont="1" applyFill="1" applyBorder="1" applyAlignment="1">
      <alignment horizontal="center" vertical="center"/>
    </xf>
    <xf numFmtId="0" fontId="16" fillId="0" borderId="43" xfId="0" applyFont="1" applyFill="1" applyBorder="1" applyAlignment="1">
      <alignment horizontal="center" vertical="center" shrinkToFit="1"/>
    </xf>
    <xf numFmtId="192" fontId="5" fillId="0" borderId="30" xfId="1" applyNumberFormat="1" applyFont="1" applyFill="1" applyBorder="1" applyAlignment="1">
      <alignment vertical="center"/>
    </xf>
    <xf numFmtId="0" fontId="5" fillId="0" borderId="22" xfId="0" applyFont="1" applyFill="1" applyBorder="1" applyAlignment="1">
      <alignment vertical="center" shrinkToFit="1"/>
    </xf>
    <xf numFmtId="0" fontId="5" fillId="0" borderId="25" xfId="0" applyFont="1" applyFill="1" applyBorder="1" applyAlignment="1">
      <alignment vertical="center" shrinkToFit="1"/>
    </xf>
    <xf numFmtId="0" fontId="5" fillId="0" borderId="2" xfId="0" applyFont="1" applyFill="1" applyBorder="1" applyAlignment="1">
      <alignment vertical="center" wrapText="1"/>
    </xf>
    <xf numFmtId="0" fontId="0" fillId="0" borderId="7" xfId="0" applyFont="1" applyFill="1" applyBorder="1" applyAlignment="1">
      <alignment horizontal="center" vertical="center" shrinkToFit="1"/>
    </xf>
    <xf numFmtId="0" fontId="5" fillId="0" borderId="10" xfId="0" applyFont="1" applyFill="1" applyBorder="1" applyAlignment="1">
      <alignment vertical="center" wrapText="1"/>
    </xf>
    <xf numFmtId="192" fontId="5" fillId="0" borderId="61" xfId="0" applyNumberFormat="1" applyFont="1" applyFill="1" applyBorder="1" applyAlignment="1">
      <alignment vertical="center" shrinkToFit="1"/>
    </xf>
    <xf numFmtId="192" fontId="5" fillId="0" borderId="56" xfId="0" applyNumberFormat="1" applyFont="1" applyFill="1" applyBorder="1" applyAlignment="1">
      <alignment vertical="center" shrinkToFit="1"/>
    </xf>
    <xf numFmtId="192" fontId="5" fillId="0" borderId="22" xfId="0" applyNumberFormat="1" applyFont="1" applyFill="1" applyBorder="1" applyAlignment="1">
      <alignment vertical="center" shrinkToFit="1"/>
    </xf>
    <xf numFmtId="0" fontId="13" fillId="0" borderId="10" xfId="0" applyFont="1" applyFill="1" applyBorder="1" applyAlignment="1">
      <alignment vertical="center"/>
    </xf>
    <xf numFmtId="192" fontId="5" fillId="0" borderId="26" xfId="0" applyNumberFormat="1" applyFont="1" applyFill="1" applyBorder="1" applyAlignment="1">
      <alignment vertical="center" shrinkToFit="1"/>
    </xf>
    <xf numFmtId="192" fontId="5" fillId="0" borderId="74" xfId="1" applyNumberFormat="1" applyFont="1" applyFill="1" applyBorder="1" applyAlignment="1">
      <alignment vertical="center"/>
    </xf>
    <xf numFmtId="192" fontId="5" fillId="0" borderId="71" xfId="1" applyNumberFormat="1" applyFont="1" applyFill="1" applyBorder="1" applyAlignment="1">
      <alignment vertical="center"/>
    </xf>
    <xf numFmtId="192" fontId="5" fillId="0" borderId="72" xfId="1" applyNumberFormat="1" applyFont="1" applyFill="1" applyBorder="1" applyAlignment="1">
      <alignment vertical="center"/>
    </xf>
    <xf numFmtId="176" fontId="16" fillId="0" borderId="46" xfId="0" applyNumberFormat="1" applyFont="1" applyFill="1" applyBorder="1" applyAlignment="1">
      <alignment vertical="center"/>
    </xf>
    <xf numFmtId="176" fontId="16" fillId="0" borderId="32" xfId="0" applyNumberFormat="1" applyFont="1" applyFill="1" applyBorder="1" applyAlignment="1">
      <alignment vertical="center"/>
    </xf>
    <xf numFmtId="176" fontId="16" fillId="0" borderId="22" xfId="0" applyNumberFormat="1" applyFont="1" applyFill="1" applyBorder="1" applyAlignment="1">
      <alignment vertical="center"/>
    </xf>
    <xf numFmtId="176" fontId="16" fillId="0" borderId="56" xfId="0" applyNumberFormat="1" applyFont="1" applyFill="1" applyBorder="1" applyAlignment="1">
      <alignment vertical="center"/>
    </xf>
    <xf numFmtId="188" fontId="5" fillId="0" borderId="52" xfId="0" applyNumberFormat="1" applyFont="1" applyFill="1" applyBorder="1" applyAlignment="1">
      <alignment vertical="center" shrinkToFit="1"/>
    </xf>
    <xf numFmtId="188" fontId="5" fillId="0" borderId="62" xfId="0" applyNumberFormat="1" applyFont="1" applyFill="1" applyBorder="1" applyAlignment="1">
      <alignment vertical="center" shrinkToFit="1"/>
    </xf>
    <xf numFmtId="188" fontId="5" fillId="0" borderId="53" xfId="0" applyNumberFormat="1" applyFont="1" applyFill="1" applyBorder="1" applyAlignment="1">
      <alignment vertical="center" shrinkToFit="1"/>
    </xf>
    <xf numFmtId="189" fontId="5" fillId="0" borderId="53" xfId="0" applyNumberFormat="1" applyFont="1" applyFill="1" applyBorder="1" applyAlignment="1">
      <alignment vertical="center"/>
    </xf>
    <xf numFmtId="189" fontId="5" fillId="0" borderId="62" xfId="0" applyNumberFormat="1" applyFont="1" applyFill="1" applyBorder="1" applyAlignment="1">
      <alignment vertical="center"/>
    </xf>
    <xf numFmtId="0" fontId="0" fillId="0" borderId="36" xfId="0" applyFont="1" applyFill="1" applyBorder="1" applyAlignment="1">
      <alignment horizontal="center" vertical="center" shrinkToFit="1"/>
    </xf>
    <xf numFmtId="192" fontId="5" fillId="0" borderId="56" xfId="1" applyNumberFormat="1" applyFont="1" applyFill="1" applyBorder="1" applyAlignment="1">
      <alignment vertical="center" shrinkToFit="1"/>
    </xf>
    <xf numFmtId="192" fontId="5" fillId="0" borderId="69" xfId="1" applyNumberFormat="1" applyFont="1" applyFill="1" applyBorder="1" applyAlignment="1">
      <alignment vertical="center"/>
    </xf>
    <xf numFmtId="192" fontId="5" fillId="0" borderId="59" xfId="0" applyNumberFormat="1" applyFont="1" applyFill="1" applyBorder="1"/>
    <xf numFmtId="192" fontId="5" fillId="0" borderId="6" xfId="0" applyNumberFormat="1" applyFont="1" applyFill="1" applyBorder="1"/>
    <xf numFmtId="192" fontId="5" fillId="0" borderId="44" xfId="0" applyNumberFormat="1" applyFont="1" applyFill="1" applyBorder="1"/>
    <xf numFmtId="192" fontId="5" fillId="0" borderId="56" xfId="0" applyNumberFormat="1" applyFont="1" applyFill="1" applyBorder="1"/>
    <xf numFmtId="192" fontId="5" fillId="0" borderId="25" xfId="0" applyNumberFormat="1" applyFont="1" applyFill="1" applyBorder="1"/>
    <xf numFmtId="192" fontId="5" fillId="0" borderId="22" xfId="0" applyNumberFormat="1" applyFont="1" applyFill="1" applyBorder="1"/>
    <xf numFmtId="192" fontId="5" fillId="0" borderId="56" xfId="0" applyNumberFormat="1" applyFont="1" applyFill="1" applyBorder="1" applyAlignment="1">
      <alignment shrinkToFit="1"/>
    </xf>
    <xf numFmtId="192" fontId="5" fillId="0" borderId="25" xfId="0" applyNumberFormat="1" applyFont="1" applyFill="1" applyBorder="1" applyAlignment="1">
      <alignment shrinkToFit="1"/>
    </xf>
    <xf numFmtId="192" fontId="5" fillId="0" borderId="22" xfId="0" applyNumberFormat="1" applyFont="1" applyFill="1" applyBorder="1" applyAlignment="1">
      <alignment shrinkToFit="1"/>
    </xf>
    <xf numFmtId="192" fontId="5" fillId="0" borderId="56" xfId="1" applyNumberFormat="1" applyFont="1" applyFill="1" applyBorder="1" applyAlignment="1">
      <alignment horizontal="center" vertical="center" shrinkToFit="1"/>
    </xf>
    <xf numFmtId="38" fontId="5" fillId="0" borderId="0" xfId="1" applyFont="1" applyFill="1"/>
    <xf numFmtId="180" fontId="5" fillId="0" borderId="42" xfId="1" applyNumberFormat="1" applyFont="1" applyFill="1" applyBorder="1" applyAlignment="1">
      <alignment vertical="center" shrinkToFit="1"/>
    </xf>
    <xf numFmtId="180" fontId="5" fillId="0" borderId="0" xfId="1" applyNumberFormat="1" applyFont="1" applyFill="1" applyBorder="1" applyAlignment="1">
      <alignment vertical="center"/>
    </xf>
    <xf numFmtId="180" fontId="5" fillId="0" borderId="26" xfId="1" applyNumberFormat="1" applyFont="1" applyFill="1" applyBorder="1" applyAlignment="1">
      <alignment vertical="center"/>
    </xf>
    <xf numFmtId="38" fontId="5" fillId="0" borderId="0" xfId="1" applyFont="1" applyFill="1" applyAlignment="1">
      <alignment shrinkToFit="1"/>
    </xf>
    <xf numFmtId="180" fontId="5" fillId="0" borderId="26" xfId="1" applyNumberFormat="1" applyFont="1" applyFill="1" applyBorder="1" applyAlignment="1">
      <alignment vertical="center" shrinkToFit="1"/>
    </xf>
    <xf numFmtId="180" fontId="5" fillId="0" borderId="35" xfId="1" applyNumberFormat="1" applyFont="1" applyFill="1" applyBorder="1" applyAlignment="1">
      <alignment vertical="center"/>
    </xf>
    <xf numFmtId="180" fontId="5" fillId="0" borderId="12" xfId="1" applyNumberFormat="1" applyFont="1" applyFill="1" applyBorder="1" applyAlignment="1">
      <alignment vertical="center"/>
    </xf>
    <xf numFmtId="0" fontId="0" fillId="0" borderId="9" xfId="0" applyFont="1" applyFill="1" applyBorder="1"/>
    <xf numFmtId="0" fontId="5" fillId="0" borderId="78" xfId="0" applyFont="1" applyFill="1" applyBorder="1" applyAlignment="1">
      <alignment horizontal="center" vertical="center"/>
    </xf>
    <xf numFmtId="0" fontId="47" fillId="0" borderId="10" xfId="0" applyFont="1" applyFill="1" applyBorder="1" applyAlignment="1">
      <alignment vertical="top"/>
    </xf>
    <xf numFmtId="176" fontId="5" fillId="0" borderId="3" xfId="0" applyNumberFormat="1" applyFont="1" applyFill="1" applyBorder="1" applyAlignment="1">
      <alignment vertical="center"/>
    </xf>
    <xf numFmtId="0" fontId="5" fillId="0" borderId="0" xfId="0" applyFont="1" applyFill="1" applyBorder="1" applyAlignment="1">
      <alignment horizontal="center" vertical="center"/>
    </xf>
    <xf numFmtId="190" fontId="5" fillId="0" borderId="0" xfId="1" applyNumberFormat="1" applyFont="1" applyFill="1" applyBorder="1" applyAlignment="1">
      <alignment horizontal="right" vertical="center"/>
    </xf>
    <xf numFmtId="192" fontId="5" fillId="0" borderId="0" xfId="0" applyNumberFormat="1" applyFont="1" applyFill="1" applyBorder="1"/>
    <xf numFmtId="192" fontId="5" fillId="0" borderId="0" xfId="1" applyNumberFormat="1" applyFont="1" applyFill="1" applyBorder="1"/>
    <xf numFmtId="190" fontId="5" fillId="0" borderId="0" xfId="0" applyNumberFormat="1" applyFont="1" applyFill="1" applyBorder="1" applyAlignment="1">
      <alignment horizontal="right" vertical="center"/>
    </xf>
    <xf numFmtId="0" fontId="5" fillId="0" borderId="55" xfId="0" applyFont="1" applyFill="1" applyBorder="1" applyAlignment="1">
      <alignment horizontal="center" vertical="center" shrinkToFit="1"/>
    </xf>
    <xf numFmtId="192" fontId="5" fillId="0" borderId="69" xfId="0" applyNumberFormat="1" applyFont="1" applyFill="1" applyBorder="1"/>
    <xf numFmtId="192" fontId="5" fillId="0" borderId="31" xfId="0" applyNumberFormat="1" applyFont="1" applyFill="1" applyBorder="1"/>
    <xf numFmtId="192" fontId="5" fillId="0" borderId="62" xfId="1" applyNumberFormat="1" applyFont="1" applyFill="1" applyBorder="1"/>
    <xf numFmtId="192" fontId="5" fillId="0" borderId="74" xfId="0" applyNumberFormat="1" applyFont="1" applyFill="1" applyBorder="1"/>
    <xf numFmtId="189" fontId="5" fillId="0" borderId="62" xfId="0" applyNumberFormat="1" applyFont="1" applyFill="1" applyBorder="1"/>
    <xf numFmtId="0" fontId="0" fillId="0" borderId="2" xfId="0" applyFont="1" applyFill="1" applyBorder="1" applyAlignment="1">
      <alignment vertical="center"/>
    </xf>
    <xf numFmtId="0" fontId="0" fillId="0" borderId="2" xfId="0" applyFont="1" applyBorder="1" applyAlignment="1">
      <alignment vertical="center"/>
    </xf>
    <xf numFmtId="0" fontId="5" fillId="0" borderId="63" xfId="0" applyFont="1" applyFill="1" applyBorder="1" applyAlignment="1">
      <alignment horizontal="distributed" vertical="center"/>
    </xf>
    <xf numFmtId="0" fontId="5" fillId="0" borderId="64" xfId="0" applyFont="1" applyFill="1" applyBorder="1" applyAlignment="1">
      <alignment horizontal="distributed" vertical="center"/>
    </xf>
    <xf numFmtId="0" fontId="5" fillId="0" borderId="65" xfId="0" applyFont="1" applyFill="1" applyBorder="1" applyAlignment="1">
      <alignment horizontal="distributed" vertical="center"/>
    </xf>
    <xf numFmtId="0" fontId="5" fillId="0" borderId="2" xfId="0" applyFont="1" applyFill="1" applyBorder="1" applyAlignment="1">
      <alignment horizontal="center"/>
    </xf>
    <xf numFmtId="0" fontId="5" fillId="0" borderId="14" xfId="0" applyFont="1" applyFill="1" applyBorder="1" applyAlignment="1">
      <alignment vertical="center" wrapText="1" shrinkToFit="1"/>
    </xf>
    <xf numFmtId="0" fontId="0" fillId="0" borderId="65" xfId="0" applyFont="1" applyFill="1" applyBorder="1" applyAlignment="1">
      <alignment horizontal="distributed" vertical="center"/>
    </xf>
    <xf numFmtId="192" fontId="16" fillId="0" borderId="23" xfId="1" applyNumberFormat="1" applyFont="1" applyFill="1" applyBorder="1" applyAlignment="1">
      <alignment vertical="center"/>
    </xf>
    <xf numFmtId="192" fontId="16" fillId="0" borderId="56" xfId="1" applyNumberFormat="1" applyFont="1" applyFill="1" applyBorder="1" applyAlignment="1">
      <alignment vertical="center"/>
    </xf>
    <xf numFmtId="192" fontId="16" fillId="0" borderId="26" xfId="1" applyNumberFormat="1" applyFont="1" applyFill="1" applyBorder="1" applyAlignment="1">
      <alignment vertical="center"/>
    </xf>
    <xf numFmtId="192" fontId="16" fillId="0" borderId="61" xfId="1" applyNumberFormat="1" applyFont="1" applyFill="1" applyBorder="1" applyAlignment="1">
      <alignment vertical="center"/>
    </xf>
    <xf numFmtId="192" fontId="16" fillId="0" borderId="22" xfId="1" applyNumberFormat="1" applyFont="1" applyFill="1" applyBorder="1" applyAlignment="1">
      <alignment vertical="center"/>
    </xf>
    <xf numFmtId="192" fontId="16" fillId="0" borderId="20" xfId="1" applyNumberFormat="1" applyFont="1" applyFill="1" applyBorder="1" applyAlignment="1">
      <alignment vertical="center"/>
    </xf>
    <xf numFmtId="192" fontId="16" fillId="0" borderId="31" xfId="1" applyNumberFormat="1" applyFont="1" applyFill="1" applyBorder="1" applyAlignment="1">
      <alignment vertical="center"/>
    </xf>
    <xf numFmtId="192" fontId="16" fillId="0" borderId="28" xfId="1" applyNumberFormat="1" applyFont="1" applyFill="1" applyBorder="1" applyAlignment="1">
      <alignment vertical="center"/>
    </xf>
    <xf numFmtId="192" fontId="16" fillId="0" borderId="52" xfId="1" applyNumberFormat="1" applyFont="1" applyFill="1" applyBorder="1" applyAlignment="1">
      <alignment vertical="center"/>
    </xf>
    <xf numFmtId="192" fontId="16" fillId="0" borderId="62" xfId="1" applyNumberFormat="1" applyFont="1" applyFill="1" applyBorder="1" applyAlignment="1">
      <alignment vertical="center"/>
    </xf>
    <xf numFmtId="192" fontId="16" fillId="0" borderId="53" xfId="1" applyNumberFormat="1" applyFont="1" applyFill="1" applyBorder="1" applyAlignment="1">
      <alignment vertical="center"/>
    </xf>
    <xf numFmtId="38" fontId="16" fillId="0" borderId="58" xfId="1" applyNumberFormat="1" applyFont="1" applyFill="1" applyBorder="1" applyAlignment="1">
      <alignment vertical="center"/>
    </xf>
    <xf numFmtId="38" fontId="16" fillId="0" borderId="45" xfId="1" applyNumberFormat="1" applyFont="1" applyFill="1" applyBorder="1" applyAlignment="1">
      <alignment vertical="center"/>
    </xf>
    <xf numFmtId="38" fontId="16" fillId="0" borderId="7" xfId="1" applyNumberFormat="1" applyFont="1" applyFill="1" applyBorder="1" applyAlignment="1">
      <alignment vertical="center"/>
    </xf>
    <xf numFmtId="38" fontId="16" fillId="0" borderId="61" xfId="1" applyNumberFormat="1" applyFont="1" applyFill="1" applyBorder="1" applyAlignment="1">
      <alignment vertical="center"/>
    </xf>
    <xf numFmtId="38" fontId="16" fillId="0" borderId="26" xfId="1" applyNumberFormat="1" applyFont="1" applyFill="1" applyBorder="1" applyAlignment="1">
      <alignment vertical="center"/>
    </xf>
    <xf numFmtId="38" fontId="16" fillId="0" borderId="27" xfId="1" applyNumberFormat="1" applyFont="1" applyFill="1" applyBorder="1" applyAlignment="1">
      <alignment vertical="center"/>
    </xf>
    <xf numFmtId="38" fontId="16" fillId="0" borderId="57" xfId="1" applyNumberFormat="1" applyFont="1" applyFill="1" applyBorder="1" applyAlignment="1">
      <alignment vertical="center"/>
    </xf>
    <xf numFmtId="38" fontId="16" fillId="0" borderId="47" xfId="1" applyNumberFormat="1" applyFont="1" applyFill="1" applyBorder="1" applyAlignment="1">
      <alignment vertical="center"/>
    </xf>
    <xf numFmtId="38" fontId="16" fillId="0" borderId="50" xfId="1" applyNumberFormat="1" applyFont="1" applyFill="1" applyBorder="1" applyAlignment="1">
      <alignment vertical="center"/>
    </xf>
    <xf numFmtId="38" fontId="16" fillId="0" borderId="52" xfId="1" applyNumberFormat="1" applyFont="1" applyFill="1" applyBorder="1" applyAlignment="1">
      <alignment vertical="center"/>
    </xf>
    <xf numFmtId="38" fontId="16" fillId="0" borderId="42" xfId="1" applyNumberFormat="1" applyFont="1" applyFill="1" applyBorder="1" applyAlignment="1">
      <alignment vertical="center"/>
    </xf>
    <xf numFmtId="38" fontId="16" fillId="0" borderId="43" xfId="1" applyNumberFormat="1" applyFont="1" applyFill="1" applyBorder="1" applyAlignment="1">
      <alignment vertical="center"/>
    </xf>
    <xf numFmtId="38" fontId="16" fillId="0" borderId="32" xfId="1" applyNumberFormat="1" applyFont="1" applyFill="1" applyBorder="1" applyAlignment="1">
      <alignment vertical="center"/>
    </xf>
    <xf numFmtId="38" fontId="16" fillId="0" borderId="46" xfId="1" applyNumberFormat="1" applyFont="1" applyFill="1" applyBorder="1" applyAlignment="1">
      <alignment vertical="center"/>
    </xf>
    <xf numFmtId="38" fontId="16" fillId="0" borderId="56" xfId="1" applyNumberFormat="1" applyFont="1" applyFill="1" applyBorder="1" applyAlignment="1">
      <alignment vertical="center"/>
    </xf>
    <xf numFmtId="38" fontId="16" fillId="0" borderId="22" xfId="1" applyNumberFormat="1" applyFont="1" applyFill="1" applyBorder="1" applyAlignment="1">
      <alignment vertical="center"/>
    </xf>
    <xf numFmtId="38" fontId="16" fillId="0" borderId="54" xfId="1" applyNumberFormat="1" applyFont="1" applyFill="1" applyBorder="1" applyAlignment="1">
      <alignment vertical="center"/>
    </xf>
    <xf numFmtId="38" fontId="16" fillId="0" borderId="30" xfId="1" applyNumberFormat="1" applyFont="1" applyFill="1" applyBorder="1" applyAlignment="1">
      <alignment vertical="center"/>
    </xf>
    <xf numFmtId="38" fontId="16" fillId="0" borderId="21" xfId="1" applyNumberFormat="1" applyFont="1" applyFill="1" applyBorder="1" applyAlignment="1">
      <alignment vertical="center"/>
    </xf>
    <xf numFmtId="38" fontId="16" fillId="0" borderId="20" xfId="1" applyNumberFormat="1" applyFont="1" applyFill="1" applyBorder="1" applyAlignment="1">
      <alignment vertical="center"/>
    </xf>
    <xf numFmtId="38" fontId="16" fillId="0" borderId="31" xfId="1" applyNumberFormat="1" applyFont="1" applyFill="1" applyBorder="1" applyAlignment="1">
      <alignment vertical="center"/>
    </xf>
    <xf numFmtId="38" fontId="16" fillId="0" borderId="28" xfId="1" applyNumberFormat="1" applyFont="1" applyFill="1" applyBorder="1" applyAlignment="1">
      <alignment vertical="center"/>
    </xf>
    <xf numFmtId="38" fontId="16" fillId="0" borderId="62" xfId="1" applyNumberFormat="1" applyFont="1" applyFill="1" applyBorder="1" applyAlignment="1">
      <alignment vertical="center"/>
    </xf>
    <xf numFmtId="38" fontId="16" fillId="0" borderId="53" xfId="1" applyNumberFormat="1" applyFont="1" applyFill="1" applyBorder="1" applyAlignment="1">
      <alignment vertical="center"/>
    </xf>
    <xf numFmtId="183" fontId="16" fillId="0" borderId="57" xfId="0" applyNumberFormat="1" applyFont="1" applyFill="1" applyBorder="1" applyAlignment="1">
      <alignment horizontal="right" vertical="center"/>
    </xf>
    <xf numFmtId="183" fontId="16" fillId="0" borderId="32" xfId="0" applyNumberFormat="1" applyFont="1" applyFill="1" applyBorder="1" applyAlignment="1">
      <alignment horizontal="right" vertical="center"/>
    </xf>
    <xf numFmtId="183" fontId="16" fillId="0" borderId="49" xfId="0" applyNumberFormat="1" applyFont="1" applyFill="1" applyBorder="1" applyAlignment="1">
      <alignment horizontal="right" vertical="center"/>
    </xf>
    <xf numFmtId="183" fontId="16" fillId="0" borderId="61" xfId="0" applyNumberFormat="1" applyFont="1" applyFill="1" applyBorder="1" applyAlignment="1">
      <alignment horizontal="right" vertical="center"/>
    </xf>
    <xf numFmtId="183" fontId="16" fillId="0" borderId="56" xfId="0" applyNumberFormat="1" applyFont="1" applyFill="1" applyBorder="1" applyAlignment="1">
      <alignment horizontal="right" vertical="center"/>
    </xf>
    <xf numFmtId="183" fontId="16" fillId="0" borderId="24" xfId="0" applyNumberFormat="1" applyFont="1" applyFill="1" applyBorder="1" applyAlignment="1">
      <alignment horizontal="right" vertical="center"/>
    </xf>
    <xf numFmtId="183" fontId="16" fillId="0" borderId="54" xfId="1" applyNumberFormat="1" applyFont="1" applyFill="1" applyBorder="1" applyAlignment="1">
      <alignment horizontal="right" vertical="center"/>
    </xf>
    <xf numFmtId="183" fontId="16" fillId="0" borderId="30" xfId="0" applyNumberFormat="1" applyFont="1" applyFill="1" applyBorder="1" applyAlignment="1">
      <alignment horizontal="right" vertical="center"/>
    </xf>
    <xf numFmtId="183" fontId="16" fillId="0" borderId="34" xfId="0" applyNumberFormat="1" applyFont="1" applyFill="1" applyBorder="1" applyAlignment="1">
      <alignment horizontal="right" vertical="center"/>
    </xf>
    <xf numFmtId="183" fontId="16" fillId="0" borderId="39" xfId="1" applyNumberFormat="1" applyFont="1" applyFill="1" applyBorder="1" applyAlignment="1">
      <alignment horizontal="right" vertical="center"/>
    </xf>
    <xf numFmtId="183" fontId="16" fillId="0" borderId="40" xfId="0" applyNumberFormat="1" applyFont="1" applyFill="1" applyBorder="1" applyAlignment="1">
      <alignment horizontal="right" vertical="center"/>
    </xf>
    <xf numFmtId="183" fontId="7" fillId="0" borderId="8" xfId="1" applyNumberFormat="1" applyFont="1" applyFill="1" applyBorder="1" applyAlignment="1">
      <alignment horizontal="right" vertical="center"/>
    </xf>
    <xf numFmtId="183" fontId="7" fillId="0" borderId="71" xfId="1" applyNumberFormat="1" applyFont="1" applyFill="1" applyBorder="1" applyAlignment="1">
      <alignment horizontal="right" vertical="center"/>
    </xf>
    <xf numFmtId="183" fontId="7" fillId="0" borderId="72" xfId="1" applyNumberFormat="1" applyFont="1" applyFill="1" applyBorder="1" applyAlignment="1">
      <alignment horizontal="right" vertical="center"/>
    </xf>
    <xf numFmtId="176" fontId="5" fillId="0" borderId="56" xfId="0" applyNumberFormat="1" applyFont="1" applyFill="1" applyBorder="1" applyAlignment="1">
      <alignment horizontal="center" vertical="center"/>
    </xf>
    <xf numFmtId="183" fontId="16" fillId="0" borderId="54" xfId="0" applyNumberFormat="1" applyFont="1" applyFill="1" applyBorder="1" applyAlignment="1">
      <alignment horizontal="right" vertical="center"/>
    </xf>
    <xf numFmtId="183" fontId="16" fillId="0" borderId="39" xfId="0" applyNumberFormat="1" applyFont="1" applyFill="1" applyBorder="1" applyAlignment="1">
      <alignment horizontal="right" vertical="center"/>
    </xf>
    <xf numFmtId="183" fontId="16" fillId="0" borderId="62" xfId="0" applyNumberFormat="1" applyFont="1" applyFill="1" applyBorder="1" applyAlignment="1">
      <alignment horizontal="right" vertical="center"/>
    </xf>
    <xf numFmtId="183" fontId="7" fillId="0" borderId="73" xfId="1" applyNumberFormat="1" applyFont="1" applyFill="1" applyBorder="1" applyAlignment="1">
      <alignment horizontal="right" vertical="center"/>
    </xf>
    <xf numFmtId="183" fontId="7" fillId="0" borderId="74" xfId="1" applyNumberFormat="1" applyFont="1" applyFill="1" applyBorder="1" applyAlignment="1">
      <alignment horizontal="right" vertical="center"/>
    </xf>
    <xf numFmtId="0" fontId="5" fillId="0" borderId="56" xfId="0" applyFont="1" applyFill="1" applyBorder="1" applyAlignment="1">
      <alignment vertical="center"/>
    </xf>
    <xf numFmtId="183" fontId="5" fillId="0" borderId="2" xfId="1" applyNumberFormat="1" applyFont="1" applyFill="1" applyBorder="1"/>
    <xf numFmtId="183" fontId="5" fillId="0" borderId="3" xfId="0" applyNumberFormat="1" applyFont="1" applyFill="1" applyBorder="1"/>
    <xf numFmtId="183" fontId="5" fillId="0" borderId="23" xfId="1" applyNumberFormat="1" applyFont="1" applyFill="1" applyBorder="1"/>
    <xf numFmtId="183" fontId="5" fillId="0" borderId="25" xfId="0" applyNumberFormat="1" applyFont="1" applyFill="1" applyBorder="1"/>
    <xf numFmtId="183" fontId="5" fillId="0" borderId="10" xfId="1" applyNumberFormat="1" applyFont="1" applyFill="1" applyBorder="1"/>
    <xf numFmtId="183" fontId="5" fillId="0" borderId="39" xfId="1" applyNumberFormat="1" applyFont="1" applyFill="1" applyBorder="1"/>
    <xf numFmtId="183" fontId="5" fillId="0" borderId="41" xfId="0" applyNumberFormat="1" applyFont="1" applyFill="1" applyBorder="1"/>
    <xf numFmtId="176" fontId="30" fillId="0" borderId="0" xfId="0" applyNumberFormat="1" applyFont="1" applyFill="1" applyAlignment="1">
      <alignment vertical="center"/>
    </xf>
    <xf numFmtId="176" fontId="5" fillId="0" borderId="22" xfId="0" applyNumberFormat="1" applyFont="1" applyFill="1" applyBorder="1" applyAlignment="1">
      <alignment vertical="center"/>
    </xf>
    <xf numFmtId="176" fontId="5" fillId="0" borderId="30" xfId="0" applyNumberFormat="1" applyFont="1" applyFill="1" applyBorder="1" applyAlignment="1">
      <alignment vertical="center"/>
    </xf>
    <xf numFmtId="176" fontId="5" fillId="0" borderId="21" xfId="0" applyNumberFormat="1" applyFont="1" applyFill="1" applyBorder="1" applyAlignment="1">
      <alignment vertical="center"/>
    </xf>
    <xf numFmtId="176" fontId="5" fillId="0" borderId="62" xfId="0" applyNumberFormat="1" applyFont="1" applyFill="1" applyBorder="1" applyAlignment="1">
      <alignment vertical="center"/>
    </xf>
    <xf numFmtId="176" fontId="5" fillId="0" borderId="53" xfId="0" applyNumberFormat="1" applyFont="1" applyFill="1" applyBorder="1" applyAlignment="1">
      <alignment vertical="center"/>
    </xf>
    <xf numFmtId="187" fontId="35" fillId="0" borderId="0" xfId="0" applyNumberFormat="1" applyFont="1"/>
    <xf numFmtId="187" fontId="49" fillId="0" borderId="0" xfId="0" applyNumberFormat="1" applyFont="1"/>
    <xf numFmtId="0" fontId="5" fillId="0" borderId="58" xfId="1" applyNumberFormat="1" applyFont="1" applyFill="1" applyBorder="1" applyAlignment="1">
      <alignment vertical="center"/>
    </xf>
    <xf numFmtId="0" fontId="5" fillId="0" borderId="59" xfId="1" applyNumberFormat="1" applyFont="1" applyFill="1" applyBorder="1" applyAlignment="1">
      <alignment vertical="center"/>
    </xf>
    <xf numFmtId="184" fontId="5" fillId="0" borderId="58" xfId="1" applyNumberFormat="1" applyFont="1" applyFill="1" applyBorder="1" applyAlignment="1">
      <alignment vertical="center"/>
    </xf>
    <xf numFmtId="184" fontId="5" fillId="0" borderId="59" xfId="1" applyNumberFormat="1" applyFont="1" applyFill="1" applyBorder="1" applyAlignment="1">
      <alignment vertical="center"/>
    </xf>
    <xf numFmtId="0" fontId="5" fillId="0" borderId="61" xfId="1" applyNumberFormat="1" applyFont="1" applyFill="1" applyBorder="1" applyAlignment="1">
      <alignment vertical="center"/>
    </xf>
    <xf numFmtId="0" fontId="5" fillId="0" borderId="56" xfId="1" applyNumberFormat="1" applyFont="1" applyFill="1" applyBorder="1" applyAlignment="1">
      <alignment vertical="center"/>
    </xf>
    <xf numFmtId="184" fontId="5" fillId="0" borderId="61" xfId="1" applyNumberFormat="1" applyFont="1" applyFill="1" applyBorder="1" applyAlignment="1">
      <alignment vertical="center"/>
    </xf>
    <xf numFmtId="184" fontId="5" fillId="0" borderId="56" xfId="1" applyNumberFormat="1" applyFont="1" applyFill="1" applyBorder="1" applyAlignment="1">
      <alignment vertical="center"/>
    </xf>
    <xf numFmtId="0" fontId="5" fillId="0" borderId="52" xfId="1" applyNumberFormat="1" applyFont="1" applyFill="1" applyBorder="1" applyAlignment="1">
      <alignment vertical="center"/>
    </xf>
    <xf numFmtId="0" fontId="5" fillId="0" borderId="62" xfId="1" applyNumberFormat="1" applyFont="1" applyFill="1" applyBorder="1" applyAlignment="1">
      <alignment vertical="center"/>
    </xf>
    <xf numFmtId="184" fontId="5" fillId="0" borderId="52" xfId="1" applyNumberFormat="1" applyFont="1" applyFill="1" applyBorder="1" applyAlignment="1">
      <alignment vertical="center"/>
    </xf>
    <xf numFmtId="184" fontId="5" fillId="0" borderId="62" xfId="1" applyNumberFormat="1" applyFont="1" applyFill="1" applyBorder="1" applyAlignment="1">
      <alignment vertical="center"/>
    </xf>
    <xf numFmtId="183" fontId="5" fillId="0" borderId="18" xfId="1" applyNumberFormat="1" applyFont="1" applyFill="1" applyBorder="1" applyAlignment="1">
      <alignment horizontal="right" vertical="center"/>
    </xf>
    <xf numFmtId="183" fontId="5" fillId="0" borderId="24" xfId="1" applyNumberFormat="1" applyFont="1" applyFill="1" applyBorder="1" applyAlignment="1">
      <alignment horizontal="right" vertical="center"/>
    </xf>
    <xf numFmtId="188" fontId="5" fillId="0" borderId="40" xfId="0" applyNumberFormat="1" applyFont="1" applyFill="1" applyBorder="1" applyAlignment="1">
      <alignment horizontal="right" vertical="center"/>
    </xf>
    <xf numFmtId="188" fontId="5" fillId="0" borderId="11" xfId="0" applyNumberFormat="1" applyFont="1" applyFill="1" applyBorder="1" applyAlignment="1">
      <alignment horizontal="right" vertical="center"/>
    </xf>
    <xf numFmtId="0" fontId="21" fillId="0" borderId="18" xfId="0" applyFont="1" applyFill="1" applyBorder="1" applyAlignment="1">
      <alignment horizontal="center" vertical="center"/>
    </xf>
    <xf numFmtId="183" fontId="7" fillId="0" borderId="58" xfId="0" applyNumberFormat="1" applyFont="1" applyFill="1" applyBorder="1" applyAlignment="1">
      <alignment vertical="center"/>
    </xf>
    <xf numFmtId="183" fontId="7" fillId="0" borderId="59" xfId="0" applyNumberFormat="1" applyFont="1" applyFill="1" applyBorder="1" applyAlignment="1">
      <alignment vertical="center"/>
    </xf>
    <xf numFmtId="0" fontId="5" fillId="0" borderId="18" xfId="0" applyFont="1" applyFill="1" applyBorder="1" applyAlignment="1">
      <alignment horizontal="center" vertical="center"/>
    </xf>
    <xf numFmtId="178" fontId="5" fillId="0" borderId="58" xfId="0" applyNumberFormat="1" applyFont="1" applyFill="1" applyBorder="1" applyAlignment="1">
      <alignment vertical="center"/>
    </xf>
    <xf numFmtId="178" fontId="5" fillId="0" borderId="59" xfId="0" applyNumberFormat="1" applyFont="1" applyFill="1" applyBorder="1" applyAlignment="1">
      <alignment vertical="center"/>
    </xf>
    <xf numFmtId="178" fontId="5" fillId="0" borderId="18" xfId="0" applyNumberFormat="1" applyFont="1" applyFill="1" applyBorder="1" applyAlignment="1">
      <alignment vertical="center"/>
    </xf>
    <xf numFmtId="183" fontId="5" fillId="0" borderId="48" xfId="1" applyNumberFormat="1" applyFont="1" applyFill="1" applyBorder="1" applyAlignment="1">
      <alignment horizontal="right" vertical="center"/>
    </xf>
    <xf numFmtId="183" fontId="5" fillId="0" borderId="32" xfId="1" applyNumberFormat="1" applyFont="1" applyFill="1" applyBorder="1" applyAlignment="1">
      <alignment horizontal="right" vertical="center"/>
    </xf>
    <xf numFmtId="183" fontId="5" fillId="0" borderId="46" xfId="1" applyNumberFormat="1" applyFont="1" applyFill="1" applyBorder="1" applyAlignment="1">
      <alignment horizontal="right" vertical="center"/>
    </xf>
    <xf numFmtId="183" fontId="5" fillId="0" borderId="49" xfId="1" applyNumberFormat="1" applyFont="1" applyFill="1" applyBorder="1" applyAlignment="1">
      <alignment horizontal="right" vertical="center"/>
    </xf>
    <xf numFmtId="183" fontId="5" fillId="0" borderId="23" xfId="1" applyNumberFormat="1" applyFont="1" applyFill="1" applyBorder="1" applyAlignment="1">
      <alignment horizontal="right" vertical="center"/>
    </xf>
    <xf numFmtId="183" fontId="5" fillId="0" borderId="33" xfId="1" applyNumberFormat="1" applyFont="1" applyFill="1" applyBorder="1" applyAlignment="1">
      <alignment horizontal="right" vertical="center"/>
    </xf>
    <xf numFmtId="183" fontId="5" fillId="0" borderId="30" xfId="1" applyNumberFormat="1" applyFont="1" applyFill="1" applyBorder="1" applyAlignment="1">
      <alignment horizontal="right" vertical="center"/>
    </xf>
    <xf numFmtId="183" fontId="5" fillId="0" borderId="21" xfId="1" applyNumberFormat="1" applyFont="1" applyFill="1" applyBorder="1" applyAlignment="1">
      <alignment horizontal="right" vertical="center"/>
    </xf>
    <xf numFmtId="183" fontId="5" fillId="0" borderId="34" xfId="1" applyNumberFormat="1" applyFont="1" applyFill="1" applyBorder="1" applyAlignment="1">
      <alignment horizontal="right" vertical="center"/>
    </xf>
    <xf numFmtId="183" fontId="5" fillId="0" borderId="17" xfId="1" applyNumberFormat="1" applyFont="1" applyFill="1" applyBorder="1" applyAlignment="1">
      <alignment horizontal="right" vertical="center"/>
    </xf>
    <xf numFmtId="183" fontId="5" fillId="0" borderId="39" xfId="1" applyNumberFormat="1" applyFont="1" applyFill="1" applyBorder="1" applyAlignment="1">
      <alignment horizontal="right" vertical="center"/>
    </xf>
    <xf numFmtId="183" fontId="5" fillId="0" borderId="62" xfId="1" applyNumberFormat="1" applyFont="1" applyFill="1" applyBorder="1" applyAlignment="1">
      <alignment horizontal="right" vertical="center"/>
    </xf>
    <xf numFmtId="183" fontId="5" fillId="0" borderId="53" xfId="1" applyNumberFormat="1" applyFont="1" applyFill="1" applyBorder="1" applyAlignment="1">
      <alignment horizontal="right" vertical="center"/>
    </xf>
    <xf numFmtId="183" fontId="5" fillId="0" borderId="40" xfId="1" applyNumberFormat="1" applyFont="1" applyFill="1" applyBorder="1" applyAlignment="1">
      <alignment horizontal="right" vertical="center"/>
    </xf>
    <xf numFmtId="183" fontId="5" fillId="0" borderId="73" xfId="1" applyNumberFormat="1" applyFont="1" applyFill="1" applyBorder="1" applyAlignment="1">
      <alignment horizontal="right" vertical="center"/>
    </xf>
    <xf numFmtId="183" fontId="5" fillId="0" borderId="38" xfId="1" applyNumberFormat="1" applyFont="1" applyFill="1" applyBorder="1" applyAlignment="1">
      <alignment vertical="center"/>
    </xf>
    <xf numFmtId="183" fontId="5" fillId="0" borderId="11" xfId="1" applyNumberFormat="1" applyFont="1" applyFill="1" applyBorder="1" applyAlignment="1">
      <alignment vertical="center"/>
    </xf>
    <xf numFmtId="183" fontId="5" fillId="0" borderId="79" xfId="1" applyNumberFormat="1" applyFont="1" applyFill="1" applyBorder="1" applyAlignment="1">
      <alignment vertical="center"/>
    </xf>
    <xf numFmtId="183" fontId="5" fillId="0" borderId="12" xfId="1" applyNumberFormat="1" applyFont="1" applyFill="1" applyBorder="1" applyAlignment="1">
      <alignment vertical="center"/>
    </xf>
    <xf numFmtId="0" fontId="9" fillId="0" borderId="0" xfId="0" applyFont="1" applyFill="1" applyAlignment="1">
      <alignment horizontal="left"/>
    </xf>
    <xf numFmtId="0" fontId="45" fillId="0" borderId="0" xfId="0" applyFont="1" applyFill="1"/>
    <xf numFmtId="183" fontId="5" fillId="0" borderId="15" xfId="0" applyNumberFormat="1" applyFont="1" applyFill="1" applyBorder="1" applyAlignment="1">
      <alignment vertical="center"/>
    </xf>
    <xf numFmtId="0" fontId="5" fillId="0" borderId="61" xfId="0" applyFont="1" applyFill="1" applyBorder="1"/>
    <xf numFmtId="183" fontId="5" fillId="0" borderId="54" xfId="0" applyNumberFormat="1" applyFont="1" applyFill="1" applyBorder="1" applyAlignment="1">
      <alignment horizontal="center" vertical="center"/>
    </xf>
    <xf numFmtId="189" fontId="5" fillId="0" borderId="52" xfId="0" applyNumberFormat="1" applyFont="1" applyFill="1" applyBorder="1" applyAlignment="1">
      <alignment vertical="center"/>
    </xf>
    <xf numFmtId="189" fontId="5" fillId="0" borderId="41" xfId="0" applyNumberFormat="1" applyFont="1" applyFill="1" applyBorder="1" applyAlignment="1">
      <alignment vertical="center"/>
    </xf>
    <xf numFmtId="0" fontId="43" fillId="0" borderId="78" xfId="0" applyFont="1" applyFill="1" applyBorder="1"/>
    <xf numFmtId="0" fontId="30" fillId="0" borderId="72" xfId="0" applyFont="1" applyFill="1" applyBorder="1"/>
    <xf numFmtId="0" fontId="5" fillId="0" borderId="78" xfId="0" applyFont="1" applyFill="1" applyBorder="1"/>
    <xf numFmtId="0" fontId="5" fillId="0" borderId="80" xfId="0" applyFont="1" applyFill="1" applyBorder="1"/>
    <xf numFmtId="0" fontId="43" fillId="0" borderId="72" xfId="0" applyFont="1" applyFill="1" applyBorder="1"/>
    <xf numFmtId="176" fontId="5" fillId="0" borderId="79" xfId="0" applyNumberFormat="1" applyFont="1" applyFill="1" applyBorder="1" applyAlignment="1">
      <alignment vertical="center"/>
    </xf>
    <xf numFmtId="0" fontId="5" fillId="0" borderId="10" xfId="0" applyFont="1" applyFill="1" applyBorder="1" applyAlignment="1">
      <alignment horizontal="center"/>
    </xf>
    <xf numFmtId="176" fontId="5" fillId="0" borderId="66" xfId="0" applyNumberFormat="1" applyFont="1" applyFill="1" applyBorder="1" applyAlignment="1">
      <alignment vertical="center"/>
    </xf>
    <xf numFmtId="0" fontId="5" fillId="0" borderId="20" xfId="0" applyFont="1" applyFill="1" applyBorder="1" applyAlignment="1">
      <alignment horizontal="center"/>
    </xf>
    <xf numFmtId="176" fontId="5" fillId="0" borderId="68" xfId="0" applyNumberFormat="1" applyFont="1" applyFill="1" applyBorder="1" applyAlignment="1">
      <alignment vertical="center"/>
    </xf>
    <xf numFmtId="176" fontId="5" fillId="0" borderId="67" xfId="0" applyNumberFormat="1" applyFont="1" applyFill="1" applyBorder="1" applyAlignment="1">
      <alignment vertical="center"/>
    </xf>
    <xf numFmtId="192" fontId="5" fillId="0" borderId="5" xfId="0" applyNumberFormat="1" applyFont="1" applyFill="1" applyBorder="1"/>
    <xf numFmtId="192" fontId="5" fillId="0" borderId="24" xfId="0" applyNumberFormat="1" applyFont="1" applyFill="1" applyBorder="1"/>
    <xf numFmtId="192" fontId="5" fillId="0" borderId="60" xfId="0" applyNumberFormat="1" applyFont="1" applyFill="1" applyBorder="1"/>
    <xf numFmtId="192" fontId="5" fillId="0" borderId="40" xfId="1" applyNumberFormat="1" applyFont="1" applyFill="1" applyBorder="1"/>
    <xf numFmtId="192" fontId="5" fillId="0" borderId="72" xfId="0" applyNumberFormat="1" applyFont="1" applyFill="1" applyBorder="1"/>
    <xf numFmtId="183" fontId="16" fillId="0" borderId="21" xfId="1" applyNumberFormat="1" applyFont="1" applyFill="1" applyBorder="1" applyAlignment="1">
      <alignment horizontal="right" vertical="center"/>
    </xf>
    <xf numFmtId="192" fontId="5" fillId="0" borderId="59" xfId="0" applyNumberFormat="1" applyFont="1" applyFill="1" applyBorder="1" applyAlignment="1">
      <alignment vertical="center"/>
    </xf>
    <xf numFmtId="192" fontId="5" fillId="0" borderId="30" xfId="0" applyNumberFormat="1" applyFont="1" applyFill="1" applyBorder="1" applyAlignment="1">
      <alignment vertical="center"/>
    </xf>
    <xf numFmtId="192" fontId="5" fillId="0" borderId="62" xfId="0" applyNumberFormat="1" applyFont="1" applyFill="1" applyBorder="1" applyAlignment="1">
      <alignment vertical="center"/>
    </xf>
    <xf numFmtId="192" fontId="5" fillId="0" borderId="44" xfId="0" applyNumberFormat="1" applyFont="1" applyFill="1" applyBorder="1" applyAlignment="1">
      <alignment vertical="center"/>
    </xf>
    <xf numFmtId="192" fontId="5" fillId="0" borderId="18" xfId="0" applyNumberFormat="1" applyFont="1" applyFill="1" applyBorder="1" applyAlignment="1">
      <alignment vertical="center"/>
    </xf>
    <xf numFmtId="192" fontId="5" fillId="0" borderId="24" xfId="0" applyNumberFormat="1" applyFont="1" applyFill="1" applyBorder="1" applyAlignment="1">
      <alignment vertical="center"/>
    </xf>
    <xf numFmtId="192" fontId="5" fillId="0" borderId="53" xfId="0" applyNumberFormat="1" applyFont="1" applyFill="1" applyBorder="1" applyAlignment="1">
      <alignment vertical="center"/>
    </xf>
    <xf numFmtId="192" fontId="5" fillId="0" borderId="40" xfId="0" applyNumberFormat="1" applyFont="1" applyFill="1" applyBorder="1" applyAlignment="1">
      <alignment vertical="center"/>
    </xf>
    <xf numFmtId="192" fontId="5" fillId="0" borderId="32" xfId="0" applyNumberFormat="1" applyFont="1" applyFill="1" applyBorder="1" applyAlignment="1">
      <alignment vertical="center"/>
    </xf>
    <xf numFmtId="192" fontId="5" fillId="0" borderId="46" xfId="0" applyNumberFormat="1" applyFont="1" applyFill="1" applyBorder="1" applyAlignment="1">
      <alignment vertical="center"/>
    </xf>
    <xf numFmtId="192" fontId="5" fillId="0" borderId="49" xfId="0" applyNumberFormat="1" applyFont="1" applyFill="1" applyBorder="1" applyAlignment="1">
      <alignment vertical="center"/>
    </xf>
    <xf numFmtId="192" fontId="5" fillId="0" borderId="21" xfId="0" applyNumberFormat="1" applyFont="1" applyFill="1" applyBorder="1" applyAlignment="1">
      <alignment vertical="center"/>
    </xf>
    <xf numFmtId="192" fontId="5" fillId="0" borderId="34" xfId="0" applyNumberFormat="1" applyFont="1" applyFill="1" applyBorder="1" applyAlignment="1">
      <alignment vertical="center"/>
    </xf>
    <xf numFmtId="176" fontId="5" fillId="0" borderId="52" xfId="0" applyNumberFormat="1" applyFont="1" applyFill="1" applyBorder="1"/>
    <xf numFmtId="176" fontId="5" fillId="0" borderId="62" xfId="0" applyNumberFormat="1" applyFont="1" applyFill="1" applyBorder="1"/>
    <xf numFmtId="176" fontId="5" fillId="0" borderId="53" xfId="0" applyNumberFormat="1" applyFont="1" applyFill="1" applyBorder="1"/>
    <xf numFmtId="176" fontId="5" fillId="0" borderId="40" xfId="0" applyNumberFormat="1" applyFont="1" applyFill="1" applyBorder="1"/>
    <xf numFmtId="184" fontId="5" fillId="0" borderId="58" xfId="1" applyNumberFormat="1" applyFont="1" applyFill="1" applyBorder="1"/>
    <xf numFmtId="184" fontId="5" fillId="0" borderId="59" xfId="1" applyNumberFormat="1" applyFont="1" applyFill="1" applyBorder="1"/>
    <xf numFmtId="184" fontId="5" fillId="0" borderId="44" xfId="1" applyNumberFormat="1" applyFont="1" applyFill="1" applyBorder="1"/>
    <xf numFmtId="184" fontId="5" fillId="0" borderId="18" xfId="1" applyNumberFormat="1" applyFont="1" applyFill="1" applyBorder="1"/>
    <xf numFmtId="184" fontId="5" fillId="0" borderId="61" xfId="1" applyNumberFormat="1" applyFont="1" applyFill="1" applyBorder="1"/>
    <xf numFmtId="184" fontId="5" fillId="0" borderId="56" xfId="1" applyNumberFormat="1" applyFont="1" applyFill="1" applyBorder="1"/>
    <xf numFmtId="184" fontId="5" fillId="0" borderId="22" xfId="1" applyNumberFormat="1" applyFont="1" applyFill="1" applyBorder="1"/>
    <xf numFmtId="184" fontId="5" fillId="0" borderId="24" xfId="1" applyNumberFormat="1" applyFont="1" applyFill="1" applyBorder="1"/>
    <xf numFmtId="184" fontId="5" fillId="0" borderId="54" xfId="1" applyNumberFormat="1" applyFont="1" applyFill="1" applyBorder="1"/>
    <xf numFmtId="184" fontId="5" fillId="0" borderId="30" xfId="1" applyNumberFormat="1" applyFont="1" applyFill="1" applyBorder="1"/>
    <xf numFmtId="184" fontId="5" fillId="0" borderId="21" xfId="1" applyNumberFormat="1" applyFont="1" applyFill="1" applyBorder="1"/>
    <xf numFmtId="184" fontId="5" fillId="0" borderId="34" xfId="1" applyNumberFormat="1" applyFont="1" applyFill="1" applyBorder="1"/>
    <xf numFmtId="184" fontId="5" fillId="0" borderId="52" xfId="1" applyNumberFormat="1" applyFont="1" applyFill="1" applyBorder="1"/>
    <xf numFmtId="184" fontId="5" fillId="0" borderId="62" xfId="1" applyNumberFormat="1" applyFont="1" applyFill="1" applyBorder="1"/>
    <xf numFmtId="184" fontId="5" fillId="0" borderId="53" xfId="1" applyNumberFormat="1" applyFont="1" applyFill="1" applyBorder="1"/>
    <xf numFmtId="184" fontId="5" fillId="0" borderId="40" xfId="1" applyNumberFormat="1" applyFont="1" applyFill="1" applyBorder="1"/>
    <xf numFmtId="184" fontId="5" fillId="0" borderId="20" xfId="1" applyNumberFormat="1" applyFont="1" applyFill="1" applyBorder="1"/>
    <xf numFmtId="184" fontId="5" fillId="0" borderId="31" xfId="1" applyNumberFormat="1" applyFont="1" applyFill="1" applyBorder="1"/>
    <xf numFmtId="184" fontId="5" fillId="0" borderId="28" xfId="1" applyNumberFormat="1" applyFont="1" applyFill="1" applyBorder="1"/>
    <xf numFmtId="184" fontId="5" fillId="0" borderId="60" xfId="1" applyNumberFormat="1" applyFont="1" applyFill="1" applyBorder="1"/>
    <xf numFmtId="184" fontId="5" fillId="0" borderId="78" xfId="1" applyNumberFormat="1" applyFont="1" applyFill="1" applyBorder="1"/>
    <xf numFmtId="184" fontId="5" fillId="0" borderId="71" xfId="1" applyNumberFormat="1" applyFont="1" applyFill="1" applyBorder="1"/>
    <xf numFmtId="192" fontId="5" fillId="0" borderId="12" xfId="1" applyNumberFormat="1" applyFont="1" applyFill="1" applyBorder="1" applyAlignment="1">
      <alignment vertical="center"/>
    </xf>
    <xf numFmtId="192" fontId="5" fillId="0" borderId="24" xfId="0" applyNumberFormat="1" applyFont="1" applyFill="1" applyBorder="1" applyAlignment="1">
      <alignment vertical="center" shrinkToFit="1"/>
    </xf>
    <xf numFmtId="192" fontId="5" fillId="0" borderId="23" xfId="0" applyNumberFormat="1" applyFont="1" applyFill="1" applyBorder="1" applyAlignment="1">
      <alignment vertical="center" shrinkToFit="1"/>
    </xf>
    <xf numFmtId="192" fontId="5" fillId="0" borderId="23" xfId="0" applyNumberFormat="1" applyFont="1" applyFill="1" applyBorder="1" applyAlignment="1">
      <alignment vertical="center"/>
    </xf>
    <xf numFmtId="192" fontId="5" fillId="0" borderId="22" xfId="1" applyNumberFormat="1" applyFont="1" applyFill="1" applyBorder="1" applyAlignment="1">
      <alignment vertical="center"/>
    </xf>
    <xf numFmtId="192" fontId="5" fillId="0" borderId="53" xfId="1" applyNumberFormat="1" applyFont="1" applyFill="1" applyBorder="1" applyAlignment="1">
      <alignment vertical="center"/>
    </xf>
    <xf numFmtId="192" fontId="5" fillId="0" borderId="31" xfId="0" applyNumberFormat="1" applyFont="1" applyFill="1" applyBorder="1" applyAlignment="1">
      <alignment vertical="center"/>
    </xf>
    <xf numFmtId="192" fontId="5" fillId="0" borderId="28" xfId="0" applyNumberFormat="1" applyFont="1" applyFill="1" applyBorder="1" applyAlignment="1">
      <alignment vertical="center"/>
    </xf>
    <xf numFmtId="192" fontId="5" fillId="0" borderId="60" xfId="0" applyNumberFormat="1" applyFont="1" applyFill="1" applyBorder="1" applyAlignment="1">
      <alignment vertical="center"/>
    </xf>
    <xf numFmtId="192" fontId="5" fillId="0" borderId="78" xfId="0" applyNumberFormat="1" applyFont="1" applyFill="1" applyBorder="1" applyAlignment="1">
      <alignment vertical="center"/>
    </xf>
    <xf numFmtId="192" fontId="5" fillId="0" borderId="74" xfId="0" applyNumberFormat="1" applyFont="1" applyFill="1" applyBorder="1" applyAlignment="1">
      <alignment vertical="center"/>
    </xf>
    <xf numFmtId="192" fontId="5" fillId="0" borderId="71" xfId="0" applyNumberFormat="1" applyFont="1" applyFill="1" applyBorder="1" applyAlignment="1">
      <alignment vertical="center"/>
    </xf>
    <xf numFmtId="192" fontId="5" fillId="0" borderId="72" xfId="0" applyNumberFormat="1" applyFont="1" applyFill="1" applyBorder="1" applyAlignment="1">
      <alignment vertical="center"/>
    </xf>
    <xf numFmtId="176" fontId="16" fillId="0" borderId="49" xfId="0" applyNumberFormat="1" applyFont="1" applyFill="1" applyBorder="1" applyAlignment="1">
      <alignment vertical="center"/>
    </xf>
    <xf numFmtId="176" fontId="16" fillId="0" borderId="24" xfId="0" applyNumberFormat="1" applyFont="1" applyFill="1" applyBorder="1" applyAlignment="1">
      <alignment vertical="center"/>
    </xf>
    <xf numFmtId="184" fontId="5" fillId="0" borderId="54" xfId="1" applyNumberFormat="1" applyFont="1" applyFill="1" applyBorder="1" applyAlignment="1">
      <alignment vertical="center"/>
    </xf>
    <xf numFmtId="184" fontId="5" fillId="0" borderId="30" xfId="1" applyNumberFormat="1" applyFont="1" applyFill="1" applyBorder="1" applyAlignment="1">
      <alignment vertical="center"/>
    </xf>
    <xf numFmtId="183" fontId="5" fillId="0" borderId="22" xfId="1" applyNumberFormat="1" applyFont="1" applyFill="1" applyBorder="1" applyAlignment="1">
      <alignment vertical="center" shrinkToFit="1"/>
    </xf>
    <xf numFmtId="183" fontId="5" fillId="0" borderId="24" xfId="1" applyNumberFormat="1" applyFont="1" applyFill="1" applyBorder="1" applyAlignment="1">
      <alignment vertical="center" shrinkToFit="1"/>
    </xf>
    <xf numFmtId="183" fontId="5" fillId="0" borderId="24" xfId="0" applyNumberFormat="1" applyFont="1" applyFill="1" applyBorder="1" applyAlignment="1">
      <alignment vertical="center" shrinkToFit="1"/>
    </xf>
    <xf numFmtId="183" fontId="5" fillId="0" borderId="32" xfId="0" applyNumberFormat="1" applyFont="1" applyFill="1" applyBorder="1" applyAlignment="1">
      <alignment vertical="center" shrinkToFit="1"/>
    </xf>
    <xf numFmtId="192" fontId="5" fillId="0" borderId="18" xfId="0" applyNumberFormat="1" applyFont="1" applyFill="1" applyBorder="1"/>
    <xf numFmtId="0" fontId="15" fillId="0" borderId="64" xfId="0" applyFont="1" applyFill="1" applyBorder="1" applyAlignment="1">
      <alignment horizontal="center" vertical="center"/>
    </xf>
    <xf numFmtId="0" fontId="5" fillId="0" borderId="30" xfId="0" applyFont="1" applyFill="1" applyBorder="1" applyAlignment="1">
      <alignment horizontal="center" vertical="center"/>
    </xf>
    <xf numFmtId="0" fontId="24" fillId="0" borderId="60" xfId="0" applyFont="1" applyFill="1" applyBorder="1" applyAlignment="1">
      <alignment horizontal="center" vertical="center"/>
    </xf>
    <xf numFmtId="0" fontId="5" fillId="0" borderId="20" xfId="0" applyFont="1" applyFill="1" applyBorder="1" applyAlignment="1">
      <alignment vertical="center" wrapText="1" shrinkToFit="1"/>
    </xf>
    <xf numFmtId="178" fontId="5" fillId="0" borderId="67" xfId="0" applyNumberFormat="1" applyFont="1" applyFill="1" applyBorder="1" applyAlignment="1">
      <alignment vertical="center" shrinkToFit="1"/>
    </xf>
    <xf numFmtId="178" fontId="5" fillId="0" borderId="13" xfId="0" applyNumberFormat="1" applyFont="1" applyFill="1" applyBorder="1" applyAlignment="1">
      <alignment vertical="center" shrinkToFit="1"/>
    </xf>
    <xf numFmtId="180" fontId="5" fillId="0" borderId="12" xfId="1" applyNumberFormat="1" applyFont="1" applyFill="1" applyBorder="1" applyAlignment="1">
      <alignment vertical="center" shrinkToFit="1"/>
    </xf>
    <xf numFmtId="178" fontId="5" fillId="0" borderId="70" xfId="0" applyNumberFormat="1" applyFont="1" applyFill="1" applyBorder="1" applyAlignment="1">
      <alignment vertical="center" shrinkToFit="1"/>
    </xf>
    <xf numFmtId="178" fontId="5" fillId="0" borderId="35" xfId="0" applyNumberFormat="1" applyFont="1" applyFill="1" applyBorder="1" applyAlignment="1">
      <alignment vertical="center" shrinkToFit="1"/>
    </xf>
    <xf numFmtId="180" fontId="5" fillId="0" borderId="47" xfId="1" applyNumberFormat="1" applyFont="1" applyFill="1" applyBorder="1" applyAlignment="1">
      <alignment vertical="center" shrinkToFit="1"/>
    </xf>
    <xf numFmtId="180" fontId="5" fillId="0" borderId="47" xfId="1" applyNumberFormat="1" applyFont="1" applyFill="1" applyBorder="1" applyAlignment="1">
      <alignment vertical="center"/>
    </xf>
    <xf numFmtId="180" fontId="5" fillId="0" borderId="29" xfId="1" applyNumberFormat="1" applyFont="1" applyFill="1" applyBorder="1" applyAlignment="1">
      <alignment vertical="center"/>
    </xf>
    <xf numFmtId="178" fontId="5" fillId="0" borderId="3" xfId="0" applyNumberFormat="1" applyFont="1" applyFill="1" applyBorder="1" applyAlignment="1">
      <alignment vertical="center"/>
    </xf>
    <xf numFmtId="191" fontId="5" fillId="0" borderId="5" xfId="0" applyNumberFormat="1" applyFont="1" applyFill="1" applyBorder="1" applyAlignment="1">
      <alignment vertical="center" shrinkToFit="1"/>
    </xf>
    <xf numFmtId="180" fontId="5" fillId="0" borderId="3" xfId="1" applyNumberFormat="1" applyFont="1" applyFill="1" applyBorder="1" applyAlignment="1">
      <alignment vertical="center"/>
    </xf>
    <xf numFmtId="178" fontId="5" fillId="0" borderId="79" xfId="0" applyNumberFormat="1" applyFont="1" applyFill="1" applyBorder="1" applyAlignment="1">
      <alignment vertical="center" shrinkToFit="1"/>
    </xf>
    <xf numFmtId="178" fontId="5" fillId="0" borderId="6" xfId="0" applyNumberFormat="1" applyFont="1" applyFill="1" applyBorder="1" applyAlignment="1">
      <alignment vertical="center" shrinkToFit="1"/>
    </xf>
    <xf numFmtId="191" fontId="5" fillId="0" borderId="18" xfId="0" applyNumberFormat="1" applyFont="1" applyFill="1" applyBorder="1" applyAlignment="1">
      <alignment vertical="center" shrinkToFit="1"/>
    </xf>
    <xf numFmtId="180" fontId="5" fillId="0" borderId="45" xfId="1" applyNumberFormat="1" applyFont="1" applyFill="1" applyBorder="1" applyAlignment="1">
      <alignment vertical="center" shrinkToFit="1"/>
    </xf>
    <xf numFmtId="178" fontId="5" fillId="0" borderId="6" xfId="0" applyNumberFormat="1" applyFont="1" applyFill="1" applyBorder="1" applyAlignment="1">
      <alignment vertical="center"/>
    </xf>
    <xf numFmtId="180" fontId="5" fillId="0" borderId="45" xfId="1" applyNumberFormat="1" applyFont="1" applyFill="1" applyBorder="1" applyAlignment="1">
      <alignment vertical="center"/>
    </xf>
    <xf numFmtId="180" fontId="5" fillId="0" borderId="19" xfId="1" applyNumberFormat="1" applyFont="1" applyFill="1" applyBorder="1" applyAlignment="1">
      <alignment vertical="center"/>
    </xf>
    <xf numFmtId="0" fontId="5" fillId="0" borderId="54" xfId="0" applyFont="1" applyFill="1" applyBorder="1" applyAlignment="1">
      <alignment horizontal="center" vertical="center" textRotation="255"/>
    </xf>
    <xf numFmtId="0" fontId="5" fillId="0" borderId="20" xfId="0" applyFont="1" applyFill="1" applyBorder="1" applyAlignment="1">
      <alignment horizontal="center" vertical="center" textRotation="255"/>
    </xf>
    <xf numFmtId="0" fontId="5" fillId="0" borderId="36" xfId="0" applyFont="1" applyFill="1" applyBorder="1" applyAlignment="1">
      <alignment horizontal="center" vertical="center" textRotation="255"/>
    </xf>
    <xf numFmtId="0" fontId="5" fillId="0" borderId="22" xfId="0" applyFont="1" applyFill="1" applyBorder="1" applyAlignment="1">
      <alignment vertical="center"/>
    </xf>
    <xf numFmtId="0" fontId="0" fillId="0" borderId="25" xfId="0" applyFont="1" applyFill="1" applyBorder="1" applyAlignment="1">
      <alignment vertical="center"/>
    </xf>
    <xf numFmtId="0" fontId="0" fillId="0" borderId="27" xfId="0" applyFont="1" applyFill="1" applyBorder="1" applyAlignment="1">
      <alignment vertical="center"/>
    </xf>
    <xf numFmtId="182" fontId="5" fillId="0" borderId="22" xfId="0" applyNumberFormat="1" applyFont="1" applyFill="1" applyBorder="1" applyAlignment="1">
      <alignment horizontal="right" vertical="center"/>
    </xf>
    <xf numFmtId="182" fontId="5" fillId="0" borderId="27" xfId="0" applyNumberFormat="1" applyFont="1" applyFill="1" applyBorder="1" applyAlignment="1">
      <alignment horizontal="right" vertical="center"/>
    </xf>
    <xf numFmtId="0" fontId="5" fillId="0" borderId="53" xfId="0" applyFont="1" applyFill="1" applyBorder="1" applyAlignment="1">
      <alignment vertical="center"/>
    </xf>
    <xf numFmtId="0" fontId="0" fillId="0" borderId="41" xfId="0" applyFont="1" applyFill="1" applyBorder="1" applyAlignment="1">
      <alignment vertical="center"/>
    </xf>
    <xf numFmtId="0" fontId="0" fillId="0" borderId="43" xfId="0" applyFont="1" applyFill="1" applyBorder="1" applyAlignment="1">
      <alignment vertical="center"/>
    </xf>
    <xf numFmtId="182" fontId="5" fillId="0" borderId="53" xfId="0" applyNumberFormat="1" applyFont="1" applyFill="1" applyBorder="1" applyAlignment="1">
      <alignment horizontal="right" vertical="center"/>
    </xf>
    <xf numFmtId="182" fontId="5" fillId="0" borderId="43" xfId="0" applyNumberFormat="1" applyFont="1" applyFill="1" applyBorder="1" applyAlignment="1">
      <alignment horizontal="right" vertical="center"/>
    </xf>
    <xf numFmtId="0" fontId="5" fillId="0" borderId="57" xfId="0" applyFont="1" applyFill="1" applyBorder="1" applyAlignment="1">
      <alignment horizontal="center" vertical="center" textRotation="255"/>
    </xf>
    <xf numFmtId="0" fontId="7" fillId="0" borderId="21" xfId="0" applyFont="1" applyFill="1" applyBorder="1" applyAlignment="1">
      <alignment vertical="center"/>
    </xf>
    <xf numFmtId="182" fontId="5" fillId="0" borderId="46" xfId="0" applyNumberFormat="1" applyFont="1" applyFill="1" applyBorder="1" applyAlignment="1">
      <alignment horizontal="right" vertical="center"/>
    </xf>
    <xf numFmtId="182" fontId="5" fillId="0" borderId="50" xfId="0" applyNumberFormat="1" applyFont="1" applyFill="1" applyBorder="1" applyAlignment="1">
      <alignment horizontal="right" vertical="center"/>
    </xf>
    <xf numFmtId="182" fontId="5" fillId="0" borderId="28" xfId="0" applyNumberFormat="1" applyFont="1" applyFill="1" applyBorder="1" applyAlignment="1">
      <alignment horizontal="right" vertical="center"/>
    </xf>
    <xf numFmtId="182" fontId="5" fillId="0" borderId="55" xfId="0" applyNumberFormat="1" applyFont="1" applyFill="1" applyBorder="1" applyAlignment="1">
      <alignment horizontal="right" vertical="center"/>
    </xf>
    <xf numFmtId="0" fontId="5" fillId="0" borderId="21" xfId="0" applyFont="1" applyFill="1" applyBorder="1" applyAlignment="1">
      <alignment horizontal="left" vertical="center"/>
    </xf>
    <xf numFmtId="0" fontId="5" fillId="0" borderId="13" xfId="0" applyFont="1" applyFill="1" applyBorder="1" applyAlignment="1">
      <alignment horizontal="left" vertical="center"/>
    </xf>
    <xf numFmtId="0" fontId="5" fillId="0" borderId="14" xfId="0" applyFont="1" applyFill="1" applyBorder="1" applyAlignment="1">
      <alignment horizontal="left" vertical="center"/>
    </xf>
    <xf numFmtId="0" fontId="6" fillId="0" borderId="22" xfId="0" applyFont="1" applyFill="1" applyBorder="1" applyAlignment="1">
      <alignment vertical="center"/>
    </xf>
    <xf numFmtId="182" fontId="5" fillId="0" borderId="44" xfId="0" applyNumberFormat="1" applyFont="1" applyFill="1" applyBorder="1" applyAlignment="1">
      <alignment horizontal="right" vertical="center"/>
    </xf>
    <xf numFmtId="182" fontId="5" fillId="0" borderId="7" xfId="0" applyNumberFormat="1" applyFont="1" applyFill="1" applyBorder="1" applyAlignment="1">
      <alignment horizontal="right" vertical="center"/>
    </xf>
    <xf numFmtId="0" fontId="5" fillId="0" borderId="3" xfId="0" applyFont="1" applyFill="1" applyBorder="1" applyAlignment="1">
      <alignment vertical="center"/>
    </xf>
    <xf numFmtId="0" fontId="7" fillId="0" borderId="1" xfId="0" applyFont="1" applyFill="1" applyBorder="1" applyAlignment="1">
      <alignment horizontal="right" vertical="center"/>
    </xf>
    <xf numFmtId="0" fontId="6"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1" xfId="0" applyFont="1" applyFill="1" applyBorder="1" applyAlignment="1">
      <alignment horizontal="center" vertical="center"/>
    </xf>
    <xf numFmtId="0" fontId="6" fillId="0" borderId="16" xfId="0" applyFont="1" applyFill="1" applyBorder="1" applyAlignment="1">
      <alignment horizontal="center" vertical="center"/>
    </xf>
    <xf numFmtId="0" fontId="5" fillId="0" borderId="19" xfId="0" applyFont="1" applyFill="1" applyBorder="1" applyAlignment="1">
      <alignment horizontal="center" vertical="center"/>
    </xf>
    <xf numFmtId="0" fontId="5" fillId="0" borderId="51" xfId="0" applyFont="1" applyFill="1" applyBorder="1" applyAlignment="1">
      <alignment horizontal="center" vertical="center"/>
    </xf>
    <xf numFmtId="0" fontId="5" fillId="0" borderId="37" xfId="0" applyFont="1" applyFill="1" applyBorder="1" applyAlignment="1">
      <alignment horizontal="center" vertical="center"/>
    </xf>
    <xf numFmtId="0" fontId="5" fillId="0" borderId="44" xfId="0" applyFont="1" applyFill="1" applyBorder="1" applyAlignment="1">
      <alignment horizontal="center" vertical="center"/>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53" xfId="0" applyFont="1" applyFill="1" applyBorder="1" applyAlignment="1">
      <alignment horizontal="center" vertical="center"/>
    </xf>
    <xf numFmtId="0" fontId="5" fillId="0" borderId="43" xfId="0" applyFont="1" applyFill="1" applyBorder="1" applyAlignment="1">
      <alignment horizontal="center" vertical="center"/>
    </xf>
    <xf numFmtId="0" fontId="5" fillId="0" borderId="15"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0" fillId="0" borderId="20" xfId="0" applyFont="1" applyFill="1" applyBorder="1" applyAlignment="1">
      <alignment horizontal="center" vertical="center" wrapText="1"/>
    </xf>
    <xf numFmtId="0" fontId="0" fillId="0" borderId="36" xfId="0" applyFont="1" applyFill="1" applyBorder="1" applyAlignment="1">
      <alignment horizontal="center" vertical="center" wrapText="1"/>
    </xf>
    <xf numFmtId="0" fontId="5" fillId="0" borderId="44" xfId="0" applyFont="1" applyFill="1" applyBorder="1" applyAlignment="1">
      <alignment horizontal="center" vertical="center" wrapText="1"/>
    </xf>
    <xf numFmtId="0" fontId="0" fillId="0" borderId="6" xfId="0" applyFont="1" applyFill="1" applyBorder="1" applyAlignment="1">
      <alignment horizontal="center" vertical="center" wrapText="1"/>
    </xf>
    <xf numFmtId="0" fontId="0" fillId="0" borderId="7" xfId="0" applyFont="1" applyFill="1" applyBorder="1" applyAlignment="1">
      <alignment horizontal="center" vertical="center" wrapText="1"/>
    </xf>
    <xf numFmtId="0" fontId="5" fillId="0" borderId="30" xfId="0" applyFont="1" applyFill="1" applyBorder="1" applyAlignment="1">
      <alignment horizontal="center" vertical="center" textRotation="255" wrapText="1"/>
    </xf>
    <xf numFmtId="0" fontId="0" fillId="0" borderId="30" xfId="0" applyFont="1" applyFill="1" applyBorder="1" applyAlignment="1">
      <alignment horizontal="center" vertical="center" wrapText="1"/>
    </xf>
    <xf numFmtId="0" fontId="0" fillId="0" borderId="31" xfId="0" applyFont="1" applyFill="1" applyBorder="1" applyAlignment="1">
      <alignment horizontal="center" vertical="center" wrapText="1"/>
    </xf>
    <xf numFmtId="0" fontId="0" fillId="0" borderId="32" xfId="0" applyFont="1" applyFill="1" applyBorder="1" applyAlignment="1">
      <alignment horizontal="center" vertical="center" wrapText="1"/>
    </xf>
    <xf numFmtId="0" fontId="5" fillId="0" borderId="21" xfId="0" applyFont="1" applyFill="1" applyBorder="1" applyAlignment="1">
      <alignment horizontal="center" vertical="center" textRotation="255" wrapText="1"/>
    </xf>
    <xf numFmtId="0" fontId="0" fillId="0" borderId="12" xfId="0" applyFont="1" applyFill="1" applyBorder="1" applyAlignment="1">
      <alignment horizontal="center" vertical="center" wrapText="1"/>
    </xf>
    <xf numFmtId="0" fontId="0" fillId="0" borderId="28" xfId="0" applyFont="1" applyFill="1" applyBorder="1" applyAlignment="1">
      <alignment horizontal="center" vertical="center" wrapText="1"/>
    </xf>
    <xf numFmtId="0" fontId="0" fillId="0" borderId="29" xfId="0" applyFont="1" applyFill="1" applyBorder="1" applyAlignment="1">
      <alignment horizontal="center" vertical="center" wrapText="1"/>
    </xf>
    <xf numFmtId="0" fontId="5" fillId="0" borderId="31" xfId="0" applyFont="1" applyFill="1" applyBorder="1" applyAlignment="1">
      <alignment horizontal="center" vertical="center" textRotation="255" wrapText="1"/>
    </xf>
    <xf numFmtId="0" fontId="5" fillId="0" borderId="38" xfId="0" applyFont="1" applyFill="1" applyBorder="1" applyAlignment="1">
      <alignment horizontal="center" vertical="center" textRotation="255" wrapText="1"/>
    </xf>
    <xf numFmtId="0" fontId="5" fillId="0" borderId="2"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0" fillId="0" borderId="8" xfId="0" applyFont="1" applyFill="1" applyBorder="1" applyAlignment="1">
      <alignment horizontal="center" vertical="center" wrapText="1"/>
    </xf>
    <xf numFmtId="0" fontId="6" fillId="0" borderId="44" xfId="0" applyFont="1" applyFill="1" applyBorder="1" applyAlignment="1">
      <alignment horizontal="center" vertical="center" wrapText="1"/>
    </xf>
    <xf numFmtId="0" fontId="5" fillId="0" borderId="22" xfId="0" applyFont="1" applyFill="1" applyBorder="1" applyAlignment="1">
      <alignment horizontal="center" vertical="center" wrapText="1"/>
    </xf>
    <xf numFmtId="0" fontId="0" fillId="0" borderId="25" xfId="0" applyFont="1" applyFill="1" applyBorder="1" applyAlignment="1">
      <alignment horizontal="center" vertical="center" wrapText="1"/>
    </xf>
    <xf numFmtId="0" fontId="0" fillId="0" borderId="27" xfId="0" applyFont="1" applyFill="1" applyBorder="1" applyAlignment="1">
      <alignment horizontal="center" vertical="center" wrapText="1"/>
    </xf>
    <xf numFmtId="0" fontId="5" fillId="0" borderId="21" xfId="0" applyFont="1" applyFill="1" applyBorder="1" applyAlignment="1">
      <alignment horizontal="center" vertical="center" wrapText="1"/>
    </xf>
    <xf numFmtId="0" fontId="5" fillId="0" borderId="51" xfId="0" applyFont="1" applyFill="1" applyBorder="1" applyAlignment="1">
      <alignment horizontal="distributed" vertical="center" wrapText="1"/>
    </xf>
    <xf numFmtId="0" fontId="5" fillId="0" borderId="9" xfId="0" applyFont="1" applyFill="1" applyBorder="1" applyAlignment="1">
      <alignment horizontal="distributed" vertical="center" wrapText="1"/>
    </xf>
    <xf numFmtId="0" fontId="5" fillId="0" borderId="1" xfId="0" applyFont="1" applyFill="1" applyBorder="1" applyAlignment="1">
      <alignment vertical="center"/>
    </xf>
    <xf numFmtId="0" fontId="5" fillId="0" borderId="10" xfId="0" applyFont="1" applyFill="1" applyBorder="1" applyAlignment="1">
      <alignment horizontal="center" vertical="center"/>
    </xf>
    <xf numFmtId="0" fontId="6" fillId="0" borderId="5"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16" xfId="0" applyFont="1" applyFill="1" applyBorder="1" applyAlignment="1">
      <alignment horizontal="center" vertical="center" wrapText="1"/>
    </xf>
    <xf numFmtId="0" fontId="0" fillId="0" borderId="3" xfId="0" applyFont="1" applyFill="1" applyBorder="1" applyAlignment="1">
      <alignment horizontal="center" vertical="center" wrapText="1"/>
    </xf>
    <xf numFmtId="0" fontId="0" fillId="0" borderId="4" xfId="0" applyFont="1" applyFill="1" applyBorder="1" applyAlignment="1">
      <alignment horizontal="center" vertical="center" wrapText="1"/>
    </xf>
    <xf numFmtId="0" fontId="5" fillId="0" borderId="33" xfId="0" applyFont="1" applyFill="1" applyBorder="1" applyAlignment="1">
      <alignment horizontal="center" vertical="center"/>
    </xf>
    <xf numFmtId="0" fontId="5" fillId="0" borderId="54" xfId="0" applyFont="1" applyFill="1" applyBorder="1" applyAlignment="1">
      <alignment horizontal="center" vertical="center"/>
    </xf>
    <xf numFmtId="0" fontId="5" fillId="0" borderId="20" xfId="0" applyFont="1" applyFill="1" applyBorder="1" applyAlignment="1">
      <alignment horizontal="center" vertical="center"/>
    </xf>
    <xf numFmtId="0" fontId="5" fillId="0" borderId="57" xfId="0" applyFont="1" applyFill="1" applyBorder="1" applyAlignment="1">
      <alignment horizontal="center" vertical="center"/>
    </xf>
    <xf numFmtId="0" fontId="5" fillId="0" borderId="61" xfId="0" applyFont="1" applyFill="1" applyBorder="1" applyAlignment="1">
      <alignment horizontal="center" vertical="center"/>
    </xf>
    <xf numFmtId="0" fontId="5" fillId="0" borderId="36" xfId="0" applyFont="1" applyFill="1" applyBorder="1" applyAlignment="1">
      <alignment horizontal="center" vertical="center"/>
    </xf>
    <xf numFmtId="0" fontId="5" fillId="0" borderId="3" xfId="0" applyFont="1" applyFill="1" applyBorder="1" applyAlignment="1">
      <alignment horizontal="center" vertical="center" wrapText="1"/>
    </xf>
    <xf numFmtId="0" fontId="5" fillId="0" borderId="48" xfId="0" applyFont="1" applyFill="1" applyBorder="1" applyAlignment="1">
      <alignment horizontal="center" vertical="center" wrapText="1"/>
    </xf>
    <xf numFmtId="0" fontId="5" fillId="0" borderId="35" xfId="0" applyFont="1" applyFill="1" applyBorder="1" applyAlignment="1">
      <alignment horizontal="center" vertical="center" wrapText="1"/>
    </xf>
    <xf numFmtId="0" fontId="0" fillId="0" borderId="50" xfId="0" applyFont="1" applyFill="1" applyBorder="1" applyAlignment="1">
      <alignment horizontal="center" vertical="center" wrapText="1"/>
    </xf>
    <xf numFmtId="0" fontId="0" fillId="0" borderId="4" xfId="0" applyFont="1" applyFill="1" applyBorder="1" applyAlignment="1">
      <alignment vertical="center" wrapText="1"/>
    </xf>
    <xf numFmtId="0" fontId="5" fillId="0" borderId="0" xfId="0" applyFont="1" applyFill="1" applyAlignment="1">
      <alignment horizontal="center" vertical="center" wrapText="1"/>
    </xf>
    <xf numFmtId="0" fontId="0" fillId="0" borderId="55" xfId="0" applyFont="1" applyFill="1" applyBorder="1" applyAlignment="1">
      <alignment vertical="center" wrapText="1"/>
    </xf>
    <xf numFmtId="0" fontId="7" fillId="0" borderId="54" xfId="0" applyFont="1" applyFill="1" applyBorder="1" applyAlignment="1">
      <alignment horizontal="distributed" vertical="center"/>
    </xf>
    <xf numFmtId="0" fontId="0" fillId="0" borderId="36" xfId="0" applyFont="1" applyFill="1" applyBorder="1" applyAlignment="1">
      <alignment vertical="center"/>
    </xf>
    <xf numFmtId="0" fontId="7" fillId="0" borderId="30" xfId="0" applyFont="1" applyFill="1" applyBorder="1" applyAlignment="1">
      <alignment horizontal="distributed" vertical="center" wrapText="1"/>
    </xf>
    <xf numFmtId="0" fontId="0" fillId="0" borderId="38" xfId="0" applyFont="1" applyFill="1" applyBorder="1" applyAlignment="1">
      <alignment vertical="center" wrapText="1"/>
    </xf>
    <xf numFmtId="0" fontId="7" fillId="0" borderId="21" xfId="0" applyFont="1" applyFill="1" applyBorder="1" applyAlignment="1">
      <alignment horizontal="distributed" vertical="center" wrapText="1"/>
    </xf>
    <xf numFmtId="0" fontId="7" fillId="0" borderId="54" xfId="0" applyFont="1" applyFill="1" applyBorder="1" applyAlignment="1">
      <alignment horizontal="distributed" vertical="center" wrapText="1"/>
    </xf>
    <xf numFmtId="0" fontId="0" fillId="0" borderId="36" xfId="0" applyFont="1" applyFill="1" applyBorder="1" applyAlignment="1">
      <alignment vertical="center" wrapText="1"/>
    </xf>
    <xf numFmtId="0" fontId="0" fillId="0" borderId="51" xfId="0" applyFont="1" applyFill="1" applyBorder="1" applyAlignment="1">
      <alignment vertical="center" wrapText="1"/>
    </xf>
    <xf numFmtId="183" fontId="5" fillId="0" borderId="23" xfId="1" applyNumberFormat="1" applyFont="1" applyFill="1" applyBorder="1" applyAlignment="1">
      <alignment horizontal="right" vertical="center"/>
    </xf>
    <xf numFmtId="183" fontId="5" fillId="0" borderId="26" xfId="1" applyNumberFormat="1" applyFont="1" applyFill="1" applyBorder="1" applyAlignment="1">
      <alignment horizontal="right" vertical="center"/>
    </xf>
    <xf numFmtId="183" fontId="5" fillId="0" borderId="22" xfId="1" applyNumberFormat="1" applyFont="1" applyFill="1" applyBorder="1" applyAlignment="1">
      <alignment horizontal="right" vertical="center"/>
    </xf>
    <xf numFmtId="183" fontId="0" fillId="0" borderId="26" xfId="0" applyNumberFormat="1" applyFont="1" applyFill="1" applyBorder="1" applyAlignment="1">
      <alignment horizontal="right" vertical="center"/>
    </xf>
    <xf numFmtId="0" fontId="0" fillId="0" borderId="10" xfId="0" applyFont="1" applyFill="1" applyBorder="1" applyAlignment="1">
      <alignment vertical="center"/>
    </xf>
    <xf numFmtId="0" fontId="0" fillId="0" borderId="8" xfId="0" applyFont="1" applyFill="1" applyBorder="1" applyAlignment="1">
      <alignment vertical="center"/>
    </xf>
    <xf numFmtId="0" fontId="5" fillId="0" borderId="22" xfId="0" applyFont="1" applyFill="1" applyBorder="1" applyAlignment="1">
      <alignment horizontal="distributed" vertical="center" wrapText="1"/>
    </xf>
    <xf numFmtId="0" fontId="0" fillId="0" borderId="27" xfId="0" applyFont="1" applyFill="1" applyBorder="1" applyAlignment="1">
      <alignment vertical="center" wrapText="1"/>
    </xf>
    <xf numFmtId="0" fontId="5" fillId="0" borderId="21" xfId="0" applyFont="1" applyFill="1" applyBorder="1" applyAlignment="1">
      <alignment horizontal="distributed" vertical="center" wrapText="1"/>
    </xf>
    <xf numFmtId="0" fontId="0" fillId="0" borderId="14" xfId="0" applyFont="1" applyFill="1" applyBorder="1" applyAlignment="1">
      <alignment vertical="center" wrapText="1"/>
    </xf>
    <xf numFmtId="183" fontId="5" fillId="0" borderId="33" xfId="1" applyNumberFormat="1" applyFont="1" applyFill="1" applyBorder="1" applyAlignment="1">
      <alignment horizontal="right" vertical="center"/>
    </xf>
    <xf numFmtId="183" fontId="5" fillId="0" borderId="12" xfId="1" applyNumberFormat="1" applyFont="1" applyFill="1" applyBorder="1" applyAlignment="1">
      <alignment horizontal="right" vertical="center"/>
    </xf>
    <xf numFmtId="183" fontId="5" fillId="0" borderId="21" xfId="1" applyNumberFormat="1" applyFont="1" applyFill="1" applyBorder="1" applyAlignment="1">
      <alignment horizontal="right" vertical="center"/>
    </xf>
    <xf numFmtId="183" fontId="5" fillId="0" borderId="39" xfId="1" applyNumberFormat="1" applyFont="1" applyFill="1" applyBorder="1" applyAlignment="1">
      <alignment horizontal="right" vertical="center"/>
    </xf>
    <xf numFmtId="183" fontId="0" fillId="0" borderId="42" xfId="0" applyNumberFormat="1" applyFont="1" applyFill="1" applyBorder="1" applyAlignment="1">
      <alignment horizontal="right" vertical="center"/>
    </xf>
    <xf numFmtId="183" fontId="5" fillId="0" borderId="53" xfId="1" applyNumberFormat="1" applyFont="1" applyFill="1" applyBorder="1" applyAlignment="1">
      <alignment horizontal="right" vertical="center"/>
    </xf>
    <xf numFmtId="0" fontId="5" fillId="0" borderId="54" xfId="0" applyFont="1" applyFill="1" applyBorder="1" applyAlignment="1">
      <alignment horizontal="center" vertical="center" wrapText="1"/>
    </xf>
    <xf numFmtId="0" fontId="0" fillId="0" borderId="20" xfId="0" applyFont="1" applyFill="1" applyBorder="1" applyAlignment="1">
      <alignment vertical="center" wrapText="1"/>
    </xf>
    <xf numFmtId="0" fontId="0" fillId="0" borderId="57" xfId="0" applyFont="1" applyFill="1" applyBorder="1" applyAlignment="1">
      <alignment vertical="center" wrapText="1"/>
    </xf>
    <xf numFmtId="0" fontId="5" fillId="0" borderId="15" xfId="0" applyFont="1" applyFill="1" applyBorder="1" applyAlignment="1">
      <alignment vertical="center" wrapText="1"/>
    </xf>
    <xf numFmtId="0" fontId="5" fillId="0" borderId="44" xfId="0" applyFont="1" applyFill="1" applyBorder="1" applyAlignment="1">
      <alignment horizontal="distributed" vertical="center" wrapText="1"/>
    </xf>
    <xf numFmtId="0" fontId="0" fillId="0" borderId="7" xfId="0" applyFont="1" applyFill="1" applyBorder="1" applyAlignment="1">
      <alignment vertical="center" wrapText="1"/>
    </xf>
    <xf numFmtId="183" fontId="5" fillId="0" borderId="17" xfId="1" applyNumberFormat="1" applyFont="1" applyFill="1" applyBorder="1" applyAlignment="1">
      <alignment horizontal="right" vertical="center"/>
    </xf>
    <xf numFmtId="183" fontId="5" fillId="0" borderId="45" xfId="1" applyNumberFormat="1" applyFont="1" applyFill="1" applyBorder="1" applyAlignment="1">
      <alignment horizontal="right" vertical="center"/>
    </xf>
    <xf numFmtId="183" fontId="5" fillId="0" borderId="44" xfId="1" applyNumberFormat="1" applyFont="1" applyFill="1" applyBorder="1" applyAlignment="1">
      <alignment horizontal="right" vertical="center"/>
    </xf>
    <xf numFmtId="0" fontId="11" fillId="0" borderId="3" xfId="0" applyFont="1" applyFill="1" applyBorder="1" applyAlignment="1">
      <alignment horizontal="center" vertical="center"/>
    </xf>
    <xf numFmtId="0" fontId="5" fillId="0" borderId="16" xfId="0" applyFont="1" applyFill="1" applyBorder="1" applyAlignment="1">
      <alignment horizontal="center" vertical="center"/>
    </xf>
    <xf numFmtId="0" fontId="15" fillId="0" borderId="0" xfId="0" applyFont="1" applyFill="1" applyAlignment="1">
      <alignment horizontal="center" vertical="center"/>
    </xf>
    <xf numFmtId="0" fontId="5" fillId="0" borderId="29" xfId="0" applyFont="1" applyFill="1" applyBorder="1" applyAlignment="1">
      <alignment horizontal="center" vertical="center"/>
    </xf>
    <xf numFmtId="0" fontId="5" fillId="0" borderId="28" xfId="0" applyFont="1" applyFill="1" applyBorder="1" applyAlignment="1">
      <alignment horizontal="center" vertical="center"/>
    </xf>
    <xf numFmtId="0" fontId="5" fillId="0" borderId="21" xfId="0" applyFont="1" applyFill="1" applyBorder="1" applyAlignment="1">
      <alignment horizontal="center" vertical="center"/>
    </xf>
    <xf numFmtId="0" fontId="5" fillId="0" borderId="12" xfId="0" applyFont="1" applyFill="1" applyBorder="1" applyAlignment="1">
      <alignment horizontal="center" vertical="center"/>
    </xf>
    <xf numFmtId="0" fontId="5" fillId="0" borderId="14" xfId="0" applyFont="1" applyFill="1" applyBorder="1" applyAlignment="1">
      <alignment horizontal="center" vertical="center"/>
    </xf>
    <xf numFmtId="0" fontId="5" fillId="0" borderId="39" xfId="0" applyFont="1" applyFill="1" applyBorder="1" applyAlignment="1">
      <alignment horizontal="center" vertical="center"/>
    </xf>
    <xf numFmtId="0" fontId="5" fillId="0" borderId="41" xfId="0" applyFont="1" applyFill="1" applyBorder="1" applyAlignment="1">
      <alignment horizontal="center" vertical="center"/>
    </xf>
    <xf numFmtId="0" fontId="0" fillId="0" borderId="7" xfId="0" applyFont="1" applyFill="1" applyBorder="1" applyAlignment="1">
      <alignment vertical="center"/>
    </xf>
    <xf numFmtId="0" fontId="5" fillId="0" borderId="21" xfId="0" applyFont="1" applyFill="1" applyBorder="1" applyAlignment="1">
      <alignment horizontal="distributed" vertical="center"/>
    </xf>
    <xf numFmtId="0" fontId="5" fillId="0" borderId="27" xfId="0" applyFont="1" applyFill="1" applyBorder="1" applyAlignment="1">
      <alignment horizontal="distributed" vertical="center"/>
    </xf>
    <xf numFmtId="0" fontId="5" fillId="0" borderId="0" xfId="0" applyFont="1" applyFill="1"/>
    <xf numFmtId="0" fontId="0" fillId="0" borderId="14" xfId="0" applyFont="1" applyFill="1" applyBorder="1" applyAlignment="1">
      <alignment horizontal="distributed" vertical="center"/>
    </xf>
    <xf numFmtId="0" fontId="11" fillId="0" borderId="15" xfId="0" applyFont="1" applyFill="1" applyBorder="1" applyAlignment="1">
      <alignment horizontal="center" vertical="center" textRotation="255"/>
    </xf>
    <xf numFmtId="0" fontId="0" fillId="0" borderId="20" xfId="0" applyFont="1" applyFill="1" applyBorder="1" applyAlignment="1">
      <alignment horizontal="center" vertical="center" textRotation="255"/>
    </xf>
    <xf numFmtId="0" fontId="0" fillId="0" borderId="36" xfId="0" applyFont="1" applyFill="1" applyBorder="1" applyAlignment="1">
      <alignment horizontal="center" vertical="center" textRotation="255"/>
    </xf>
    <xf numFmtId="0" fontId="5" fillId="0" borderId="46" xfId="0" applyFont="1" applyFill="1" applyBorder="1" applyAlignment="1">
      <alignment horizontal="distributed" vertical="center"/>
    </xf>
    <xf numFmtId="0" fontId="5" fillId="0" borderId="35" xfId="0" applyFont="1" applyFill="1" applyBorder="1" applyAlignment="1">
      <alignment horizontal="distributed" vertical="center"/>
    </xf>
    <xf numFmtId="0" fontId="5" fillId="0" borderId="50" xfId="0" applyFont="1" applyFill="1" applyBorder="1" applyAlignment="1">
      <alignment horizontal="distributed" vertical="center"/>
    </xf>
    <xf numFmtId="0" fontId="5" fillId="0" borderId="13" xfId="0" applyFont="1" applyFill="1" applyBorder="1" applyAlignment="1">
      <alignment horizontal="distributed" vertical="center"/>
    </xf>
    <xf numFmtId="0" fontId="5" fillId="0" borderId="14" xfId="0" applyFont="1" applyFill="1" applyBorder="1" applyAlignment="1">
      <alignment horizontal="distributed" vertical="center"/>
    </xf>
    <xf numFmtId="0" fontId="11" fillId="0" borderId="21" xfId="0" applyFont="1" applyFill="1" applyBorder="1" applyAlignment="1">
      <alignment horizontal="distributed" vertical="center"/>
    </xf>
    <xf numFmtId="0" fontId="5" fillId="0" borderId="22" xfId="0" applyFont="1" applyFill="1" applyBorder="1" applyAlignment="1">
      <alignment horizontal="distributed" vertical="center"/>
    </xf>
    <xf numFmtId="0" fontId="0" fillId="0" borderId="27" xfId="0" applyFont="1" applyFill="1" applyBorder="1" applyAlignment="1">
      <alignment horizontal="distributed" vertical="center"/>
    </xf>
    <xf numFmtId="0" fontId="5" fillId="0" borderId="3" xfId="0" applyFont="1" applyFill="1" applyBorder="1" applyAlignment="1">
      <alignment horizontal="center"/>
    </xf>
    <xf numFmtId="0" fontId="5" fillId="0" borderId="44" xfId="0" applyFont="1" applyFill="1" applyBorder="1" applyAlignment="1">
      <alignment horizontal="distributed" vertical="center"/>
    </xf>
    <xf numFmtId="0" fontId="5" fillId="0" borderId="6" xfId="0" applyFont="1" applyFill="1" applyBorder="1" applyAlignment="1">
      <alignment horizontal="distributed" vertical="center"/>
    </xf>
    <xf numFmtId="0" fontId="5" fillId="0" borderId="7" xfId="0" applyFont="1" applyFill="1" applyBorder="1" applyAlignment="1">
      <alignment horizontal="distributed" vertical="center"/>
    </xf>
    <xf numFmtId="0" fontId="11" fillId="0" borderId="22" xfId="0" applyFont="1" applyFill="1" applyBorder="1" applyAlignment="1">
      <alignment horizontal="distributed" vertical="center"/>
    </xf>
    <xf numFmtId="0" fontId="7" fillId="0" borderId="1" xfId="0" applyFont="1" applyFill="1" applyBorder="1" applyAlignment="1">
      <alignment horizontal="right"/>
    </xf>
    <xf numFmtId="0" fontId="5" fillId="0" borderId="15" xfId="0" applyFont="1" applyFill="1" applyBorder="1" applyAlignment="1">
      <alignment horizontal="center" vertical="center"/>
    </xf>
    <xf numFmtId="0" fontId="5" fillId="0" borderId="69" xfId="0" applyFont="1" applyFill="1" applyBorder="1" applyAlignment="1">
      <alignment horizontal="center" vertical="center"/>
    </xf>
    <xf numFmtId="0" fontId="5" fillId="0" borderId="38"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63" xfId="0" applyFont="1" applyFill="1" applyBorder="1" applyAlignment="1">
      <alignment horizontal="center" vertical="center"/>
    </xf>
    <xf numFmtId="0" fontId="5" fillId="0" borderId="65" xfId="0" applyFont="1" applyFill="1" applyBorder="1" applyAlignment="1">
      <alignment horizontal="center" vertical="center"/>
    </xf>
    <xf numFmtId="183" fontId="16" fillId="0" borderId="22" xfId="0" applyNumberFormat="1" applyFont="1" applyFill="1" applyBorder="1" applyAlignment="1">
      <alignment horizontal="right" vertical="center"/>
    </xf>
    <xf numFmtId="183" fontId="16" fillId="0" borderId="27" xfId="0" applyNumberFormat="1" applyFont="1" applyFill="1" applyBorder="1" applyAlignment="1">
      <alignment horizontal="right" vertical="center"/>
    </xf>
    <xf numFmtId="0" fontId="5" fillId="0" borderId="33" xfId="0" applyFont="1" applyFill="1" applyBorder="1" applyAlignment="1">
      <alignment horizontal="distributed" vertical="center" wrapText="1"/>
    </xf>
    <xf numFmtId="0" fontId="0" fillId="0" borderId="27" xfId="0" applyFont="1" applyFill="1" applyBorder="1" applyAlignment="1">
      <alignment horizontal="distributed" vertical="center" wrapText="1"/>
    </xf>
    <xf numFmtId="183" fontId="16" fillId="0" borderId="46" xfId="0" applyNumberFormat="1" applyFont="1" applyFill="1" applyBorder="1" applyAlignment="1">
      <alignment horizontal="right" vertical="center"/>
    </xf>
    <xf numFmtId="183" fontId="16" fillId="0" borderId="50" xfId="0" applyNumberFormat="1" applyFont="1" applyFill="1" applyBorder="1" applyAlignment="1">
      <alignment horizontal="right" vertical="center"/>
    </xf>
    <xf numFmtId="183" fontId="16" fillId="0" borderId="53" xfId="0" applyNumberFormat="1" applyFont="1" applyFill="1" applyBorder="1" applyAlignment="1">
      <alignment horizontal="right" vertical="center"/>
    </xf>
    <xf numFmtId="183" fontId="0" fillId="0" borderId="43" xfId="0" applyNumberFormat="1" applyFont="1" applyFill="1" applyBorder="1" applyAlignment="1">
      <alignment horizontal="right" vertical="center"/>
    </xf>
    <xf numFmtId="0" fontId="5" fillId="0" borderId="8" xfId="0" applyFont="1" applyFill="1" applyBorder="1" applyAlignment="1">
      <alignment horizontal="distributed" vertical="center" wrapText="1"/>
    </xf>
    <xf numFmtId="0" fontId="0" fillId="0" borderId="9" xfId="0" applyFont="1" applyFill="1" applyBorder="1" applyAlignment="1">
      <alignment horizontal="distributed" vertical="center" wrapText="1"/>
    </xf>
    <xf numFmtId="183" fontId="16" fillId="0" borderId="71" xfId="0" applyNumberFormat="1" applyFont="1" applyFill="1" applyBorder="1" applyAlignment="1">
      <alignment horizontal="right" vertical="center"/>
    </xf>
    <xf numFmtId="183" fontId="16" fillId="0" borderId="75" xfId="0" applyNumberFormat="1" applyFont="1" applyFill="1" applyBorder="1" applyAlignment="1">
      <alignment horizontal="right" vertical="center"/>
    </xf>
    <xf numFmtId="0" fontId="5" fillId="0" borderId="23" xfId="0" applyFont="1" applyFill="1" applyBorder="1" applyAlignment="1">
      <alignment horizontal="distributed" vertical="center" wrapText="1"/>
    </xf>
    <xf numFmtId="176" fontId="16" fillId="0" borderId="69" xfId="0" applyNumberFormat="1" applyFont="1" applyFill="1" applyBorder="1" applyAlignment="1">
      <alignment horizontal="distributed" vertical="center"/>
    </xf>
    <xf numFmtId="176" fontId="16" fillId="0" borderId="38" xfId="0" applyNumberFormat="1" applyFont="1" applyFill="1" applyBorder="1" applyAlignment="1">
      <alignment horizontal="distributed" vertical="center"/>
    </xf>
    <xf numFmtId="176" fontId="5" fillId="0" borderId="69" xfId="0" applyNumberFormat="1" applyFont="1" applyFill="1" applyBorder="1" applyAlignment="1">
      <alignment horizontal="distributed" vertical="center"/>
    </xf>
    <xf numFmtId="176" fontId="5" fillId="0" borderId="38" xfId="0" applyNumberFormat="1" applyFont="1" applyFill="1" applyBorder="1" applyAlignment="1">
      <alignment horizontal="distributed" vertical="center"/>
    </xf>
    <xf numFmtId="176" fontId="5" fillId="0" borderId="16" xfId="0" applyNumberFormat="1" applyFont="1" applyFill="1" applyBorder="1" applyAlignment="1">
      <alignment horizontal="distributed" vertical="center"/>
    </xf>
    <xf numFmtId="176" fontId="5" fillId="0" borderId="4" xfId="0" applyNumberFormat="1" applyFont="1" applyFill="1" applyBorder="1" applyAlignment="1">
      <alignment horizontal="distributed" vertical="center"/>
    </xf>
    <xf numFmtId="176" fontId="5" fillId="0" borderId="51" xfId="0" applyNumberFormat="1" applyFont="1" applyFill="1" applyBorder="1" applyAlignment="1">
      <alignment horizontal="distributed" vertical="center"/>
    </xf>
    <xf numFmtId="176" fontId="5" fillId="0" borderId="9" xfId="0" applyNumberFormat="1" applyFont="1" applyFill="1" applyBorder="1" applyAlignment="1">
      <alignment horizontal="distributed" vertical="center"/>
    </xf>
    <xf numFmtId="0" fontId="5" fillId="0" borderId="17" xfId="0" applyFont="1" applyFill="1" applyBorder="1" applyAlignment="1">
      <alignment horizontal="distributed" vertical="center" wrapText="1"/>
    </xf>
    <xf numFmtId="0" fontId="0" fillId="0" borderId="7" xfId="0" applyFont="1" applyFill="1" applyBorder="1" applyAlignment="1">
      <alignment horizontal="distributed" vertical="center" wrapText="1"/>
    </xf>
    <xf numFmtId="183" fontId="16" fillId="0" borderId="16" xfId="0" applyNumberFormat="1" applyFont="1" applyFill="1" applyBorder="1" applyAlignment="1">
      <alignment horizontal="right" vertical="center"/>
    </xf>
    <xf numFmtId="183" fontId="16" fillId="0" borderId="4" xfId="0" applyNumberFormat="1" applyFont="1" applyFill="1" applyBorder="1" applyAlignment="1">
      <alignment horizontal="right" vertical="center"/>
    </xf>
    <xf numFmtId="0" fontId="5" fillId="0" borderId="2" xfId="0" applyFont="1" applyFill="1" applyBorder="1" applyAlignment="1">
      <alignment horizontal="right" vertical="center" wrapText="1"/>
    </xf>
    <xf numFmtId="176" fontId="5" fillId="0" borderId="15" xfId="0" applyNumberFormat="1" applyFont="1" applyFill="1" applyBorder="1" applyAlignment="1">
      <alignment horizontal="distributed" vertical="center"/>
    </xf>
    <xf numFmtId="176" fontId="5" fillId="0" borderId="36" xfId="0" applyNumberFormat="1" applyFont="1" applyFill="1" applyBorder="1" applyAlignment="1">
      <alignment horizontal="distributed" vertical="center"/>
    </xf>
    <xf numFmtId="0" fontId="5" fillId="0" borderId="2" xfId="0" applyFont="1" applyFill="1" applyBorder="1" applyAlignment="1">
      <alignment horizontal="right" vertical="center"/>
    </xf>
    <xf numFmtId="0" fontId="0" fillId="0" borderId="4" xfId="0" applyFont="1" applyFill="1" applyBorder="1" applyAlignment="1">
      <alignment horizontal="right" vertical="center"/>
    </xf>
    <xf numFmtId="0" fontId="5" fillId="0" borderId="15" xfId="0" applyFont="1" applyFill="1" applyBorder="1" applyAlignment="1">
      <alignment horizontal="distributed" vertical="center"/>
    </xf>
    <xf numFmtId="0" fontId="5" fillId="0" borderId="36" xfId="0" applyFont="1" applyFill="1" applyBorder="1" applyAlignment="1">
      <alignment horizontal="distributed" vertical="center"/>
    </xf>
    <xf numFmtId="0" fontId="5" fillId="0" borderId="69" xfId="0" applyFont="1" applyFill="1" applyBorder="1" applyAlignment="1">
      <alignment horizontal="distributed" vertical="center"/>
    </xf>
    <xf numFmtId="0" fontId="5" fillId="0" borderId="38" xfId="0" applyFont="1" applyFill="1" applyBorder="1" applyAlignment="1">
      <alignment horizontal="distributed" vertical="center"/>
    </xf>
    <xf numFmtId="0" fontId="16" fillId="0" borderId="69" xfId="0" applyFont="1" applyFill="1" applyBorder="1" applyAlignment="1">
      <alignment horizontal="distributed" vertical="center"/>
    </xf>
    <xf numFmtId="0" fontId="16" fillId="0" borderId="38" xfId="0" applyFont="1" applyFill="1" applyBorder="1" applyAlignment="1">
      <alignment horizontal="distributed" vertical="center"/>
    </xf>
    <xf numFmtId="0" fontId="16" fillId="0" borderId="5" xfId="0" applyFont="1" applyFill="1" applyBorder="1" applyAlignment="1">
      <alignment horizontal="distributed" vertical="center"/>
    </xf>
    <xf numFmtId="0" fontId="16" fillId="0" borderId="11" xfId="0" applyFont="1" applyFill="1" applyBorder="1" applyAlignment="1">
      <alignment horizontal="distributed" vertical="center"/>
    </xf>
    <xf numFmtId="0" fontId="5" fillId="0" borderId="63" xfId="0" applyFont="1" applyFill="1" applyBorder="1" applyAlignment="1">
      <alignment horizontal="center" vertical="center" wrapText="1"/>
    </xf>
    <xf numFmtId="0" fontId="5" fillId="0" borderId="64" xfId="0" applyFont="1" applyFill="1" applyBorder="1" applyAlignment="1">
      <alignment horizontal="center" vertical="center" wrapText="1"/>
    </xf>
    <xf numFmtId="0" fontId="5" fillId="0" borderId="65"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0" fillId="0" borderId="48" xfId="0" applyFont="1" applyFill="1" applyBorder="1" applyAlignment="1">
      <alignment horizontal="center" vertical="center" wrapText="1"/>
    </xf>
    <xf numFmtId="0" fontId="5" fillId="0" borderId="17" xfId="0" applyFont="1" applyFill="1" applyBorder="1" applyAlignment="1">
      <alignment horizontal="center" vertical="center"/>
    </xf>
    <xf numFmtId="0" fontId="30" fillId="0" borderId="56" xfId="0" applyFont="1" applyFill="1" applyBorder="1" applyAlignment="1">
      <alignment horizontal="left" vertical="center"/>
    </xf>
    <xf numFmtId="0" fontId="5" fillId="0" borderId="56" xfId="0" applyFont="1" applyFill="1" applyBorder="1" applyAlignment="1">
      <alignment horizontal="left" vertical="center"/>
    </xf>
    <xf numFmtId="0" fontId="5" fillId="0" borderId="73" xfId="0" applyFont="1" applyFill="1" applyBorder="1" applyAlignment="1">
      <alignment horizontal="distributed" vertical="center"/>
    </xf>
    <xf numFmtId="0" fontId="5" fillId="0" borderId="76" xfId="0" applyFont="1" applyFill="1" applyBorder="1" applyAlignment="1">
      <alignment horizontal="distributed" vertical="center"/>
    </xf>
    <xf numFmtId="0" fontId="0" fillId="0" borderId="73" xfId="0" applyFont="1" applyFill="1" applyBorder="1" applyAlignment="1">
      <alignment horizontal="distributed" vertical="center"/>
    </xf>
    <xf numFmtId="0" fontId="5" fillId="0" borderId="61" xfId="0" applyFont="1" applyFill="1" applyBorder="1" applyAlignment="1">
      <alignment horizontal="center" vertical="center" wrapText="1"/>
    </xf>
    <xf numFmtId="0" fontId="5" fillId="0" borderId="52" xfId="0" applyFont="1" applyFill="1" applyBorder="1" applyAlignment="1">
      <alignment horizontal="center" vertical="center" wrapText="1"/>
    </xf>
    <xf numFmtId="0" fontId="5" fillId="0" borderId="56" xfId="0" applyFont="1" applyFill="1" applyBorder="1" applyAlignment="1">
      <alignment horizontal="center" vertical="center" wrapText="1"/>
    </xf>
    <xf numFmtId="0" fontId="5" fillId="0" borderId="56" xfId="0" applyFont="1" applyFill="1" applyBorder="1" applyAlignment="1">
      <alignment horizontal="center" vertical="center"/>
    </xf>
    <xf numFmtId="0" fontId="5" fillId="0" borderId="62" xfId="0" applyFont="1" applyFill="1" applyBorder="1" applyAlignment="1">
      <alignment horizontal="center" vertical="center" wrapText="1"/>
    </xf>
    <xf numFmtId="0" fontId="5" fillId="0" borderId="8" xfId="0" applyFont="1" applyFill="1" applyBorder="1" applyAlignment="1">
      <alignment horizontal="distributed" vertical="center"/>
    </xf>
    <xf numFmtId="0" fontId="5" fillId="0" borderId="1" xfId="0" applyFont="1" applyFill="1" applyBorder="1" applyAlignment="1">
      <alignment horizontal="distributed" vertical="center"/>
    </xf>
    <xf numFmtId="0" fontId="5" fillId="0" borderId="19" xfId="0" applyFont="1" applyFill="1" applyBorder="1" applyAlignment="1">
      <alignment horizontal="center" vertical="center" wrapText="1"/>
    </xf>
    <xf numFmtId="0" fontId="0" fillId="0" borderId="46" xfId="0" applyFont="1" applyFill="1" applyBorder="1" applyAlignment="1">
      <alignment horizontal="center" vertical="center" wrapText="1"/>
    </xf>
    <xf numFmtId="0" fontId="0" fillId="0" borderId="47" xfId="0" applyFont="1" applyFill="1" applyBorder="1" applyAlignment="1">
      <alignment horizontal="center" vertical="center" wrapText="1"/>
    </xf>
    <xf numFmtId="0" fontId="7" fillId="0" borderId="69" xfId="0" applyFont="1" applyFill="1" applyBorder="1" applyAlignment="1">
      <alignment horizontal="distributed" vertical="center" wrapText="1"/>
    </xf>
    <xf numFmtId="0" fontId="0" fillId="0" borderId="32" xfId="0" applyFont="1" applyFill="1" applyBorder="1" applyAlignment="1">
      <alignment horizontal="distributed" vertical="center" wrapText="1"/>
    </xf>
    <xf numFmtId="0" fontId="7" fillId="0" borderId="69" xfId="0" applyFont="1" applyFill="1" applyBorder="1" applyAlignment="1">
      <alignment horizontal="distributed" vertical="center"/>
    </xf>
    <xf numFmtId="0" fontId="0" fillId="0" borderId="32" xfId="0" applyFont="1" applyFill="1" applyBorder="1" applyAlignment="1">
      <alignment horizontal="distributed" vertical="center"/>
    </xf>
    <xf numFmtId="0" fontId="7" fillId="0" borderId="16" xfId="0" applyFont="1" applyFill="1" applyBorder="1" applyAlignment="1">
      <alignment horizontal="distributed" vertical="center" wrapText="1"/>
    </xf>
    <xf numFmtId="0" fontId="0" fillId="0" borderId="46" xfId="0" applyFont="1" applyFill="1" applyBorder="1" applyAlignment="1">
      <alignment horizontal="distributed" vertical="center" wrapText="1"/>
    </xf>
    <xf numFmtId="0" fontId="0" fillId="0" borderId="10" xfId="0" applyFont="1" applyFill="1" applyBorder="1" applyAlignment="1">
      <alignment horizontal="center" vertical="center" textRotation="255" wrapText="1"/>
    </xf>
    <xf numFmtId="0" fontId="5" fillId="0" borderId="10" xfId="0" applyFont="1" applyFill="1" applyBorder="1" applyAlignment="1">
      <alignment horizontal="center" vertical="center" textRotation="255"/>
    </xf>
    <xf numFmtId="0" fontId="5" fillId="0" borderId="8" xfId="0" applyFont="1" applyFill="1" applyBorder="1" applyAlignment="1">
      <alignment horizontal="center" vertical="center" textRotation="255"/>
    </xf>
    <xf numFmtId="0" fontId="5" fillId="0" borderId="15" xfId="0" applyFont="1" applyFill="1" applyBorder="1" applyAlignment="1">
      <alignment horizontal="center" vertical="center" textRotation="255" wrapText="1"/>
    </xf>
    <xf numFmtId="0" fontId="5" fillId="0" borderId="20" xfId="0" applyFont="1" applyFill="1" applyBorder="1" applyAlignment="1">
      <alignment horizontal="center" vertical="center" textRotation="255" wrapText="1"/>
    </xf>
    <xf numFmtId="0" fontId="5" fillId="0" borderId="36" xfId="0" applyFont="1" applyFill="1" applyBorder="1" applyAlignment="1">
      <alignment horizontal="center" vertical="center" textRotation="255" wrapText="1"/>
    </xf>
    <xf numFmtId="0" fontId="0" fillId="0" borderId="0" xfId="0" applyFont="1" applyFill="1" applyAlignment="1">
      <alignment horizontal="center" vertical="center" wrapText="1"/>
    </xf>
    <xf numFmtId="0" fontId="5" fillId="0" borderId="8"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19" xfId="0" applyFont="1" applyFill="1" applyBorder="1" applyAlignment="1">
      <alignment horizontal="center" vertical="center" wrapText="1"/>
    </xf>
    <xf numFmtId="0" fontId="0" fillId="0" borderId="37" xfId="0" applyFont="1" applyFill="1" applyBorder="1" applyAlignment="1">
      <alignment horizontal="center" vertical="center" wrapText="1"/>
    </xf>
    <xf numFmtId="0" fontId="0" fillId="0" borderId="73" xfId="0" applyFont="1" applyFill="1" applyBorder="1" applyAlignment="1">
      <alignment horizontal="center" vertical="center"/>
    </xf>
    <xf numFmtId="0" fontId="0" fillId="0" borderId="76" xfId="0" applyFont="1" applyFill="1" applyBorder="1" applyAlignment="1">
      <alignment horizontal="center" vertical="center"/>
    </xf>
    <xf numFmtId="0" fontId="5" fillId="0" borderId="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5" xfId="0" applyFont="1" applyFill="1" applyBorder="1" applyAlignment="1">
      <alignment horizontal="center" vertical="center"/>
    </xf>
    <xf numFmtId="0" fontId="0" fillId="0" borderId="43" xfId="0" applyFont="1" applyFill="1" applyBorder="1" applyAlignment="1">
      <alignment horizontal="center" vertical="center"/>
    </xf>
    <xf numFmtId="0" fontId="5" fillId="0" borderId="17" xfId="0" applyFont="1" applyFill="1" applyBorder="1" applyAlignment="1">
      <alignment horizontal="center" vertical="center" wrapText="1"/>
    </xf>
    <xf numFmtId="0" fontId="5" fillId="0" borderId="23" xfId="0" applyFont="1" applyFill="1" applyBorder="1" applyAlignment="1">
      <alignment horizontal="center" vertical="center"/>
    </xf>
    <xf numFmtId="0" fontId="0" fillId="0" borderId="27" xfId="0" applyFont="1" applyFill="1" applyBorder="1" applyAlignment="1">
      <alignment horizontal="center" vertical="center"/>
    </xf>
    <xf numFmtId="0" fontId="5" fillId="0" borderId="1" xfId="0" applyFont="1" applyFill="1" applyBorder="1"/>
    <xf numFmtId="0" fontId="31" fillId="0" borderId="2" xfId="0" applyFont="1" applyFill="1" applyBorder="1" applyAlignment="1">
      <alignment horizontal="right" vertical="top" wrapText="1"/>
    </xf>
    <xf numFmtId="0" fontId="0" fillId="0" borderId="4" xfId="0" applyFont="1" applyFill="1" applyBorder="1" applyAlignment="1">
      <alignment horizontal="right" vertical="top" wrapText="1"/>
    </xf>
    <xf numFmtId="0" fontId="0" fillId="0" borderId="10" xfId="0" applyFont="1" applyFill="1" applyBorder="1" applyAlignment="1">
      <alignment horizontal="right" vertical="top" wrapText="1"/>
    </xf>
    <xf numFmtId="0" fontId="0" fillId="0" borderId="55" xfId="0" applyFont="1" applyFill="1" applyBorder="1" applyAlignment="1">
      <alignment horizontal="right" vertical="top" wrapText="1"/>
    </xf>
    <xf numFmtId="0" fontId="5" fillId="0" borderId="3" xfId="0" applyFont="1" applyFill="1" applyBorder="1" applyAlignment="1">
      <alignment wrapText="1"/>
    </xf>
    <xf numFmtId="0" fontId="5" fillId="0" borderId="4" xfId="0" applyFont="1" applyFill="1" applyBorder="1" applyAlignment="1">
      <alignment wrapText="1"/>
    </xf>
    <xf numFmtId="0" fontId="0" fillId="0" borderId="48" xfId="0" applyFont="1" applyFill="1" applyBorder="1" applyAlignment="1">
      <alignment wrapText="1"/>
    </xf>
    <xf numFmtId="0" fontId="0" fillId="0" borderId="35" xfId="0" applyFont="1" applyFill="1" applyBorder="1" applyAlignment="1">
      <alignment wrapText="1"/>
    </xf>
    <xf numFmtId="0" fontId="0" fillId="0" borderId="50" xfId="0" applyFont="1" applyFill="1" applyBorder="1" applyAlignment="1">
      <alignment wrapText="1"/>
    </xf>
    <xf numFmtId="0" fontId="0" fillId="0" borderId="35" xfId="0" applyFont="1" applyFill="1" applyBorder="1" applyAlignment="1">
      <alignment horizontal="center" vertical="center" wrapText="1"/>
    </xf>
    <xf numFmtId="0" fontId="0" fillId="0" borderId="6" xfId="0" applyFont="1" applyFill="1" applyBorder="1" applyAlignment="1">
      <alignment horizontal="center" vertical="center"/>
    </xf>
    <xf numFmtId="0" fontId="5" fillId="0" borderId="23" xfId="0" applyFont="1" applyFill="1" applyBorder="1" applyAlignment="1">
      <alignment horizontal="center" vertical="center" wrapText="1"/>
    </xf>
    <xf numFmtId="0" fontId="5" fillId="0" borderId="25" xfId="0" applyFont="1" applyFill="1" applyBorder="1" applyAlignment="1">
      <alignment horizontal="center" vertical="center" wrapText="1"/>
    </xf>
    <xf numFmtId="0" fontId="5" fillId="0" borderId="27"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23" fillId="0" borderId="10" xfId="0" applyFont="1" applyFill="1" applyBorder="1" applyAlignment="1">
      <alignment horizontal="center" vertical="center" textRotation="255" wrapText="1"/>
    </xf>
    <xf numFmtId="0" fontId="7" fillId="0" borderId="15" xfId="0" applyFont="1" applyFill="1" applyBorder="1" applyAlignment="1">
      <alignment horizontal="center" vertical="center" textRotation="255" wrapText="1"/>
    </xf>
    <xf numFmtId="0" fontId="7" fillId="0" borderId="2" xfId="0" applyFont="1" applyFill="1" applyBorder="1" applyAlignment="1">
      <alignment vertical="center"/>
    </xf>
    <xf numFmtId="0" fontId="7" fillId="0" borderId="3" xfId="0" applyFont="1" applyFill="1" applyBorder="1" applyAlignment="1">
      <alignment vertical="center"/>
    </xf>
    <xf numFmtId="0" fontId="5" fillId="0" borderId="4" xfId="0" applyFont="1" applyFill="1" applyBorder="1" applyAlignment="1">
      <alignment vertical="center"/>
    </xf>
    <xf numFmtId="0" fontId="5" fillId="0" borderId="8" xfId="0" applyFont="1" applyFill="1" applyBorder="1" applyAlignment="1">
      <alignment vertical="center"/>
    </xf>
    <xf numFmtId="0" fontId="5" fillId="0" borderId="9" xfId="0" applyFont="1" applyFill="1" applyBorder="1" applyAlignment="1">
      <alignment vertical="center"/>
    </xf>
    <xf numFmtId="0" fontId="7" fillId="0" borderId="58" xfId="0" applyFont="1" applyFill="1" applyBorder="1" applyAlignment="1">
      <alignment horizontal="center" vertical="center"/>
    </xf>
    <xf numFmtId="0" fontId="7" fillId="0" borderId="59" xfId="0" applyFont="1" applyFill="1" applyBorder="1" applyAlignment="1">
      <alignment horizontal="center" vertical="center"/>
    </xf>
    <xf numFmtId="0" fontId="7" fillId="0" borderId="44"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17"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5" fillId="0" borderId="3" xfId="0" applyFont="1" applyFill="1" applyBorder="1" applyAlignment="1">
      <alignment horizontal="right" vertical="center"/>
    </xf>
    <xf numFmtId="0" fontId="0" fillId="0" borderId="0" xfId="0" applyFont="1" applyFill="1" applyAlignment="1">
      <alignment vertical="center"/>
    </xf>
    <xf numFmtId="0" fontId="0" fillId="0" borderId="35" xfId="0" applyFont="1" applyFill="1" applyBorder="1" applyAlignment="1">
      <alignment horizontal="right" vertical="center"/>
    </xf>
    <xf numFmtId="0" fontId="0" fillId="0" borderId="3" xfId="0" applyFont="1" applyFill="1" applyBorder="1" applyAlignment="1">
      <alignment horizontal="center" vertical="center"/>
    </xf>
    <xf numFmtId="0" fontId="5" fillId="0" borderId="17" xfId="0" applyFont="1" applyFill="1" applyBorder="1" applyAlignment="1">
      <alignment horizontal="distributed" vertical="center"/>
    </xf>
    <xf numFmtId="0" fontId="5" fillId="0" borderId="23" xfId="0" applyFont="1" applyFill="1" applyBorder="1" applyAlignment="1">
      <alignment horizontal="distributed" vertical="center"/>
    </xf>
    <xf numFmtId="0" fontId="5" fillId="0" borderId="39" xfId="0" applyFont="1" applyFill="1" applyBorder="1" applyAlignment="1">
      <alignment horizontal="distributed" vertical="center"/>
    </xf>
    <xf numFmtId="0" fontId="5" fillId="0" borderId="43" xfId="0" applyFont="1" applyFill="1" applyBorder="1" applyAlignment="1">
      <alignment horizontal="distributed" vertical="center"/>
    </xf>
    <xf numFmtId="0" fontId="16" fillId="0" borderId="4" xfId="0" applyFont="1" applyFill="1" applyBorder="1" applyAlignment="1">
      <alignment horizontal="right" vertical="center"/>
    </xf>
    <xf numFmtId="0" fontId="0" fillId="0" borderId="55" xfId="0" applyFont="1" applyFill="1" applyBorder="1" applyAlignment="1">
      <alignment horizontal="right" vertical="center"/>
    </xf>
    <xf numFmtId="0" fontId="0" fillId="0" borderId="2" xfId="0" applyFont="1" applyFill="1" applyBorder="1" applyAlignment="1">
      <alignment horizontal="center" vertical="center" wrapText="1"/>
    </xf>
    <xf numFmtId="0" fontId="5" fillId="0" borderId="4" xfId="0" applyFont="1" applyFill="1" applyBorder="1" applyAlignment="1">
      <alignment horizontal="right" vertical="center"/>
    </xf>
    <xf numFmtId="0" fontId="0" fillId="0" borderId="50" xfId="0" applyFont="1" applyFill="1" applyBorder="1" applyAlignment="1">
      <alignment horizontal="right" vertical="center"/>
    </xf>
    <xf numFmtId="0" fontId="0" fillId="0" borderId="48" xfId="0" applyFont="1" applyFill="1" applyBorder="1" applyAlignment="1">
      <alignment horizontal="center" vertical="center"/>
    </xf>
    <xf numFmtId="0" fontId="0" fillId="0" borderId="35" xfId="0" applyFont="1" applyFill="1" applyBorder="1" applyAlignment="1">
      <alignment horizontal="center" vertical="center"/>
    </xf>
    <xf numFmtId="0" fontId="0" fillId="0" borderId="2" xfId="0" applyFont="1" applyFill="1" applyBorder="1" applyAlignment="1">
      <alignment horizontal="center" vertical="center" textRotation="255"/>
    </xf>
    <xf numFmtId="0" fontId="0" fillId="0" borderId="19" xfId="0" applyFont="1" applyFill="1" applyBorder="1" applyAlignment="1">
      <alignment vertical="center" textRotation="255"/>
    </xf>
    <xf numFmtId="0" fontId="0" fillId="0" borderId="10" xfId="0" applyFont="1" applyFill="1" applyBorder="1" applyAlignment="1">
      <alignment vertical="center" textRotation="255"/>
    </xf>
    <xf numFmtId="0" fontId="0" fillId="0" borderId="29" xfId="0" applyFont="1" applyFill="1" applyBorder="1" applyAlignment="1">
      <alignment vertical="center" textRotation="255"/>
    </xf>
    <xf numFmtId="0" fontId="0" fillId="0" borderId="8" xfId="0" applyFont="1" applyFill="1" applyBorder="1" applyAlignment="1">
      <alignment vertical="center" textRotation="255"/>
    </xf>
    <xf numFmtId="0" fontId="0" fillId="0" borderId="37" xfId="0" applyFont="1" applyFill="1" applyBorder="1" applyAlignment="1">
      <alignment vertical="center" textRotation="255"/>
    </xf>
    <xf numFmtId="0" fontId="5" fillId="0" borderId="30" xfId="0" applyFont="1" applyFill="1" applyBorder="1" applyAlignment="1">
      <alignment horizontal="center" vertical="center" wrapText="1"/>
    </xf>
    <xf numFmtId="0" fontId="5" fillId="0" borderId="32" xfId="0" applyFont="1" applyFill="1" applyBorder="1" applyAlignment="1">
      <alignment horizontal="center" vertical="center"/>
    </xf>
    <xf numFmtId="0" fontId="5" fillId="0" borderId="69" xfId="0" applyFont="1" applyFill="1" applyBorder="1" applyAlignment="1">
      <alignment horizontal="center" vertical="center" wrapText="1"/>
    </xf>
    <xf numFmtId="0" fontId="5" fillId="0" borderId="31" xfId="0" applyFont="1" applyFill="1" applyBorder="1" applyAlignment="1">
      <alignment horizontal="center" vertical="center"/>
    </xf>
    <xf numFmtId="0" fontId="5" fillId="0" borderId="73" xfId="0" applyFont="1" applyFill="1" applyBorder="1" applyAlignment="1">
      <alignment horizontal="left"/>
    </xf>
    <xf numFmtId="0" fontId="5" fillId="0" borderId="76" xfId="0" applyFont="1" applyFill="1" applyBorder="1" applyAlignment="1">
      <alignment horizontal="left"/>
    </xf>
    <xf numFmtId="0" fontId="5" fillId="0" borderId="75" xfId="0" applyFont="1" applyFill="1" applyBorder="1" applyAlignment="1">
      <alignment horizontal="left"/>
    </xf>
    <xf numFmtId="0" fontId="5" fillId="0" borderId="15" xfId="0" applyFont="1" applyFill="1" applyBorder="1" applyAlignment="1">
      <alignment horizontal="center" wrapText="1"/>
    </xf>
    <xf numFmtId="0" fontId="0" fillId="0" borderId="20" xfId="0" applyFont="1" applyFill="1" applyBorder="1" applyAlignment="1">
      <alignment horizontal="center" wrapText="1"/>
    </xf>
    <xf numFmtId="0" fontId="5" fillId="0" borderId="69" xfId="0" applyFont="1" applyFill="1" applyBorder="1" applyAlignment="1">
      <alignment horizontal="center" wrapText="1"/>
    </xf>
    <xf numFmtId="0" fontId="0" fillId="0" borderId="31" xfId="0" applyFont="1" applyFill="1" applyBorder="1" applyAlignment="1">
      <alignment horizontal="center" wrapText="1"/>
    </xf>
    <xf numFmtId="0" fontId="5" fillId="0" borderId="16" xfId="0" applyFont="1" applyFill="1" applyBorder="1" applyAlignment="1">
      <alignment horizontal="center" wrapText="1"/>
    </xf>
    <xf numFmtId="0" fontId="0" fillId="0" borderId="28" xfId="0" applyFont="1" applyFill="1" applyBorder="1" applyAlignment="1">
      <alignment horizontal="center" wrapText="1"/>
    </xf>
    <xf numFmtId="0" fontId="5" fillId="0" borderId="63" xfId="0" applyFont="1" applyFill="1" applyBorder="1" applyAlignment="1">
      <alignment horizontal="distributed" vertical="center"/>
    </xf>
    <xf numFmtId="0" fontId="5" fillId="0" borderId="64" xfId="0" applyFont="1" applyFill="1" applyBorder="1" applyAlignment="1">
      <alignment horizontal="distributed" vertical="center"/>
    </xf>
    <xf numFmtId="0" fontId="5" fillId="0" borderId="65" xfId="0" applyFont="1" applyFill="1" applyBorder="1" applyAlignment="1">
      <alignment horizontal="distributed" vertical="center"/>
    </xf>
    <xf numFmtId="0" fontId="0" fillId="0" borderId="19" xfId="0" applyFont="1" applyFill="1" applyBorder="1" applyAlignment="1">
      <alignment vertical="center" wrapText="1"/>
    </xf>
    <xf numFmtId="0" fontId="0" fillId="0" borderId="10" xfId="0" applyFont="1" applyFill="1" applyBorder="1" applyAlignment="1">
      <alignment vertical="center" wrapText="1"/>
    </xf>
    <xf numFmtId="0" fontId="0" fillId="0" borderId="29" xfId="0" applyFont="1" applyFill="1" applyBorder="1" applyAlignment="1">
      <alignment vertical="center" wrapText="1"/>
    </xf>
    <xf numFmtId="0" fontId="5" fillId="0" borderId="69" xfId="0" applyFont="1" applyFill="1" applyBorder="1" applyAlignment="1">
      <alignment horizontal="center" vertical="center" shrinkToFit="1"/>
    </xf>
    <xf numFmtId="0" fontId="0" fillId="0" borderId="31" xfId="0" applyFont="1" applyFill="1" applyBorder="1" applyAlignment="1">
      <alignment vertical="center" shrinkToFit="1"/>
    </xf>
    <xf numFmtId="0" fontId="5" fillId="0" borderId="19" xfId="0" applyFont="1" applyFill="1" applyBorder="1" applyAlignment="1">
      <alignment horizontal="distributed" vertical="center"/>
    </xf>
    <xf numFmtId="0" fontId="5" fillId="0" borderId="29" xfId="0" applyFont="1" applyFill="1" applyBorder="1" applyAlignment="1">
      <alignment horizontal="distributed" vertical="center"/>
    </xf>
    <xf numFmtId="0" fontId="5" fillId="0" borderId="37" xfId="0" applyFont="1" applyFill="1" applyBorder="1" applyAlignment="1">
      <alignment horizontal="distributed" vertical="center"/>
    </xf>
    <xf numFmtId="0" fontId="5" fillId="0" borderId="31" xfId="0" applyFont="1" applyFill="1" applyBorder="1" applyAlignment="1">
      <alignment horizontal="distributed" vertical="center"/>
    </xf>
    <xf numFmtId="0" fontId="5" fillId="0" borderId="16" xfId="0" applyFont="1" applyFill="1" applyBorder="1" applyAlignment="1">
      <alignment horizontal="distributed" vertical="center"/>
    </xf>
    <xf numFmtId="0" fontId="5" fillId="0" borderId="28" xfId="0" applyFont="1" applyFill="1" applyBorder="1" applyAlignment="1">
      <alignment horizontal="distributed" vertical="center"/>
    </xf>
    <xf numFmtId="0" fontId="5" fillId="0" borderId="51" xfId="0" applyFont="1" applyFill="1" applyBorder="1" applyAlignment="1">
      <alignment horizontal="distributed" vertical="center"/>
    </xf>
    <xf numFmtId="0" fontId="5" fillId="0" borderId="8" xfId="0" applyFont="1" applyFill="1" applyBorder="1" applyAlignment="1">
      <alignment horizontal="right" vertical="center" wrapText="1"/>
    </xf>
    <xf numFmtId="0" fontId="0" fillId="0" borderId="37" xfId="0" applyFont="1" applyFill="1" applyBorder="1" applyAlignment="1">
      <alignment horizontal="right" vertical="center" wrapText="1"/>
    </xf>
    <xf numFmtId="0" fontId="5" fillId="0" borderId="8" xfId="0" applyFont="1" applyFill="1" applyBorder="1" applyAlignment="1">
      <alignment horizontal="right" vertical="center"/>
    </xf>
    <xf numFmtId="0" fontId="0" fillId="0" borderId="37" xfId="0" applyFont="1" applyFill="1" applyBorder="1" applyAlignment="1">
      <alignment horizontal="right" vertical="center"/>
    </xf>
    <xf numFmtId="0" fontId="5" fillId="0" borderId="10" xfId="0" applyFont="1" applyFill="1" applyBorder="1" applyAlignment="1">
      <alignment horizontal="right" vertical="center" wrapText="1"/>
    </xf>
    <xf numFmtId="0" fontId="0" fillId="0" borderId="7" xfId="0" applyFont="1" applyFill="1" applyBorder="1" applyAlignment="1">
      <alignment horizontal="center" vertical="center"/>
    </xf>
    <xf numFmtId="0" fontId="5" fillId="0" borderId="21" xfId="0" applyFont="1" applyFill="1" applyBorder="1" applyAlignment="1">
      <alignment horizontal="center" vertical="center" shrinkToFit="1"/>
    </xf>
    <xf numFmtId="0" fontId="0" fillId="0" borderId="31" xfId="0" applyFont="1" applyFill="1" applyBorder="1" applyAlignment="1">
      <alignment horizontal="center" vertical="center" shrinkToFit="1"/>
    </xf>
    <xf numFmtId="0" fontId="5" fillId="0" borderId="0" xfId="0" applyFont="1" applyFill="1" applyAlignment="1">
      <alignment vertical="top"/>
    </xf>
    <xf numFmtId="0" fontId="16" fillId="0" borderId="56" xfId="0" applyFont="1" applyFill="1" applyBorder="1" applyAlignment="1">
      <alignment horizontal="center" vertical="center" textRotation="255"/>
    </xf>
    <xf numFmtId="0" fontId="7" fillId="0" borderId="56" xfId="0" applyFont="1" applyFill="1" applyBorder="1" applyAlignment="1">
      <alignment horizontal="center" vertical="center" textRotation="255"/>
    </xf>
    <xf numFmtId="0" fontId="5" fillId="0" borderId="73" xfId="0" applyFont="1" applyFill="1" applyBorder="1" applyAlignment="1">
      <alignment vertical="center"/>
    </xf>
    <xf numFmtId="0" fontId="5" fillId="0" borderId="76" xfId="0" applyFont="1" applyFill="1" applyBorder="1" applyAlignment="1">
      <alignment vertical="center"/>
    </xf>
    <xf numFmtId="0" fontId="5" fillId="0" borderId="75" xfId="0" applyFont="1" applyFill="1" applyBorder="1" applyAlignment="1">
      <alignment vertical="center"/>
    </xf>
    <xf numFmtId="0" fontId="0" fillId="0" borderId="0" xfId="0" applyFont="1" applyFill="1" applyAlignment="1">
      <alignment vertical="top" wrapText="1"/>
    </xf>
    <xf numFmtId="0" fontId="5" fillId="0" borderId="0" xfId="0" applyFont="1" applyFill="1" applyAlignment="1">
      <alignment vertical="top" wrapText="1"/>
    </xf>
    <xf numFmtId="0" fontId="5" fillId="0" borderId="30" xfId="0" applyFont="1" applyBorder="1" applyAlignment="1">
      <alignment horizontal="center" vertical="center"/>
    </xf>
    <xf numFmtId="0" fontId="5" fillId="0" borderId="32" xfId="0" applyFont="1" applyBorder="1" applyAlignment="1">
      <alignment horizontal="center" vertical="center"/>
    </xf>
    <xf numFmtId="0" fontId="5" fillId="0" borderId="56" xfId="0" applyFont="1" applyBorder="1" applyAlignment="1">
      <alignment horizontal="center" vertical="center"/>
    </xf>
    <xf numFmtId="0" fontId="5" fillId="0" borderId="5" xfId="0" applyFont="1" applyFill="1" applyBorder="1" applyAlignment="1">
      <alignment horizontal="center" vertical="center" shrinkToFit="1"/>
    </xf>
    <xf numFmtId="0" fontId="5" fillId="0" borderId="11" xfId="0" applyFont="1" applyFill="1" applyBorder="1" applyAlignment="1">
      <alignment horizontal="center" vertical="center" shrinkToFit="1"/>
    </xf>
    <xf numFmtId="0" fontId="5" fillId="0" borderId="16" xfId="0" applyFont="1" applyFill="1" applyBorder="1" applyAlignment="1">
      <alignment horizontal="center" vertical="center" shrinkToFit="1"/>
    </xf>
    <xf numFmtId="0" fontId="5" fillId="0" borderId="51" xfId="0" applyFont="1" applyFill="1" applyBorder="1" applyAlignment="1">
      <alignment horizontal="center" vertical="center" shrinkToFit="1"/>
    </xf>
    <xf numFmtId="0" fontId="0" fillId="0" borderId="10" xfId="0" applyFont="1" applyFill="1" applyBorder="1" applyAlignment="1">
      <alignment horizontal="center" vertical="center" wrapText="1"/>
    </xf>
    <xf numFmtId="0" fontId="0" fillId="0" borderId="9" xfId="0" applyFont="1" applyFill="1" applyBorder="1" applyAlignment="1">
      <alignment vertical="center" wrapText="1"/>
    </xf>
    <xf numFmtId="0" fontId="16" fillId="0" borderId="22" xfId="0" applyFont="1" applyFill="1" applyBorder="1" applyAlignment="1">
      <alignment horizontal="distributed" vertical="center" wrapText="1"/>
    </xf>
    <xf numFmtId="183" fontId="5" fillId="0" borderId="57" xfId="0" applyNumberFormat="1" applyFont="1" applyFill="1" applyBorder="1" applyAlignment="1">
      <alignment vertical="center"/>
    </xf>
    <xf numFmtId="183" fontId="5" fillId="0" borderId="49" xfId="0" applyNumberFormat="1" applyFont="1" applyFill="1" applyBorder="1"/>
    <xf numFmtId="0" fontId="16" fillId="0" borderId="21" xfId="0" applyFont="1" applyFill="1" applyBorder="1" applyAlignment="1">
      <alignment horizontal="distributed" vertical="center" wrapText="1"/>
    </xf>
    <xf numFmtId="183" fontId="5" fillId="0" borderId="54" xfId="0" applyNumberFormat="1" applyFont="1" applyFill="1" applyBorder="1" applyAlignment="1">
      <alignment vertical="center"/>
    </xf>
    <xf numFmtId="183" fontId="5" fillId="0" borderId="34" xfId="0" applyNumberFormat="1" applyFont="1" applyFill="1" applyBorder="1"/>
    <xf numFmtId="183" fontId="5" fillId="0" borderId="39" xfId="0" applyNumberFormat="1" applyFont="1" applyFill="1" applyBorder="1" applyAlignment="1">
      <alignment vertical="center"/>
    </xf>
    <xf numFmtId="183" fontId="0" fillId="0" borderId="43" xfId="0" applyNumberFormat="1" applyFont="1" applyFill="1" applyBorder="1"/>
    <xf numFmtId="0" fontId="16" fillId="0" borderId="17" xfId="0" applyFont="1" applyFill="1" applyBorder="1" applyAlignment="1">
      <alignment horizontal="distributed" vertical="center" wrapText="1"/>
    </xf>
    <xf numFmtId="183" fontId="5" fillId="0" borderId="58" xfId="0" applyNumberFormat="1" applyFont="1" applyFill="1" applyBorder="1" applyAlignment="1">
      <alignment vertical="center"/>
    </xf>
    <xf numFmtId="183" fontId="5" fillId="0" borderId="18" xfId="0" applyNumberFormat="1" applyFont="1" applyFill="1" applyBorder="1"/>
    <xf numFmtId="0" fontId="0" fillId="0" borderId="33" xfId="0" applyFont="1" applyFill="1" applyBorder="1" applyAlignment="1">
      <alignment horizontal="center" vertical="center" wrapText="1"/>
    </xf>
    <xf numFmtId="0" fontId="0" fillId="0" borderId="12" xfId="0" applyFont="1" applyFill="1" applyBorder="1" applyAlignment="1">
      <alignment vertical="center" wrapText="1"/>
    </xf>
    <xf numFmtId="0" fontId="0" fillId="0" borderId="37" xfId="0" applyFont="1" applyFill="1" applyBorder="1" applyAlignment="1">
      <alignment vertical="center" wrapText="1"/>
    </xf>
    <xf numFmtId="183" fontId="5" fillId="0" borderId="61" xfId="0" applyNumberFormat="1" applyFont="1" applyFill="1" applyBorder="1" applyAlignment="1">
      <alignment vertical="center"/>
    </xf>
    <xf numFmtId="183" fontId="5" fillId="0" borderId="24" xfId="0" applyNumberFormat="1" applyFont="1" applyFill="1" applyBorder="1"/>
    <xf numFmtId="183" fontId="5" fillId="0" borderId="23" xfId="0" applyNumberFormat="1" applyFont="1" applyFill="1" applyBorder="1" applyAlignment="1">
      <alignment vertical="center"/>
    </xf>
    <xf numFmtId="183" fontId="0" fillId="0" borderId="27" xfId="0" applyNumberFormat="1" applyFont="1" applyFill="1" applyBorder="1"/>
    <xf numFmtId="0" fontId="0" fillId="0" borderId="47" xfId="0" applyFont="1" applyFill="1" applyBorder="1" applyAlignment="1">
      <alignment vertical="center" wrapText="1"/>
    </xf>
    <xf numFmtId="0" fontId="0" fillId="0" borderId="33" xfId="0" applyFont="1" applyFill="1" applyBorder="1" applyAlignment="1">
      <alignment horizontal="center" vertical="center" wrapText="1" shrinkToFit="1"/>
    </xf>
    <xf numFmtId="0" fontId="0" fillId="0" borderId="10" xfId="0" applyFont="1" applyFill="1" applyBorder="1" applyAlignment="1">
      <alignment horizontal="center" vertical="center" wrapText="1" shrinkToFit="1"/>
    </xf>
    <xf numFmtId="0" fontId="0" fillId="0" borderId="48" xfId="0" applyFont="1" applyFill="1" applyBorder="1" applyAlignment="1">
      <alignment horizontal="center" vertical="center" wrapText="1" shrinkToFit="1"/>
    </xf>
    <xf numFmtId="0" fontId="5" fillId="0" borderId="60" xfId="0" applyFont="1" applyFill="1" applyBorder="1" applyAlignment="1">
      <alignment horizontal="center" vertical="center"/>
    </xf>
    <xf numFmtId="0" fontId="5" fillId="0" borderId="7" xfId="0" applyFont="1" applyFill="1" applyBorder="1"/>
    <xf numFmtId="0" fontId="5" fillId="0" borderId="14" xfId="0" applyFont="1" applyFill="1" applyBorder="1"/>
    <xf numFmtId="0" fontId="13" fillId="0" borderId="8" xfId="0" applyFont="1" applyFill="1" applyBorder="1" applyAlignment="1">
      <alignment vertical="center"/>
    </xf>
    <xf numFmtId="0" fontId="16" fillId="0" borderId="16" xfId="0" applyFont="1" applyFill="1" applyBorder="1" applyAlignment="1">
      <alignment horizontal="distributed" vertical="center" wrapText="1"/>
    </xf>
    <xf numFmtId="0" fontId="5" fillId="0" borderId="25" xfId="0" applyFont="1" applyFill="1" applyBorder="1" applyAlignment="1">
      <alignment vertical="center" wrapText="1"/>
    </xf>
    <xf numFmtId="0" fontId="5" fillId="0" borderId="39" xfId="0" applyFont="1" applyFill="1" applyBorder="1" applyAlignment="1">
      <alignment horizontal="center" vertical="center" wrapText="1"/>
    </xf>
    <xf numFmtId="0" fontId="5" fillId="0" borderId="41" xfId="0" applyFont="1" applyFill="1" applyBorder="1" applyAlignment="1">
      <alignment vertical="center" wrapText="1"/>
    </xf>
    <xf numFmtId="0" fontId="0" fillId="0" borderId="43" xfId="0" applyFont="1" applyFill="1" applyBorder="1" applyAlignment="1">
      <alignment vertical="center" wrapText="1"/>
    </xf>
    <xf numFmtId="0" fontId="5" fillId="0" borderId="0" xfId="0" applyFont="1" applyFill="1" applyAlignment="1">
      <alignment horizontal="right"/>
    </xf>
    <xf numFmtId="0" fontId="13" fillId="0" borderId="2" xfId="0" applyFont="1" applyFill="1" applyBorder="1" applyAlignment="1">
      <alignment horizontal="right" vertical="center"/>
    </xf>
    <xf numFmtId="0" fontId="0" fillId="0" borderId="3" xfId="0" applyFont="1" applyFill="1" applyBorder="1" applyAlignment="1">
      <alignment horizontal="right" vertical="center"/>
    </xf>
    <xf numFmtId="0" fontId="5" fillId="0" borderId="6" xfId="0" applyFont="1" applyFill="1" applyBorder="1" applyAlignment="1">
      <alignment vertical="center" wrapText="1"/>
    </xf>
    <xf numFmtId="0" fontId="5" fillId="0" borderId="33" xfId="0" applyFont="1" applyFill="1" applyBorder="1" applyAlignment="1">
      <alignment horizontal="center" vertical="center" wrapText="1"/>
    </xf>
    <xf numFmtId="0" fontId="5" fillId="0" borderId="38" xfId="0" applyFont="1" applyFill="1" applyBorder="1" applyAlignment="1">
      <alignment horizontal="center" vertical="center" shrinkToFit="1"/>
    </xf>
    <xf numFmtId="0" fontId="5" fillId="0" borderId="27" xfId="0" applyFont="1" applyFill="1" applyBorder="1" applyAlignment="1">
      <alignment vertical="center" wrapText="1"/>
    </xf>
    <xf numFmtId="0" fontId="5" fillId="0" borderId="15" xfId="0" applyFont="1" applyFill="1" applyBorder="1" applyAlignment="1">
      <alignment horizontal="center" vertical="center" shrinkToFit="1"/>
    </xf>
    <xf numFmtId="0" fontId="5" fillId="0" borderId="36" xfId="0" applyFont="1" applyFill="1" applyBorder="1" applyAlignment="1">
      <alignment horizontal="center" vertical="center" shrinkToFit="1"/>
    </xf>
    <xf numFmtId="0" fontId="40" fillId="0" borderId="64" xfId="0" applyFont="1" applyFill="1" applyBorder="1" applyAlignment="1">
      <alignment wrapText="1"/>
    </xf>
    <xf numFmtId="0" fontId="0" fillId="0" borderId="65" xfId="0" applyFont="1" applyFill="1" applyBorder="1" applyAlignment="1">
      <alignment wrapText="1"/>
    </xf>
    <xf numFmtId="0" fontId="0" fillId="0" borderId="36" xfId="0" applyFont="1" applyFill="1" applyBorder="1" applyAlignment="1">
      <alignment horizontal="distributed" vertical="center" wrapText="1"/>
    </xf>
    <xf numFmtId="0" fontId="0" fillId="0" borderId="38" xfId="0" applyFont="1" applyFill="1" applyBorder="1" applyAlignment="1">
      <alignment horizontal="distributed" vertical="center" wrapText="1"/>
    </xf>
    <xf numFmtId="0" fontId="0" fillId="0" borderId="1" xfId="0" applyFont="1" applyFill="1" applyBorder="1"/>
    <xf numFmtId="0" fontId="5" fillId="0" borderId="2" xfId="0" applyFont="1" applyFill="1" applyBorder="1" applyAlignment="1">
      <alignment horizontal="distributed" vertical="center"/>
    </xf>
    <xf numFmtId="0" fontId="5" fillId="0" borderId="3" xfId="0" applyFont="1" applyFill="1" applyBorder="1" applyAlignment="1">
      <alignment horizontal="distributed" vertical="center"/>
    </xf>
    <xf numFmtId="0" fontId="0" fillId="0" borderId="4" xfId="0" applyFont="1" applyFill="1" applyBorder="1" applyAlignment="1">
      <alignment horizontal="distributed" vertical="center"/>
    </xf>
    <xf numFmtId="0" fontId="5" fillId="0" borderId="48" xfId="0" applyFont="1" applyFill="1" applyBorder="1" applyAlignment="1">
      <alignment horizontal="distributed" vertical="center"/>
    </xf>
    <xf numFmtId="0" fontId="0" fillId="0" borderId="50" xfId="0" applyFont="1" applyFill="1" applyBorder="1" applyAlignment="1">
      <alignment horizontal="distributed" vertical="center"/>
    </xf>
    <xf numFmtId="0" fontId="5" fillId="0" borderId="17" xfId="0" applyFont="1" applyFill="1" applyBorder="1" applyAlignment="1">
      <alignment horizontal="center"/>
    </xf>
    <xf numFmtId="0" fontId="5" fillId="0" borderId="6" xfId="0" applyFont="1" applyFill="1" applyBorder="1" applyAlignment="1">
      <alignment horizontal="center"/>
    </xf>
    <xf numFmtId="0" fontId="0" fillId="0" borderId="7" xfId="0" applyFont="1" applyFill="1" applyBorder="1"/>
    <xf numFmtId="0" fontId="0" fillId="0" borderId="48" xfId="0" applyFont="1" applyFill="1" applyBorder="1" applyAlignment="1">
      <alignment horizontal="distributed" vertical="center"/>
    </xf>
    <xf numFmtId="0" fontId="7" fillId="0" borderId="48" xfId="0" applyFont="1" applyFill="1" applyBorder="1" applyAlignment="1">
      <alignment horizontal="distributed" vertical="center"/>
    </xf>
    <xf numFmtId="0" fontId="7" fillId="0" borderId="35" xfId="0" applyFont="1" applyFill="1" applyBorder="1" applyAlignment="1">
      <alignment horizontal="distributed" vertical="center"/>
    </xf>
    <xf numFmtId="0" fontId="0" fillId="0" borderId="50" xfId="0" applyFont="1" applyFill="1" applyBorder="1"/>
    <xf numFmtId="0" fontId="0" fillId="0" borderId="2" xfId="0" applyFont="1" applyFill="1" applyBorder="1" applyAlignment="1">
      <alignment vertical="top" wrapText="1"/>
    </xf>
    <xf numFmtId="0" fontId="5" fillId="0" borderId="3" xfId="0" applyFont="1" applyFill="1" applyBorder="1" applyAlignment="1">
      <alignment vertical="top"/>
    </xf>
    <xf numFmtId="0" fontId="5" fillId="0" borderId="4" xfId="0" applyFont="1" applyFill="1" applyBorder="1" applyAlignment="1">
      <alignment vertical="top"/>
    </xf>
    <xf numFmtId="0" fontId="0" fillId="0" borderId="8" xfId="0" applyFont="1" applyFill="1" applyBorder="1" applyAlignment="1">
      <alignment vertical="top"/>
    </xf>
    <xf numFmtId="0" fontId="0" fillId="0" borderId="1" xfId="0" applyFont="1" applyFill="1" applyBorder="1" applyAlignment="1">
      <alignment vertical="top"/>
    </xf>
    <xf numFmtId="0" fontId="0" fillId="0" borderId="9" xfId="0" applyFont="1" applyFill="1" applyBorder="1" applyAlignment="1">
      <alignment vertical="top"/>
    </xf>
    <xf numFmtId="0" fontId="5" fillId="0" borderId="65" xfId="0" applyFont="1" applyFill="1" applyBorder="1" applyAlignment="1">
      <alignment vertical="center"/>
    </xf>
    <xf numFmtId="0" fontId="5" fillId="0" borderId="56" xfId="0" applyFont="1" applyFill="1" applyBorder="1" applyAlignment="1">
      <alignment horizontal="center" vertical="center" textRotation="255"/>
    </xf>
    <xf numFmtId="0" fontId="0" fillId="0" borderId="5" xfId="0" applyFont="1" applyFill="1" applyBorder="1" applyAlignment="1">
      <alignment horizontal="center" vertical="center" shrinkToFit="1"/>
    </xf>
    <xf numFmtId="0" fontId="0" fillId="0" borderId="16" xfId="0" applyFont="1" applyFill="1" applyBorder="1" applyAlignment="1">
      <alignment horizontal="center" vertical="center" shrinkToFit="1"/>
    </xf>
    <xf numFmtId="0" fontId="5" fillId="0" borderId="8" xfId="0" applyFont="1" applyFill="1" applyBorder="1"/>
    <xf numFmtId="0" fontId="0" fillId="0" borderId="69" xfId="0" applyFont="1" applyFill="1" applyBorder="1" applyAlignment="1">
      <alignment horizontal="center" vertical="center" shrinkToFit="1"/>
    </xf>
    <xf numFmtId="0" fontId="0" fillId="0" borderId="3" xfId="0" applyFont="1" applyFill="1" applyBorder="1" applyAlignment="1">
      <alignment horizontal="center" vertical="center" shrinkToFit="1"/>
    </xf>
    <xf numFmtId="0" fontId="5" fillId="0" borderId="1" xfId="0" applyFont="1" applyFill="1" applyBorder="1" applyAlignment="1">
      <alignment horizontal="center" vertical="center" shrinkToFit="1"/>
    </xf>
    <xf numFmtId="0" fontId="5" fillId="0" borderId="2" xfId="0" applyFont="1" applyFill="1" applyBorder="1" applyAlignment="1">
      <alignment horizontal="right"/>
    </xf>
    <xf numFmtId="0" fontId="0" fillId="0" borderId="3" xfId="0" applyFont="1" applyFill="1" applyBorder="1" applyAlignment="1">
      <alignment horizontal="right"/>
    </xf>
    <xf numFmtId="0" fontId="0" fillId="0" borderId="43" xfId="0" applyFont="1" applyFill="1" applyBorder="1" applyAlignment="1">
      <alignment horizontal="center" vertical="center" wrapText="1"/>
    </xf>
    <xf numFmtId="0" fontId="0" fillId="0" borderId="20" xfId="0" applyFont="1" applyFill="1" applyBorder="1" applyAlignment="1">
      <alignment horizontal="center" vertical="center"/>
    </xf>
    <xf numFmtId="0" fontId="0" fillId="0" borderId="36" xfId="0" applyFont="1" applyFill="1" applyBorder="1" applyAlignment="1">
      <alignment horizontal="center" vertical="center"/>
    </xf>
    <xf numFmtId="0" fontId="0" fillId="0" borderId="15" xfId="0" applyFont="1" applyFill="1" applyBorder="1" applyAlignment="1">
      <alignment horizontal="center" vertical="center" wrapText="1"/>
    </xf>
    <xf numFmtId="0" fontId="0" fillId="0" borderId="57" xfId="0" applyFont="1" applyFill="1" applyBorder="1" applyAlignment="1">
      <alignment horizontal="center" vertical="center"/>
    </xf>
    <xf numFmtId="0" fontId="0" fillId="0" borderId="57" xfId="0" applyFont="1" applyFill="1" applyBorder="1" applyAlignment="1">
      <alignment horizontal="center" vertical="center" wrapText="1"/>
    </xf>
    <xf numFmtId="0" fontId="5" fillId="0" borderId="20" xfId="0" applyFont="1" applyFill="1" applyBorder="1" applyAlignment="1">
      <alignment vertical="center"/>
    </xf>
    <xf numFmtId="0" fontId="5" fillId="0" borderId="31" xfId="0" applyFont="1" applyFill="1" applyBorder="1" applyAlignment="1">
      <alignment vertical="center"/>
    </xf>
    <xf numFmtId="0" fontId="5" fillId="0" borderId="31" xfId="0" applyFont="1" applyFill="1" applyBorder="1" applyAlignment="1">
      <alignment vertical="center" wrapText="1"/>
    </xf>
    <xf numFmtId="0" fontId="5" fillId="0" borderId="60" xfId="0" applyFont="1" applyFill="1" applyBorder="1" applyAlignment="1">
      <alignment vertical="center"/>
    </xf>
    <xf numFmtId="0" fontId="5" fillId="0" borderId="64" xfId="0" applyFont="1" applyFill="1" applyBorder="1" applyAlignment="1">
      <alignment vertical="center"/>
    </xf>
    <xf numFmtId="0" fontId="5" fillId="0" borderId="2" xfId="0" applyFont="1" applyFill="1" applyBorder="1" applyAlignment="1">
      <alignment horizontal="center"/>
    </xf>
    <xf numFmtId="0" fontId="0" fillId="0" borderId="4" xfId="0" applyFont="1" applyFill="1" applyBorder="1" applyAlignment="1">
      <alignment horizontal="center"/>
    </xf>
    <xf numFmtId="0" fontId="5" fillId="0" borderId="25" xfId="0" applyFont="1" applyFill="1" applyBorder="1" applyAlignment="1">
      <alignment horizontal="distributed" vertical="center"/>
    </xf>
    <xf numFmtId="0" fontId="7" fillId="0" borderId="23" xfId="0" applyFont="1" applyFill="1" applyBorder="1" applyAlignment="1">
      <alignment horizontal="distributed" vertical="center"/>
    </xf>
    <xf numFmtId="0" fontId="7" fillId="0" borderId="25" xfId="0" applyFont="1" applyFill="1" applyBorder="1" applyAlignment="1">
      <alignment horizontal="distributed" vertical="center"/>
    </xf>
    <xf numFmtId="0" fontId="5" fillId="0" borderId="64" xfId="0" applyFont="1" applyFill="1" applyBorder="1" applyAlignment="1">
      <alignment horizontal="center" vertical="center"/>
    </xf>
    <xf numFmtId="0" fontId="5" fillId="0" borderId="65" xfId="0" applyFont="1" applyFill="1" applyBorder="1" applyAlignment="1">
      <alignment vertical="center" wrapText="1"/>
    </xf>
    <xf numFmtId="0" fontId="5" fillId="0" borderId="2" xfId="0" applyFont="1" applyFill="1" applyBorder="1" applyAlignment="1">
      <alignment horizontal="right" vertical="top"/>
    </xf>
    <xf numFmtId="0" fontId="5" fillId="0" borderId="3" xfId="0" applyFont="1" applyFill="1" applyBorder="1" applyAlignment="1">
      <alignment horizontal="right" vertical="top"/>
    </xf>
    <xf numFmtId="0" fontId="5" fillId="0" borderId="4" xfId="0" applyFont="1" applyFill="1" applyBorder="1" applyAlignment="1">
      <alignment horizontal="right" vertical="top"/>
    </xf>
    <xf numFmtId="0" fontId="0" fillId="0" borderId="10" xfId="0" applyFont="1" applyFill="1" applyBorder="1" applyAlignment="1">
      <alignment horizontal="right" vertical="top"/>
    </xf>
    <xf numFmtId="0" fontId="0" fillId="0" borderId="0" xfId="0" applyFont="1" applyFill="1" applyAlignment="1">
      <alignment horizontal="right" vertical="top"/>
    </xf>
    <xf numFmtId="0" fontId="0" fillId="0" borderId="55" xfId="0" applyFont="1" applyFill="1" applyBorder="1" applyAlignment="1">
      <alignment horizontal="right" vertical="top"/>
    </xf>
    <xf numFmtId="190" fontId="5" fillId="0" borderId="60" xfId="1" applyNumberFormat="1" applyFont="1" applyFill="1" applyBorder="1" applyAlignment="1">
      <alignment horizontal="right" vertical="center"/>
    </xf>
    <xf numFmtId="190" fontId="5" fillId="0" borderId="11" xfId="1" applyNumberFormat="1" applyFont="1" applyFill="1" applyBorder="1" applyAlignment="1">
      <alignment horizontal="right" vertical="center"/>
    </xf>
    <xf numFmtId="190" fontId="5" fillId="0" borderId="60" xfId="0" applyNumberFormat="1" applyFont="1" applyFill="1" applyBorder="1" applyAlignment="1">
      <alignment horizontal="right" vertical="center"/>
    </xf>
    <xf numFmtId="190" fontId="5" fillId="0" borderId="11" xfId="0" applyNumberFormat="1" applyFont="1" applyFill="1" applyBorder="1" applyAlignment="1">
      <alignment horizontal="right" vertical="center"/>
    </xf>
    <xf numFmtId="190" fontId="5" fillId="0" borderId="28" xfId="1" applyNumberFormat="1" applyFont="1" applyFill="1" applyBorder="1" applyAlignment="1">
      <alignment horizontal="right" vertical="center"/>
    </xf>
    <xf numFmtId="190" fontId="5" fillId="0" borderId="51" xfId="1" applyNumberFormat="1" applyFont="1" applyFill="1" applyBorder="1" applyAlignment="1">
      <alignment horizontal="right" vertical="center"/>
    </xf>
    <xf numFmtId="190" fontId="5" fillId="0" borderId="31" xfId="0" applyNumberFormat="1" applyFont="1" applyFill="1" applyBorder="1" applyAlignment="1">
      <alignment horizontal="right" vertical="center"/>
    </xf>
    <xf numFmtId="190" fontId="5" fillId="0" borderId="38" xfId="0" applyNumberFormat="1" applyFont="1" applyFill="1" applyBorder="1" applyAlignment="1">
      <alignment horizontal="right" vertical="center"/>
    </xf>
    <xf numFmtId="0" fontId="5" fillId="0" borderId="17" xfId="0" applyFont="1" applyFill="1" applyBorder="1" applyAlignment="1">
      <alignment vertical="center" shrinkToFit="1"/>
    </xf>
    <xf numFmtId="0" fontId="0" fillId="0" borderId="7" xfId="0" applyFont="1" applyFill="1" applyBorder="1" applyAlignment="1">
      <alignment vertical="center" shrinkToFit="1"/>
    </xf>
    <xf numFmtId="0" fontId="5" fillId="0" borderId="23" xfId="0" applyFont="1" applyFill="1" applyBorder="1" applyAlignment="1">
      <alignment vertical="center" shrinkToFit="1"/>
    </xf>
    <xf numFmtId="0" fontId="0" fillId="0" borderId="27" xfId="0" applyFont="1" applyFill="1" applyBorder="1" applyAlignment="1">
      <alignment vertical="center" shrinkToFit="1"/>
    </xf>
    <xf numFmtId="190" fontId="5" fillId="0" borderId="28" xfId="0" applyNumberFormat="1" applyFont="1" applyFill="1" applyBorder="1" applyAlignment="1">
      <alignment horizontal="right" vertical="center"/>
    </xf>
    <xf numFmtId="190" fontId="5" fillId="0" borderId="51" xfId="0" applyNumberFormat="1" applyFont="1" applyFill="1" applyBorder="1" applyAlignment="1">
      <alignment horizontal="right" vertical="center"/>
    </xf>
    <xf numFmtId="190" fontId="5" fillId="0" borderId="69" xfId="0" applyNumberFormat="1" applyFont="1" applyFill="1" applyBorder="1" applyAlignment="1">
      <alignment vertical="center"/>
    </xf>
    <xf numFmtId="190" fontId="5" fillId="0" borderId="38" xfId="0" applyNumberFormat="1" applyFont="1" applyFill="1" applyBorder="1" applyAlignment="1">
      <alignment vertical="center"/>
    </xf>
    <xf numFmtId="0" fontId="5" fillId="0" borderId="73" xfId="0" applyFont="1" applyFill="1" applyBorder="1" applyAlignment="1">
      <alignment vertical="center" shrinkToFit="1"/>
    </xf>
    <xf numFmtId="0" fontId="0" fillId="0" borderId="75" xfId="0" applyFont="1" applyFill="1" applyBorder="1" applyAlignment="1">
      <alignment vertical="center" shrinkToFit="1"/>
    </xf>
    <xf numFmtId="0" fontId="0" fillId="0" borderId="9" xfId="0" applyFont="1" applyFill="1" applyBorder="1" applyAlignment="1">
      <alignment horizontal="center" vertical="center" wrapText="1"/>
    </xf>
    <xf numFmtId="190" fontId="5" fillId="0" borderId="0" xfId="0" applyNumberFormat="1" applyFont="1" applyFill="1" applyAlignment="1">
      <alignment horizontal="right" vertical="center"/>
    </xf>
    <xf numFmtId="190" fontId="5" fillId="0" borderId="1" xfId="0" applyNumberFormat="1" applyFont="1" applyFill="1" applyBorder="1" applyAlignment="1">
      <alignment horizontal="right" vertical="center"/>
    </xf>
    <xf numFmtId="190" fontId="5" fillId="0" borderId="69" xfId="0" applyNumberFormat="1" applyFont="1" applyFill="1" applyBorder="1" applyAlignment="1">
      <alignment horizontal="right" vertical="center"/>
    </xf>
    <xf numFmtId="0" fontId="0" fillId="0" borderId="38" xfId="0" applyFont="1" applyFill="1" applyBorder="1" applyAlignment="1">
      <alignment horizontal="right" vertical="center"/>
    </xf>
    <xf numFmtId="0" fontId="5" fillId="0" borderId="33" xfId="0" applyFont="1" applyFill="1" applyBorder="1" applyAlignment="1">
      <alignment vertical="center" shrinkToFit="1"/>
    </xf>
    <xf numFmtId="0" fontId="0" fillId="0" borderId="4" xfId="0" applyFont="1" applyFill="1" applyBorder="1" applyAlignment="1">
      <alignment horizontal="right"/>
    </xf>
    <xf numFmtId="190" fontId="5" fillId="0" borderId="69" xfId="1" applyNumberFormat="1" applyFont="1" applyFill="1" applyBorder="1" applyAlignment="1">
      <alignment horizontal="right" vertical="center"/>
    </xf>
    <xf numFmtId="190" fontId="5" fillId="0" borderId="38" xfId="1" applyNumberFormat="1" applyFont="1" applyFill="1" applyBorder="1" applyAlignment="1">
      <alignment horizontal="right" vertical="center"/>
    </xf>
    <xf numFmtId="0" fontId="5" fillId="0" borderId="27" xfId="0" applyFont="1" applyFill="1" applyBorder="1" applyAlignment="1">
      <alignment vertical="center" shrinkToFit="1"/>
    </xf>
    <xf numFmtId="0" fontId="5" fillId="0" borderId="2" xfId="0" applyFont="1" applyFill="1" applyBorder="1" applyAlignment="1">
      <alignment horizontal="right" wrapText="1"/>
    </xf>
    <xf numFmtId="0" fontId="0" fillId="0" borderId="4" xfId="0" applyFont="1" applyFill="1" applyBorder="1" applyAlignment="1">
      <alignment horizontal="right" wrapText="1"/>
    </xf>
    <xf numFmtId="0" fontId="5" fillId="0" borderId="28" xfId="0" applyFont="1" applyFill="1" applyBorder="1" applyAlignment="1">
      <alignment horizontal="center" vertical="center" shrinkToFit="1"/>
    </xf>
    <xf numFmtId="0" fontId="5" fillId="0" borderId="36" xfId="0" applyFont="1" applyFill="1" applyBorder="1" applyAlignment="1">
      <alignment vertical="center"/>
    </xf>
    <xf numFmtId="0" fontId="5" fillId="0" borderId="38" xfId="0" applyFont="1" applyFill="1" applyBorder="1" applyAlignment="1">
      <alignment vertical="center"/>
    </xf>
    <xf numFmtId="0" fontId="5" fillId="0" borderId="11" xfId="0" applyFont="1" applyFill="1" applyBorder="1" applyAlignment="1">
      <alignment vertical="center"/>
    </xf>
    <xf numFmtId="0" fontId="0" fillId="0" borderId="1" xfId="0" applyFont="1" applyFill="1" applyBorder="1" applyAlignment="1">
      <alignment horizontal="right"/>
    </xf>
    <xf numFmtId="0" fontId="0" fillId="0" borderId="7" xfId="0" applyFont="1" applyFill="1" applyBorder="1" applyAlignment="1">
      <alignment horizontal="center"/>
    </xf>
    <xf numFmtId="0" fontId="0" fillId="0" borderId="55" xfId="0" applyFont="1" applyFill="1" applyBorder="1" applyAlignment="1">
      <alignment vertical="center"/>
    </xf>
    <xf numFmtId="0" fontId="5" fillId="0" borderId="49" xfId="0" applyFont="1" applyFill="1" applyBorder="1" applyAlignment="1">
      <alignment horizontal="center" vertical="center" shrinkToFit="1"/>
    </xf>
    <xf numFmtId="0" fontId="5" fillId="0" borderId="32" xfId="0" applyFont="1" applyFill="1" applyBorder="1" applyAlignment="1">
      <alignment horizontal="center" vertical="center" shrinkToFit="1"/>
    </xf>
    <xf numFmtId="183" fontId="5" fillId="0" borderId="23" xfId="0" applyNumberFormat="1" applyFont="1" applyFill="1" applyBorder="1" applyAlignment="1">
      <alignment horizontal="right" vertical="center"/>
    </xf>
    <xf numFmtId="183" fontId="5" fillId="0" borderId="26" xfId="0" applyNumberFormat="1" applyFont="1" applyFill="1" applyBorder="1" applyAlignment="1">
      <alignment horizontal="right" vertical="center"/>
    </xf>
    <xf numFmtId="183" fontId="5" fillId="0" borderId="22" xfId="0" applyNumberFormat="1" applyFont="1" applyFill="1" applyBorder="1" applyAlignment="1">
      <alignment horizontal="right" vertical="center"/>
    </xf>
    <xf numFmtId="183" fontId="5" fillId="0" borderId="25" xfId="0" applyNumberFormat="1" applyFont="1" applyFill="1" applyBorder="1" applyAlignment="1">
      <alignment horizontal="right" vertical="center"/>
    </xf>
    <xf numFmtId="183" fontId="5" fillId="0" borderId="73" xfId="1" applyNumberFormat="1" applyFont="1" applyFill="1" applyBorder="1" applyAlignment="1">
      <alignment vertical="center"/>
    </xf>
    <xf numFmtId="183" fontId="5" fillId="0" borderId="76" xfId="0" applyNumberFormat="1" applyFont="1" applyFill="1" applyBorder="1"/>
    <xf numFmtId="183" fontId="5" fillId="0" borderId="71" xfId="1" applyNumberFormat="1" applyFont="1" applyFill="1" applyBorder="1" applyAlignment="1">
      <alignment vertical="center"/>
    </xf>
    <xf numFmtId="183" fontId="5" fillId="0" borderId="77" xfId="0" applyNumberFormat="1" applyFont="1" applyFill="1" applyBorder="1"/>
    <xf numFmtId="183" fontId="5" fillId="0" borderId="76" xfId="1" applyNumberFormat="1" applyFont="1" applyFill="1" applyBorder="1" applyAlignment="1">
      <alignment vertical="center"/>
    </xf>
    <xf numFmtId="183" fontId="5" fillId="0" borderId="75" xfId="0" applyNumberFormat="1" applyFont="1" applyFill="1" applyBorder="1"/>
    <xf numFmtId="183" fontId="5" fillId="0" borderId="17" xfId="0" applyNumberFormat="1" applyFont="1" applyFill="1" applyBorder="1" applyAlignment="1">
      <alignment horizontal="right" vertical="center"/>
    </xf>
    <xf numFmtId="183" fontId="5" fillId="0" borderId="45" xfId="0" applyNumberFormat="1" applyFont="1" applyFill="1" applyBorder="1" applyAlignment="1">
      <alignment horizontal="right" vertical="center"/>
    </xf>
    <xf numFmtId="183" fontId="5" fillId="0" borderId="44" xfId="0" applyNumberFormat="1" applyFont="1" applyFill="1" applyBorder="1" applyAlignment="1">
      <alignment horizontal="right" vertical="center"/>
    </xf>
    <xf numFmtId="183" fontId="5" fillId="0" borderId="6" xfId="0" applyNumberFormat="1" applyFont="1" applyFill="1" applyBorder="1" applyAlignment="1">
      <alignment horizontal="right" vertical="center"/>
    </xf>
    <xf numFmtId="0" fontId="16" fillId="0" borderId="4" xfId="0" applyFont="1" applyFill="1" applyBorder="1" applyAlignment="1">
      <alignment horizontal="right" vertical="top"/>
    </xf>
    <xf numFmtId="0" fontId="0" fillId="0" borderId="9" xfId="0" applyFont="1" applyFill="1" applyBorder="1" applyAlignment="1">
      <alignment horizontal="right" vertical="top"/>
    </xf>
    <xf numFmtId="0" fontId="5" fillId="0" borderId="19" xfId="0" applyFont="1" applyFill="1" applyBorder="1" applyAlignment="1">
      <alignment wrapText="1"/>
    </xf>
    <xf numFmtId="0" fontId="0" fillId="0" borderId="8" xfId="0" applyFont="1" applyFill="1" applyBorder="1" applyAlignment="1">
      <alignment wrapText="1"/>
    </xf>
    <xf numFmtId="0" fontId="0" fillId="0" borderId="37" xfId="0" applyFont="1" applyFill="1" applyBorder="1" applyAlignment="1">
      <alignment wrapText="1"/>
    </xf>
    <xf numFmtId="0" fontId="0" fillId="0" borderId="51" xfId="0" applyFont="1" applyFill="1" applyBorder="1" applyAlignment="1">
      <alignment wrapText="1"/>
    </xf>
    <xf numFmtId="0" fontId="0" fillId="0" borderId="4" xfId="0" applyFont="1" applyFill="1" applyBorder="1" applyAlignment="1">
      <alignment wrapText="1"/>
    </xf>
    <xf numFmtId="0" fontId="5" fillId="0" borderId="53" xfId="0" applyFont="1" applyFill="1" applyBorder="1" applyAlignment="1">
      <alignment horizontal="center" vertical="center" wrapText="1"/>
    </xf>
    <xf numFmtId="0" fontId="5" fillId="0" borderId="43" xfId="0" applyFont="1" applyFill="1" applyBorder="1" applyAlignment="1">
      <alignment horizontal="center" vertical="center" wrapText="1"/>
    </xf>
    <xf numFmtId="0" fontId="5" fillId="0" borderId="46" xfId="0" applyFont="1" applyFill="1" applyBorder="1" applyAlignment="1">
      <alignment horizontal="center" vertical="center" shrinkToFit="1"/>
    </xf>
    <xf numFmtId="0" fontId="0" fillId="0" borderId="32" xfId="0" applyFont="1" applyFill="1" applyBorder="1" applyAlignment="1">
      <alignment horizontal="center" vertical="center" shrinkToFit="1"/>
    </xf>
    <xf numFmtId="0" fontId="5" fillId="0" borderId="3" xfId="0" applyFont="1" applyFill="1" applyBorder="1" applyAlignment="1">
      <alignment horizontal="center" vertical="center" shrinkToFit="1"/>
    </xf>
    <xf numFmtId="0" fontId="5" fillId="0" borderId="35" xfId="0" applyFont="1" applyFill="1" applyBorder="1" applyAlignment="1">
      <alignment horizontal="center" vertical="center" shrinkToFit="1"/>
    </xf>
    <xf numFmtId="0" fontId="5" fillId="0" borderId="2" xfId="0" applyFont="1" applyFill="1" applyBorder="1" applyAlignment="1">
      <alignment horizontal="center" vertical="center" shrinkToFit="1"/>
    </xf>
    <xf numFmtId="0" fontId="5" fillId="0" borderId="48" xfId="0" applyFont="1" applyFill="1" applyBorder="1" applyAlignment="1">
      <alignment horizontal="center" vertical="center" shrinkToFit="1"/>
    </xf>
    <xf numFmtId="183" fontId="5" fillId="0" borderId="39" xfId="0" applyNumberFormat="1" applyFont="1" applyFill="1" applyBorder="1" applyAlignment="1">
      <alignment horizontal="right" vertical="center"/>
    </xf>
    <xf numFmtId="183" fontId="5" fillId="0" borderId="42" xfId="0" applyNumberFormat="1" applyFont="1" applyFill="1" applyBorder="1" applyAlignment="1">
      <alignment horizontal="right" vertical="center"/>
    </xf>
    <xf numFmtId="183" fontId="5" fillId="0" borderId="53" xfId="0" applyNumberFormat="1" applyFont="1" applyFill="1" applyBorder="1" applyAlignment="1">
      <alignment horizontal="right" vertical="center"/>
    </xf>
    <xf numFmtId="183" fontId="5" fillId="0" borderId="41" xfId="0" applyNumberFormat="1" applyFont="1" applyFill="1" applyBorder="1" applyAlignment="1">
      <alignment horizontal="right" vertical="center"/>
    </xf>
    <xf numFmtId="183" fontId="5" fillId="0" borderId="7" xfId="0" applyNumberFormat="1" applyFont="1" applyFill="1" applyBorder="1" applyAlignment="1">
      <alignment horizontal="right" vertical="center"/>
    </xf>
    <xf numFmtId="183" fontId="5" fillId="0" borderId="27" xfId="0" applyNumberFormat="1" applyFont="1" applyFill="1" applyBorder="1" applyAlignment="1">
      <alignment horizontal="right" vertical="center"/>
    </xf>
    <xf numFmtId="183" fontId="5" fillId="0" borderId="43" xfId="0" applyNumberFormat="1" applyFont="1" applyFill="1" applyBorder="1" applyAlignment="1">
      <alignment horizontal="right" vertical="center"/>
    </xf>
    <xf numFmtId="0" fontId="0" fillId="0" borderId="14" xfId="0" applyFont="1" applyFill="1" applyBorder="1" applyAlignment="1">
      <alignment horizontal="center" vertical="center" wrapText="1"/>
    </xf>
    <xf numFmtId="0" fontId="5" fillId="0" borderId="38" xfId="0" applyFont="1" applyFill="1" applyBorder="1" applyAlignment="1">
      <alignment vertical="center" wrapText="1"/>
    </xf>
    <xf numFmtId="0" fontId="5" fillId="0" borderId="36" xfId="0" applyFont="1" applyFill="1" applyBorder="1" applyAlignment="1">
      <alignment vertical="center" wrapText="1"/>
    </xf>
    <xf numFmtId="0" fontId="5" fillId="0" borderId="5" xfId="0" applyFont="1" applyFill="1" applyBorder="1" applyAlignment="1">
      <alignment horizontal="center" vertical="center" wrapText="1"/>
    </xf>
    <xf numFmtId="0" fontId="5" fillId="0" borderId="11" xfId="0" applyFont="1" applyFill="1" applyBorder="1" applyAlignment="1">
      <alignment vertical="center" wrapText="1"/>
    </xf>
    <xf numFmtId="0" fontId="5" fillId="0" borderId="6" xfId="0" applyFont="1" applyFill="1" applyBorder="1" applyAlignment="1">
      <alignment horizontal="center" vertical="center" wrapText="1"/>
    </xf>
    <xf numFmtId="0" fontId="5" fillId="0" borderId="4" xfId="0" applyFont="1" applyFill="1" applyBorder="1" applyAlignment="1">
      <alignment horizontal="right" vertical="center" wrapText="1"/>
    </xf>
    <xf numFmtId="0" fontId="0" fillId="0" borderId="50" xfId="0" applyFont="1" applyFill="1" applyBorder="1" applyAlignment="1">
      <alignment horizontal="right" vertical="center" wrapText="1"/>
    </xf>
    <xf numFmtId="0" fontId="5" fillId="0" borderId="41" xfId="0" applyFont="1" applyFill="1" applyBorder="1" applyAlignment="1">
      <alignment horizontal="distributed" vertical="center"/>
    </xf>
    <xf numFmtId="0" fontId="5" fillId="0" borderId="3" xfId="0" applyFont="1" applyFill="1" applyBorder="1" applyAlignment="1">
      <alignment horizontal="right" vertical="center" wrapText="1"/>
    </xf>
    <xf numFmtId="0" fontId="9" fillId="0" borderId="0" xfId="0" applyFont="1" applyFill="1"/>
    <xf numFmtId="0" fontId="16" fillId="0" borderId="39" xfId="0" applyFont="1" applyFill="1" applyBorder="1" applyAlignment="1">
      <alignment horizontal="center" vertical="center" wrapText="1"/>
    </xf>
    <xf numFmtId="0" fontId="5" fillId="0" borderId="73" xfId="0" applyFont="1" applyFill="1" applyBorder="1" applyAlignment="1">
      <alignment horizontal="center" vertical="center"/>
    </xf>
    <xf numFmtId="0" fontId="16" fillId="0" borderId="17" xfId="0" applyFont="1" applyFill="1" applyBorder="1" applyAlignment="1">
      <alignment vertical="center" wrapText="1"/>
    </xf>
    <xf numFmtId="0" fontId="16" fillId="0" borderId="23" xfId="0" applyFont="1" applyFill="1" applyBorder="1" applyAlignment="1">
      <alignment vertical="center" wrapText="1"/>
    </xf>
    <xf numFmtId="0" fontId="0" fillId="0" borderId="38" xfId="0" applyFont="1" applyFill="1" applyBorder="1" applyAlignment="1">
      <alignment horizontal="center" vertical="center" shrinkToFit="1"/>
    </xf>
    <xf numFmtId="0" fontId="16" fillId="0" borderId="33" xfId="0" applyFont="1" applyFill="1" applyBorder="1" applyAlignment="1">
      <alignment vertical="center" wrapText="1"/>
    </xf>
    <xf numFmtId="0" fontId="16" fillId="0" borderId="17" xfId="0" applyFont="1" applyFill="1" applyBorder="1" applyAlignment="1">
      <alignment horizontal="center" vertical="center" wrapText="1"/>
    </xf>
    <xf numFmtId="0" fontId="16" fillId="0" borderId="23" xfId="0" applyFont="1" applyFill="1" applyBorder="1" applyAlignment="1">
      <alignment horizontal="center" vertical="center" wrapText="1"/>
    </xf>
    <xf numFmtId="0" fontId="16" fillId="0" borderId="33" xfId="0" applyFont="1" applyFill="1" applyBorder="1" applyAlignment="1">
      <alignment horizontal="center" vertical="center" wrapText="1"/>
    </xf>
    <xf numFmtId="0" fontId="16" fillId="0" borderId="48" xfId="0" applyFont="1" applyFill="1" applyBorder="1" applyAlignment="1">
      <alignment horizontal="center" vertical="center" wrapText="1"/>
    </xf>
    <xf numFmtId="0" fontId="9" fillId="0" borderId="2" xfId="0" applyFont="1" applyFill="1" applyBorder="1" applyAlignment="1">
      <alignment horizontal="right" vertical="top" shrinkToFit="1"/>
    </xf>
    <xf numFmtId="0" fontId="0" fillId="0" borderId="4" xfId="0" applyFont="1" applyFill="1" applyBorder="1" applyAlignment="1">
      <alignment horizontal="right" vertical="top" shrinkToFit="1"/>
    </xf>
    <xf numFmtId="0" fontId="0" fillId="0" borderId="0" xfId="0" applyFont="1" applyFill="1" applyAlignment="1">
      <alignment horizontal="left"/>
    </xf>
    <xf numFmtId="0" fontId="5" fillId="0" borderId="54" xfId="0" applyFont="1" applyFill="1" applyBorder="1" applyAlignment="1">
      <alignment horizontal="center"/>
    </xf>
    <xf numFmtId="0" fontId="5" fillId="0" borderId="21" xfId="0" applyFont="1" applyFill="1" applyBorder="1" applyAlignment="1">
      <alignment horizontal="center"/>
    </xf>
    <xf numFmtId="0" fontId="5" fillId="0" borderId="34" xfId="0" applyFont="1" applyFill="1" applyBorder="1" applyAlignment="1">
      <alignment horizontal="center"/>
    </xf>
    <xf numFmtId="0" fontId="5" fillId="0" borderId="61" xfId="0" applyFont="1" applyFill="1" applyBorder="1" applyAlignment="1">
      <alignment horizontal="center"/>
    </xf>
    <xf numFmtId="0" fontId="5" fillId="0" borderId="24" xfId="0" applyFont="1" applyFill="1" applyBorder="1" applyAlignment="1">
      <alignment horizontal="center"/>
    </xf>
    <xf numFmtId="0" fontId="5" fillId="0" borderId="52" xfId="0" applyFont="1" applyFill="1" applyBorder="1" applyAlignment="1">
      <alignment horizontal="center"/>
    </xf>
    <xf numFmtId="0" fontId="5" fillId="0" borderId="40" xfId="0" applyFont="1" applyFill="1" applyBorder="1" applyAlignment="1">
      <alignment horizontal="center"/>
    </xf>
    <xf numFmtId="0" fontId="5" fillId="0" borderId="53" xfId="0" applyFont="1" applyFill="1" applyBorder="1" applyAlignment="1">
      <alignment horizontal="center"/>
    </xf>
    <xf numFmtId="0" fontId="5" fillId="0" borderId="23" xfId="0" applyFont="1" applyFill="1" applyBorder="1" applyAlignment="1">
      <alignment horizontal="center"/>
    </xf>
    <xf numFmtId="0" fontId="5" fillId="0" borderId="27" xfId="0" applyFont="1" applyFill="1" applyBorder="1" applyAlignment="1">
      <alignment horizontal="center"/>
    </xf>
    <xf numFmtId="0" fontId="5" fillId="0" borderId="22" xfId="0" applyFont="1" applyFill="1" applyBorder="1" applyAlignment="1">
      <alignment horizontal="center"/>
    </xf>
    <xf numFmtId="0" fontId="32" fillId="0" borderId="0" xfId="0" applyFont="1" applyFill="1" applyAlignment="1">
      <alignment horizontal="left" vertical="center"/>
    </xf>
    <xf numFmtId="0" fontId="46" fillId="0" borderId="0" xfId="0" applyFont="1" applyFill="1" applyAlignment="1">
      <alignment horizontal="left" vertical="center"/>
    </xf>
    <xf numFmtId="0" fontId="9" fillId="0" borderId="1" xfId="0" applyFont="1" applyFill="1" applyBorder="1" applyAlignment="1">
      <alignment horizontal="left" vertical="center"/>
    </xf>
    <xf numFmtId="0" fontId="9" fillId="0" borderId="0" xfId="0" applyFont="1" applyFill="1" applyAlignment="1">
      <alignment horizontal="left" vertical="center"/>
    </xf>
    <xf numFmtId="0" fontId="0" fillId="0" borderId="81" xfId="0" applyFont="1" applyFill="1" applyBorder="1" applyAlignment="1">
      <alignment vertical="top" wrapText="1"/>
    </xf>
    <xf numFmtId="0" fontId="5" fillId="0" borderId="82" xfId="0" applyFont="1" applyFill="1" applyBorder="1" applyAlignment="1">
      <alignment vertical="top" wrapText="1"/>
    </xf>
    <xf numFmtId="0" fontId="0" fillId="0" borderId="83" xfId="0" applyFont="1" applyFill="1" applyBorder="1" applyAlignment="1">
      <alignment vertical="top" wrapText="1"/>
    </xf>
    <xf numFmtId="0" fontId="0" fillId="0" borderId="84" xfId="0" applyFont="1" applyFill="1" applyBorder="1" applyAlignment="1">
      <alignment vertical="top" wrapText="1"/>
    </xf>
    <xf numFmtId="0" fontId="0" fillId="0" borderId="38" xfId="0" applyFont="1" applyFill="1" applyBorder="1" applyAlignment="1">
      <alignment horizontal="center" vertical="center" wrapText="1"/>
    </xf>
    <xf numFmtId="0" fontId="13" fillId="0" borderId="4" xfId="0" applyFont="1" applyFill="1" applyBorder="1" applyAlignment="1">
      <alignment horizontal="right" vertical="center"/>
    </xf>
    <xf numFmtId="0" fontId="0" fillId="0" borderId="18" xfId="0" applyFont="1" applyFill="1" applyBorder="1" applyAlignment="1">
      <alignment horizontal="center" vertical="center"/>
    </xf>
    <xf numFmtId="0" fontId="5" fillId="0" borderId="40" xfId="0" applyFont="1" applyFill="1" applyBorder="1" applyAlignment="1">
      <alignment horizontal="center" vertical="center"/>
    </xf>
    <xf numFmtId="0" fontId="5" fillId="0" borderId="59" xfId="0" applyFont="1" applyFill="1" applyBorder="1" applyAlignment="1">
      <alignment horizontal="center" vertical="center"/>
    </xf>
    <xf numFmtId="0" fontId="5" fillId="0" borderId="62" xfId="0" applyFont="1" applyFill="1" applyBorder="1" applyAlignment="1">
      <alignment horizontal="center" vertical="center"/>
    </xf>
    <xf numFmtId="0" fontId="0" fillId="0" borderId="75" xfId="0" applyFont="1" applyFill="1" applyBorder="1" applyAlignment="1">
      <alignment horizontal="center" vertical="center"/>
    </xf>
    <xf numFmtId="0" fontId="5" fillId="0" borderId="51" xfId="0" applyFont="1" applyFill="1" applyBorder="1" applyAlignment="1">
      <alignment vertical="center"/>
    </xf>
    <xf numFmtId="0" fontId="5" fillId="0" borderId="60" xfId="0" applyFont="1" applyFill="1" applyBorder="1" applyAlignment="1">
      <alignment horizontal="center" vertical="center" shrinkToFit="1"/>
    </xf>
    <xf numFmtId="0" fontId="5" fillId="0" borderId="11" xfId="0" applyFont="1" applyFill="1" applyBorder="1" applyAlignment="1">
      <alignment vertical="center" shrinkToFit="1"/>
    </xf>
    <xf numFmtId="0" fontId="5" fillId="0" borderId="30" xfId="0" applyFont="1" applyFill="1" applyBorder="1" applyAlignment="1">
      <alignment horizontal="center" vertical="center" wrapText="1" shrinkToFit="1"/>
    </xf>
    <xf numFmtId="0" fontId="5" fillId="0" borderId="31" xfId="0" applyFont="1" applyFill="1" applyBorder="1" applyAlignment="1">
      <alignment horizontal="center" vertical="center" shrinkToFit="1"/>
    </xf>
    <xf numFmtId="0" fontId="9" fillId="0" borderId="1" xfId="0" applyFont="1" applyFill="1" applyBorder="1"/>
    <xf numFmtId="0" fontId="13" fillId="0" borderId="63" xfId="0" applyFont="1" applyFill="1" applyBorder="1" applyAlignment="1">
      <alignment horizontal="right" vertical="center" wrapText="1"/>
    </xf>
    <xf numFmtId="0" fontId="0" fillId="0" borderId="64" xfId="0" applyFont="1" applyFill="1" applyBorder="1" applyAlignment="1">
      <alignment horizontal="right" vertical="center" wrapText="1"/>
    </xf>
    <xf numFmtId="0" fontId="5" fillId="0" borderId="76" xfId="0" applyFont="1" applyFill="1" applyBorder="1" applyAlignment="1">
      <alignment horizontal="center" vertical="center"/>
    </xf>
    <xf numFmtId="0" fontId="25" fillId="0" borderId="18" xfId="0" applyFont="1" applyFill="1" applyBorder="1" applyAlignment="1">
      <alignment horizontal="center" vertical="center"/>
    </xf>
    <xf numFmtId="0" fontId="16" fillId="0" borderId="40" xfId="0" applyFont="1" applyFill="1" applyBorder="1" applyAlignment="1">
      <alignment horizontal="center" vertical="center"/>
    </xf>
    <xf numFmtId="0" fontId="16" fillId="0" borderId="59" xfId="0" applyFont="1" applyFill="1" applyBorder="1" applyAlignment="1">
      <alignment horizontal="center" vertical="center"/>
    </xf>
    <xf numFmtId="0" fontId="16" fillId="0" borderId="62" xfId="0" applyFont="1" applyFill="1" applyBorder="1" applyAlignment="1">
      <alignment horizontal="center" vertical="center"/>
    </xf>
    <xf numFmtId="0" fontId="5" fillId="0" borderId="73" xfId="0" applyFont="1" applyFill="1" applyBorder="1" applyAlignment="1">
      <alignment horizontal="center" vertical="center" wrapText="1"/>
    </xf>
    <xf numFmtId="0" fontId="0" fillId="0" borderId="75" xfId="0" applyFont="1" applyFill="1" applyBorder="1" applyAlignment="1">
      <alignment horizontal="center" vertical="center" wrapText="1"/>
    </xf>
    <xf numFmtId="0" fontId="16" fillId="0" borderId="15" xfId="0" applyFont="1" applyFill="1" applyBorder="1" applyAlignment="1">
      <alignment horizontal="center" vertical="center" shrinkToFit="1"/>
    </xf>
    <xf numFmtId="0" fontId="16" fillId="0" borderId="36" xfId="0" applyFont="1" applyFill="1" applyBorder="1" applyAlignment="1">
      <alignment horizontal="center" vertical="center" shrinkToFit="1"/>
    </xf>
    <xf numFmtId="0" fontId="16" fillId="0" borderId="69" xfId="0" applyFont="1" applyFill="1" applyBorder="1" applyAlignment="1">
      <alignment horizontal="center" vertical="center" shrinkToFit="1"/>
    </xf>
    <xf numFmtId="0" fontId="16" fillId="0" borderId="38" xfId="0" applyFont="1" applyFill="1" applyBorder="1" applyAlignment="1">
      <alignment horizontal="center" vertical="center" shrinkToFit="1"/>
    </xf>
    <xf numFmtId="0" fontId="16" fillId="0" borderId="44" xfId="0" applyFont="1" applyFill="1" applyBorder="1" applyAlignment="1">
      <alignment horizontal="center" vertical="center"/>
    </xf>
    <xf numFmtId="0" fontId="16" fillId="0" borderId="53" xfId="0" applyFont="1" applyFill="1" applyBorder="1" applyAlignment="1">
      <alignment horizontal="center" vertical="center"/>
    </xf>
    <xf numFmtId="0" fontId="32" fillId="0" borderId="0" xfId="0" applyFont="1" applyFill="1"/>
    <xf numFmtId="0" fontId="5" fillId="0" borderId="48" xfId="0" applyFont="1" applyFill="1" applyBorder="1" applyAlignment="1">
      <alignment horizontal="center" vertical="center"/>
    </xf>
    <xf numFmtId="0" fontId="5" fillId="0" borderId="35" xfId="0" applyFont="1" applyFill="1" applyBorder="1" applyAlignment="1">
      <alignment horizontal="center" vertical="center"/>
    </xf>
    <xf numFmtId="176" fontId="5" fillId="0" borderId="23" xfId="0" applyNumberFormat="1" applyFont="1" applyFill="1" applyBorder="1"/>
    <xf numFmtId="176" fontId="5" fillId="0" borderId="27" xfId="0" applyNumberFormat="1" applyFont="1" applyFill="1" applyBorder="1"/>
    <xf numFmtId="0" fontId="9" fillId="0" borderId="44" xfId="0" applyFont="1" applyFill="1" applyBorder="1" applyAlignment="1">
      <alignment horizontal="center" vertical="center" shrinkToFit="1"/>
    </xf>
    <xf numFmtId="0" fontId="9" fillId="0" borderId="53" xfId="0" applyFont="1" applyFill="1" applyBorder="1" applyAlignment="1">
      <alignment horizontal="center" vertical="center" shrinkToFit="1"/>
    </xf>
    <xf numFmtId="176" fontId="5" fillId="0" borderId="39" xfId="0" applyNumberFormat="1" applyFont="1" applyFill="1" applyBorder="1"/>
    <xf numFmtId="176" fontId="5" fillId="0" borderId="43" xfId="0" applyNumberFormat="1" applyFont="1" applyFill="1" applyBorder="1"/>
    <xf numFmtId="176" fontId="5" fillId="0" borderId="17" xfId="0" applyNumberFormat="1" applyFont="1" applyFill="1" applyBorder="1"/>
    <xf numFmtId="176" fontId="5" fillId="0" borderId="7" xfId="0" applyNumberFormat="1" applyFont="1" applyFill="1" applyBorder="1"/>
    <xf numFmtId="176" fontId="5" fillId="0" borderId="23" xfId="0" applyNumberFormat="1" applyFont="1" applyFill="1" applyBorder="1" applyAlignment="1">
      <alignment horizontal="right"/>
    </xf>
    <xf numFmtId="176" fontId="5" fillId="0" borderId="27" xfId="0" applyNumberFormat="1" applyFont="1" applyFill="1" applyBorder="1" applyAlignment="1">
      <alignment horizontal="right"/>
    </xf>
    <xf numFmtId="176" fontId="5" fillId="0" borderId="39" xfId="0" applyNumberFormat="1" applyFont="1" applyFill="1" applyBorder="1" applyAlignment="1">
      <alignment horizontal="right"/>
    </xf>
    <xf numFmtId="176" fontId="5" fillId="0" borderId="43" xfId="0" applyNumberFormat="1" applyFont="1" applyFill="1" applyBorder="1" applyAlignment="1">
      <alignment horizontal="right"/>
    </xf>
    <xf numFmtId="0" fontId="0" fillId="0" borderId="33" xfId="0" applyFont="1" applyFill="1" applyBorder="1" applyAlignment="1">
      <alignment horizontal="center" vertical="center" textRotation="255"/>
    </xf>
    <xf numFmtId="0" fontId="0" fillId="0" borderId="12" xfId="0" applyFont="1" applyFill="1" applyBorder="1" applyAlignment="1">
      <alignment horizontal="center" vertical="center" textRotation="255"/>
    </xf>
    <xf numFmtId="0" fontId="0" fillId="0" borderId="10" xfId="0" applyFont="1" applyFill="1" applyBorder="1" applyAlignment="1">
      <alignment horizontal="center" vertical="center" textRotation="255"/>
    </xf>
    <xf numFmtId="0" fontId="0" fillId="0" borderId="29" xfId="0" applyFont="1" applyFill="1" applyBorder="1" applyAlignment="1">
      <alignment horizontal="center" vertical="center" textRotation="255"/>
    </xf>
    <xf numFmtId="0" fontId="0" fillId="0" borderId="8" xfId="0" applyFont="1" applyFill="1" applyBorder="1" applyAlignment="1">
      <alignment horizontal="center" vertical="center" textRotation="255"/>
    </xf>
    <xf numFmtId="0" fontId="0" fillId="0" borderId="37" xfId="0" applyFont="1" applyFill="1" applyBorder="1" applyAlignment="1">
      <alignment horizontal="center" vertical="center" textRotation="255"/>
    </xf>
    <xf numFmtId="0" fontId="0" fillId="0" borderId="19" xfId="0" applyFont="1" applyFill="1" applyBorder="1" applyAlignment="1">
      <alignment horizontal="center" vertical="center" textRotation="255"/>
    </xf>
    <xf numFmtId="0" fontId="0" fillId="0" borderId="48" xfId="0" applyFont="1" applyFill="1" applyBorder="1" applyAlignment="1">
      <alignment horizontal="center" vertical="center" textRotation="255"/>
    </xf>
    <xf numFmtId="0" fontId="0" fillId="0" borderId="47" xfId="0" applyFont="1" applyFill="1" applyBorder="1" applyAlignment="1">
      <alignment horizontal="center" vertical="center" textRotation="255"/>
    </xf>
    <xf numFmtId="176" fontId="5" fillId="0" borderId="17" xfId="0" applyNumberFormat="1" applyFont="1" applyFill="1" applyBorder="1" applyAlignment="1">
      <alignment horizontal="right"/>
    </xf>
    <xf numFmtId="176" fontId="5" fillId="0" borderId="7" xfId="0" applyNumberFormat="1" applyFont="1" applyFill="1" applyBorder="1" applyAlignment="1">
      <alignment horizontal="right"/>
    </xf>
    <xf numFmtId="0" fontId="5" fillId="0" borderId="33" xfId="0" applyFont="1" applyFill="1" applyBorder="1" applyAlignment="1">
      <alignment vertical="center" wrapText="1"/>
    </xf>
    <xf numFmtId="0" fontId="13" fillId="0" borderId="4" xfId="0" applyFont="1" applyFill="1" applyBorder="1" applyAlignment="1">
      <alignment horizontal="right" vertical="top"/>
    </xf>
    <xf numFmtId="0" fontId="0" fillId="0" borderId="55" xfId="0" applyFont="1" applyFill="1" applyBorder="1" applyAlignment="1">
      <alignment vertical="top"/>
    </xf>
    <xf numFmtId="0" fontId="5" fillId="0" borderId="10" xfId="0" applyFont="1" applyFill="1" applyBorder="1" applyAlignment="1">
      <alignment horizontal="distributed" vertical="center"/>
    </xf>
    <xf numFmtId="0" fontId="5" fillId="0" borderId="0" xfId="0" applyFont="1" applyFill="1" applyAlignment="1">
      <alignment horizontal="distributed" vertical="center"/>
    </xf>
    <xf numFmtId="0" fontId="5" fillId="0" borderId="55" xfId="0" applyFont="1" applyFill="1" applyBorder="1" applyAlignment="1">
      <alignment horizontal="distributed" vertical="center"/>
    </xf>
    <xf numFmtId="0" fontId="9" fillId="0" borderId="0" xfId="0" applyFont="1" applyFill="1" applyAlignment="1">
      <alignment horizontal="center" vertical="center"/>
    </xf>
    <xf numFmtId="0" fontId="5" fillId="0" borderId="17" xfId="0" applyFont="1" applyFill="1" applyBorder="1" applyAlignment="1">
      <alignment vertical="center" wrapText="1"/>
    </xf>
    <xf numFmtId="0" fontId="5" fillId="0" borderId="23" xfId="0" applyFont="1" applyFill="1" applyBorder="1" applyAlignment="1">
      <alignment vertical="center" wrapText="1"/>
    </xf>
    <xf numFmtId="0" fontId="9" fillId="0" borderId="3" xfId="0" applyFont="1" applyFill="1" applyBorder="1" applyAlignment="1">
      <alignment horizontal="center" vertical="center" shrinkToFit="1"/>
    </xf>
    <xf numFmtId="0" fontId="9" fillId="0" borderId="1" xfId="0" applyFont="1" applyFill="1" applyBorder="1" applyAlignment="1">
      <alignment horizontal="center" vertical="center" shrinkToFit="1"/>
    </xf>
    <xf numFmtId="0" fontId="9" fillId="0" borderId="69" xfId="0" applyFont="1" applyFill="1" applyBorder="1" applyAlignment="1">
      <alignment horizontal="center" vertical="center" shrinkToFit="1"/>
    </xf>
    <xf numFmtId="0" fontId="9" fillId="0" borderId="38" xfId="0" applyFont="1" applyFill="1" applyBorder="1" applyAlignment="1">
      <alignment horizontal="center" vertical="center" shrinkToFit="1"/>
    </xf>
    <xf numFmtId="0" fontId="9" fillId="0" borderId="59" xfId="0" applyFont="1" applyFill="1" applyBorder="1" applyAlignment="1">
      <alignment horizontal="center" vertical="center" shrinkToFit="1"/>
    </xf>
    <xf numFmtId="0" fontId="9" fillId="0" borderId="62" xfId="0" applyFont="1" applyFill="1" applyBorder="1" applyAlignment="1">
      <alignment horizontal="center" vertical="center" shrinkToFit="1"/>
    </xf>
    <xf numFmtId="0" fontId="9" fillId="0" borderId="18" xfId="0" applyFont="1" applyFill="1" applyBorder="1" applyAlignment="1">
      <alignment horizontal="center" vertical="center" shrinkToFit="1"/>
    </xf>
    <xf numFmtId="0" fontId="9" fillId="0" borderId="40" xfId="0" applyFont="1" applyFill="1" applyBorder="1" applyAlignment="1">
      <alignment horizontal="center" vertical="center" shrinkToFit="1"/>
    </xf>
    <xf numFmtId="0" fontId="5" fillId="0" borderId="3" xfId="0" applyFont="1" applyFill="1" applyBorder="1" applyAlignment="1">
      <alignment horizontal="left" vertical="center" wrapText="1"/>
    </xf>
    <xf numFmtId="0" fontId="0" fillId="0" borderId="64" xfId="0" applyFont="1" applyFill="1" applyBorder="1" applyAlignment="1">
      <alignment horizontal="distributed" vertical="center"/>
    </xf>
    <xf numFmtId="0" fontId="5" fillId="0" borderId="48" xfId="0" applyFont="1" applyFill="1" applyBorder="1" applyAlignment="1">
      <alignment vertical="center" wrapText="1"/>
    </xf>
    <xf numFmtId="0" fontId="5" fillId="0" borderId="50" xfId="0" applyFont="1" applyFill="1" applyBorder="1" applyAlignment="1">
      <alignment vertical="center" wrapText="1"/>
    </xf>
    <xf numFmtId="178" fontId="5" fillId="0" borderId="60" xfId="0" applyNumberFormat="1" applyFont="1" applyFill="1" applyBorder="1" applyAlignment="1">
      <alignment horizontal="right" vertical="center" wrapText="1"/>
    </xf>
    <xf numFmtId="178" fontId="5" fillId="0" borderId="60" xfId="0" applyNumberFormat="1" applyFont="1" applyFill="1" applyBorder="1" applyAlignment="1">
      <alignment horizontal="right" vertical="center"/>
    </xf>
    <xf numFmtId="178" fontId="5" fillId="0" borderId="60" xfId="0" applyNumberFormat="1" applyFont="1" applyFill="1" applyBorder="1" applyAlignment="1">
      <alignment horizontal="right" vertical="center" shrinkToFit="1"/>
    </xf>
    <xf numFmtId="0" fontId="5" fillId="0" borderId="60" xfId="0" applyFont="1" applyFill="1" applyBorder="1" applyAlignment="1">
      <alignment horizontal="right" vertical="center"/>
    </xf>
    <xf numFmtId="0" fontId="5" fillId="0" borderId="33" xfId="0" applyFont="1" applyFill="1" applyBorder="1" applyAlignment="1">
      <alignment vertical="center" wrapText="1" shrinkToFit="1"/>
    </xf>
    <xf numFmtId="0" fontId="5" fillId="0" borderId="14" xfId="0" applyFont="1" applyFill="1" applyBorder="1" applyAlignment="1">
      <alignment vertical="center" wrapText="1" shrinkToFit="1"/>
    </xf>
    <xf numFmtId="0" fontId="0" fillId="0" borderId="65" xfId="0" applyFont="1" applyFill="1" applyBorder="1" applyAlignment="1">
      <alignment horizontal="distributed" vertical="center"/>
    </xf>
    <xf numFmtId="0" fontId="5" fillId="0" borderId="7" xfId="0" applyFont="1" applyFill="1" applyBorder="1" applyAlignment="1">
      <alignment vertical="center" wrapText="1"/>
    </xf>
    <xf numFmtId="178" fontId="5" fillId="0" borderId="5" xfId="0" applyNumberFormat="1" applyFont="1" applyFill="1" applyBorder="1" applyAlignment="1">
      <alignment horizontal="right" vertical="center" wrapText="1"/>
    </xf>
    <xf numFmtId="0" fontId="5" fillId="0" borderId="11" xfId="0" applyFont="1" applyFill="1" applyBorder="1" applyAlignment="1">
      <alignment horizontal="right" vertical="center"/>
    </xf>
    <xf numFmtId="0" fontId="5" fillId="0" borderId="49" xfId="0" applyFont="1" applyFill="1" applyBorder="1" applyAlignment="1">
      <alignment horizontal="right" vertical="center"/>
    </xf>
    <xf numFmtId="0" fontId="50" fillId="0" borderId="0" xfId="0" applyFont="1" applyFill="1" applyAlignment="1">
      <alignment vertical="center"/>
    </xf>
    <xf numFmtId="0" fontId="50" fillId="0" borderId="3" xfId="0" applyFont="1" applyFill="1" applyBorder="1" applyAlignment="1"/>
    <xf numFmtId="0" fontId="50" fillId="0" borderId="3" xfId="0" applyFont="1" applyFill="1" applyBorder="1" applyAlignment="1">
      <alignment horizontal="left"/>
    </xf>
    <xf numFmtId="0" fontId="50" fillId="0" borderId="0" xfId="0" applyFont="1" applyFill="1" applyAlignment="1"/>
    <xf numFmtId="0" fontId="50" fillId="0" borderId="0" xfId="0" applyFont="1" applyFill="1" applyAlignment="1">
      <alignment horizontal="left"/>
    </xf>
    <xf numFmtId="0" fontId="50" fillId="0" borderId="0" xfId="0" applyFont="1" applyFill="1"/>
    <xf numFmtId="0" fontId="51" fillId="0" borderId="0" xfId="0" applyFont="1" applyFill="1"/>
    <xf numFmtId="0" fontId="51" fillId="0" borderId="0" xfId="0" applyFont="1" applyFill="1" applyAlignment="1">
      <alignment vertical="top"/>
    </xf>
    <xf numFmtId="0" fontId="51" fillId="0" borderId="3" xfId="0" applyFont="1" applyFill="1" applyBorder="1" applyAlignment="1">
      <alignment horizontal="left"/>
    </xf>
    <xf numFmtId="0" fontId="51" fillId="0" borderId="0" xfId="0" applyFont="1" applyFill="1" applyAlignment="1">
      <alignment horizontal="left"/>
    </xf>
    <xf numFmtId="0" fontId="50" fillId="0" borderId="0" xfId="0" applyFont="1" applyFill="1" applyAlignment="1">
      <alignment vertical="center"/>
    </xf>
    <xf numFmtId="0" fontId="50" fillId="0" borderId="3" xfId="0" applyFont="1" applyFill="1" applyBorder="1" applyAlignment="1">
      <alignment horizontal="left" vertical="center"/>
    </xf>
    <xf numFmtId="0" fontId="50" fillId="0" borderId="3" xfId="0" applyFont="1" applyFill="1" applyBorder="1"/>
    <xf numFmtId="0" fontId="50" fillId="0" borderId="0" xfId="0" applyFont="1" applyFill="1" applyAlignment="1">
      <alignment vertical="top"/>
    </xf>
    <xf numFmtId="0" fontId="50" fillId="0" borderId="3" xfId="0" applyFont="1" applyFill="1" applyBorder="1" applyAlignment="1">
      <alignment vertical="top" wrapText="1"/>
    </xf>
    <xf numFmtId="0" fontId="50" fillId="0" borderId="0" xfId="0" applyFont="1" applyFill="1" applyAlignment="1">
      <alignment vertical="top" wrapText="1"/>
    </xf>
    <xf numFmtId="0" fontId="51" fillId="0" borderId="0" xfId="0" applyFont="1" applyFill="1" applyAlignment="1">
      <alignment horizontal="distributed" vertical="center"/>
    </xf>
    <xf numFmtId="0" fontId="50" fillId="0" borderId="0" xfId="0" applyFont="1" applyFill="1" applyAlignment="1">
      <alignment vertical="top" wrapText="1"/>
    </xf>
    <xf numFmtId="0" fontId="50" fillId="0" borderId="0" xfId="0" applyFont="1" applyFill="1" applyBorder="1" applyAlignment="1">
      <alignment vertical="top" wrapText="1"/>
    </xf>
    <xf numFmtId="183" fontId="50" fillId="0" borderId="0" xfId="0" applyNumberFormat="1" applyFont="1" applyFill="1" applyAlignment="1">
      <alignment vertical="center"/>
    </xf>
    <xf numFmtId="183" fontId="50" fillId="0" borderId="0" xfId="1" applyNumberFormat="1" applyFont="1" applyFill="1" applyBorder="1" applyAlignment="1">
      <alignment vertical="center"/>
    </xf>
    <xf numFmtId="0" fontId="50" fillId="0" borderId="3" xfId="0" applyFont="1" applyFill="1" applyBorder="1" applyAlignment="1">
      <alignment horizontal="left"/>
    </xf>
    <xf numFmtId="0" fontId="50" fillId="0" borderId="0" xfId="0" applyFont="1" applyFill="1" applyBorder="1" applyAlignment="1">
      <alignment horizontal="left"/>
    </xf>
    <xf numFmtId="0" fontId="50" fillId="0" borderId="3" xfId="0" applyFont="1" applyFill="1" applyBorder="1" applyAlignment="1">
      <alignment vertical="top" wrapText="1"/>
    </xf>
    <xf numFmtId="176" fontId="5" fillId="0" borderId="59" xfId="0" applyNumberFormat="1" applyFont="1" applyFill="1" applyBorder="1" applyAlignment="1">
      <alignment vertical="center"/>
    </xf>
    <xf numFmtId="176" fontId="5" fillId="0" borderId="6" xfId="0" applyNumberFormat="1" applyFont="1" applyFill="1" applyBorder="1" applyAlignment="1">
      <alignment vertical="center"/>
    </xf>
    <xf numFmtId="176" fontId="5" fillId="0" borderId="44" xfId="0" applyNumberFormat="1" applyFont="1" applyFill="1" applyBorder="1" applyAlignment="1">
      <alignment vertical="center"/>
    </xf>
    <xf numFmtId="176" fontId="5" fillId="0" borderId="32" xfId="0" applyNumberFormat="1" applyFont="1" applyFill="1" applyBorder="1" applyAlignment="1">
      <alignment vertical="center"/>
    </xf>
    <xf numFmtId="176" fontId="5" fillId="0" borderId="35" xfId="0" applyNumberFormat="1" applyFont="1" applyFill="1" applyBorder="1" applyAlignment="1">
      <alignment vertical="center"/>
    </xf>
    <xf numFmtId="176" fontId="5" fillId="0" borderId="46" xfId="0" applyNumberFormat="1" applyFont="1" applyFill="1" applyBorder="1" applyAlignment="1">
      <alignment vertical="center"/>
    </xf>
    <xf numFmtId="0" fontId="5" fillId="0" borderId="61" xfId="0" applyFont="1" applyFill="1" applyBorder="1" applyAlignment="1">
      <alignment vertical="center"/>
    </xf>
    <xf numFmtId="176" fontId="5" fillId="0" borderId="32" xfId="0" applyNumberFormat="1" applyFont="1" applyFill="1" applyBorder="1" applyAlignment="1">
      <alignment horizontal="center" vertical="center"/>
    </xf>
    <xf numFmtId="176" fontId="5" fillId="0" borderId="25" xfId="0" applyNumberFormat="1" applyFont="1" applyFill="1" applyBorder="1" applyAlignment="1">
      <alignment vertical="center"/>
    </xf>
    <xf numFmtId="0" fontId="50" fillId="0" borderId="0" xfId="0" applyFont="1" applyFill="1" applyAlignment="1">
      <alignment horizontal="left"/>
    </xf>
    <xf numFmtId="190" fontId="50" fillId="0" borderId="0" xfId="0" applyNumberFormat="1" applyFont="1" applyFill="1" applyAlignment="1">
      <alignment horizontal="right" vertical="center"/>
    </xf>
    <xf numFmtId="0" fontId="0" fillId="0" borderId="0" xfId="0" applyFont="1" applyFill="1" applyBorder="1" applyAlignment="1">
      <alignment horizontal="center" vertical="center" wrapText="1"/>
    </xf>
    <xf numFmtId="0" fontId="0" fillId="0" borderId="0" xfId="0" applyFont="1" applyFill="1" applyBorder="1" applyAlignment="1">
      <alignment horizontal="right" vertical="center"/>
    </xf>
    <xf numFmtId="190" fontId="5" fillId="0" borderId="0" xfId="0" applyNumberFormat="1" applyFont="1" applyFill="1" applyBorder="1" applyAlignment="1">
      <alignment vertical="center"/>
    </xf>
    <xf numFmtId="0" fontId="50" fillId="0" borderId="0" xfId="0" applyFont="1" applyFill="1"/>
    <xf numFmtId="0" fontId="51" fillId="0" borderId="0" xfId="0" applyFont="1" applyFill="1" applyAlignment="1">
      <alignment vertical="center"/>
    </xf>
    <xf numFmtId="0" fontId="16" fillId="0" borderId="0" xfId="0" applyFont="1" applyFill="1" applyBorder="1" applyAlignment="1">
      <alignment horizontal="center" vertical="center" wrapText="1"/>
    </xf>
    <xf numFmtId="188" fontId="5" fillId="0" borderId="0" xfId="0" applyNumberFormat="1" applyFont="1" applyFill="1" applyBorder="1" applyAlignment="1">
      <alignment vertical="center"/>
    </xf>
    <xf numFmtId="0" fontId="25" fillId="0" borderId="0" xfId="0" applyFont="1" applyFill="1" applyBorder="1" applyAlignment="1">
      <alignment vertical="center" shrinkToFit="1"/>
    </xf>
    <xf numFmtId="183" fontId="5" fillId="0" borderId="0" xfId="0" applyNumberFormat="1" applyFont="1" applyFill="1" applyBorder="1" applyAlignment="1">
      <alignment vertical="center"/>
    </xf>
    <xf numFmtId="0" fontId="50" fillId="0" borderId="0" xfId="0" applyFont="1" applyFill="1" applyAlignment="1">
      <alignment horizontal="left" vertical="top"/>
    </xf>
    <xf numFmtId="0" fontId="52" fillId="0" borderId="3" xfId="0" applyFont="1" applyFill="1" applyBorder="1" applyAlignment="1">
      <alignment horizontal="left" vertical="top" wrapText="1"/>
    </xf>
    <xf numFmtId="0" fontId="52" fillId="0" borderId="3" xfId="0" applyFont="1" applyFill="1" applyBorder="1" applyAlignment="1">
      <alignment vertical="top" wrapText="1"/>
    </xf>
    <xf numFmtId="0" fontId="50" fillId="0" borderId="0" xfId="0" applyFont="1" applyFill="1" applyAlignment="1">
      <alignment horizontal="right" vertical="top" wrapText="1"/>
    </xf>
    <xf numFmtId="0" fontId="52" fillId="0" borderId="3" xfId="0" applyFont="1" applyFill="1" applyBorder="1" applyAlignment="1">
      <alignment horizontal="left"/>
    </xf>
    <xf numFmtId="0" fontId="52" fillId="0" borderId="0" xfId="0" applyFont="1" applyFill="1" applyAlignment="1">
      <alignment horizontal="left" vertical="top"/>
    </xf>
    <xf numFmtId="0" fontId="52" fillId="0" borderId="0" xfId="0" applyFont="1" applyFill="1" applyAlignment="1">
      <alignment vertical="top"/>
    </xf>
    <xf numFmtId="0" fontId="50" fillId="0" borderId="0" xfId="0" applyFont="1" applyFill="1" applyAlignment="1">
      <alignment horizontal="left" vertical="top" wrapText="1"/>
    </xf>
    <xf numFmtId="0" fontId="5" fillId="0" borderId="0" xfId="0" applyFont="1" applyFill="1" applyBorder="1" applyAlignment="1">
      <alignment horizontal="distributed" vertical="center"/>
    </xf>
    <xf numFmtId="0" fontId="50" fillId="0" borderId="3" xfId="0" applyFont="1" applyFill="1" applyBorder="1" applyAlignment="1">
      <alignment vertical="top"/>
    </xf>
    <xf numFmtId="0" fontId="51" fillId="0" borderId="0" xfId="0" applyFont="1" applyFill="1"/>
    <xf numFmtId="0" fontId="52" fillId="0" borderId="0" xfId="0" applyFont="1" applyFill="1"/>
    <xf numFmtId="0" fontId="52" fillId="0" borderId="0" xfId="0" applyFont="1" applyFill="1" applyAlignment="1">
      <alignment vertical="top"/>
    </xf>
    <xf numFmtId="0" fontId="51" fillId="0" borderId="0" xfId="0" applyFont="1" applyAlignment="1">
      <alignment horizontal="left" vertical="center" wrapText="1"/>
    </xf>
    <xf numFmtId="0" fontId="51" fillId="0" borderId="0" xfId="0" applyFont="1" applyFill="1" applyAlignment="1">
      <alignment vertical="center" wrapText="1"/>
    </xf>
    <xf numFmtId="0" fontId="51" fillId="0" borderId="3" xfId="0" applyFont="1" applyBorder="1" applyAlignment="1">
      <alignment horizontal="left" vertical="center" wrapText="1"/>
    </xf>
    <xf numFmtId="0" fontId="52" fillId="0" borderId="3" xfId="0" applyFont="1" applyFill="1" applyBorder="1" applyAlignment="1">
      <alignment vertical="center"/>
    </xf>
    <xf numFmtId="0" fontId="7" fillId="0" borderId="0" xfId="0" applyFont="1" applyFill="1" applyAlignment="1">
      <alignment vertical="center"/>
    </xf>
    <xf numFmtId="0" fontId="52" fillId="0" borderId="0" xfId="0" applyFont="1" applyFill="1" applyAlignment="1">
      <alignment vertical="center"/>
    </xf>
    <xf numFmtId="0" fontId="52" fillId="0" borderId="22" xfId="0" applyFont="1" applyFill="1" applyBorder="1" applyAlignment="1">
      <alignment horizontal="center" vertical="center"/>
    </xf>
    <xf numFmtId="183" fontId="52" fillId="0" borderId="61" xfId="0" applyNumberFormat="1" applyFont="1" applyFill="1" applyBorder="1" applyAlignment="1">
      <alignment vertical="center"/>
    </xf>
    <xf numFmtId="183" fontId="52" fillId="0" borderId="56" xfId="1" applyNumberFormat="1" applyFont="1" applyFill="1" applyBorder="1" applyAlignment="1">
      <alignment vertical="center"/>
    </xf>
    <xf numFmtId="183" fontId="52" fillId="0" borderId="25" xfId="1" applyNumberFormat="1" applyFont="1" applyFill="1" applyBorder="1" applyAlignment="1">
      <alignment vertical="center"/>
    </xf>
    <xf numFmtId="0" fontId="7" fillId="0" borderId="22" xfId="0" applyFont="1" applyFill="1" applyBorder="1" applyAlignment="1">
      <alignment horizontal="center" vertical="center"/>
    </xf>
    <xf numFmtId="183" fontId="7" fillId="0" borderId="23" xfId="1" applyNumberFormat="1" applyFont="1" applyFill="1" applyBorder="1" applyAlignment="1">
      <alignment vertical="center"/>
    </xf>
    <xf numFmtId="183" fontId="7" fillId="0" borderId="56" xfId="0" applyNumberFormat="1" applyFont="1" applyFill="1" applyBorder="1" applyAlignment="1">
      <alignment vertical="center"/>
    </xf>
    <xf numFmtId="183" fontId="7" fillId="0" borderId="25" xfId="1" applyNumberFormat="1" applyFont="1" applyFill="1" applyBorder="1" applyAlignment="1">
      <alignment vertical="center"/>
    </xf>
    <xf numFmtId="185" fontId="7" fillId="0" borderId="0" xfId="0" applyNumberFormat="1" applyFont="1" applyFill="1" applyAlignment="1">
      <alignment vertical="center"/>
    </xf>
    <xf numFmtId="176" fontId="7" fillId="0" borderId="3" xfId="0" applyNumberFormat="1" applyFont="1" applyFill="1" applyBorder="1" applyAlignment="1">
      <alignment horizontal="right" vertical="center"/>
    </xf>
    <xf numFmtId="0" fontId="7" fillId="0" borderId="56" xfId="0" applyFont="1" applyFill="1" applyBorder="1" applyAlignment="1">
      <alignment horizontal="center" vertical="center"/>
    </xf>
    <xf numFmtId="38" fontId="7" fillId="0" borderId="56" xfId="1" applyFont="1" applyFill="1" applyBorder="1" applyAlignment="1">
      <alignment vertical="center"/>
    </xf>
    <xf numFmtId="176" fontId="7" fillId="0" borderId="0" xfId="0" applyNumberFormat="1" applyFont="1" applyFill="1" applyBorder="1" applyAlignment="1">
      <alignment horizontal="right" vertical="center"/>
    </xf>
    <xf numFmtId="0" fontId="7" fillId="0" borderId="0" xfId="0" applyFont="1" applyFill="1" applyBorder="1" applyAlignment="1">
      <alignment horizontal="center" vertical="center"/>
    </xf>
    <xf numFmtId="38" fontId="7" fillId="0" borderId="0" xfId="1" applyFont="1" applyFill="1" applyBorder="1" applyAlignment="1">
      <alignment vertical="center"/>
    </xf>
    <xf numFmtId="0" fontId="51" fillId="0" borderId="3" xfId="0" applyFont="1" applyFill="1" applyBorder="1" applyAlignment="1">
      <alignment horizontal="left" vertical="center"/>
    </xf>
    <xf numFmtId="0" fontId="51" fillId="0" borderId="0" xfId="0" applyFont="1" applyFill="1" applyAlignment="1">
      <alignment horizontal="left" vertical="center"/>
    </xf>
    <xf numFmtId="0" fontId="51" fillId="0" borderId="0" xfId="0" applyFont="1" applyFill="1" applyAlignment="1">
      <alignment horizontal="left" wrapText="1"/>
    </xf>
    <xf numFmtId="0" fontId="5" fillId="0" borderId="0" xfId="0" applyFont="1" applyFill="1" applyBorder="1" applyAlignment="1">
      <alignment horizontal="center" vertical="center" textRotation="255"/>
    </xf>
    <xf numFmtId="0" fontId="5" fillId="0" borderId="0" xfId="0" applyFont="1" applyFill="1" applyBorder="1" applyAlignment="1">
      <alignment horizontal="center" vertical="center" textRotation="255" wrapText="1"/>
    </xf>
    <xf numFmtId="0" fontId="7" fillId="0" borderId="0" xfId="0" applyFont="1" applyFill="1" applyBorder="1" applyAlignment="1">
      <alignment horizontal="center" vertical="center" wrapText="1"/>
    </xf>
    <xf numFmtId="183" fontId="5" fillId="0" borderId="0" xfId="1" applyNumberFormat="1" applyFont="1" applyFill="1" applyBorder="1" applyAlignment="1">
      <alignment horizontal="center" vertical="center"/>
    </xf>
    <xf numFmtId="188" fontId="5" fillId="0" borderId="0" xfId="0" applyNumberFormat="1" applyFont="1" applyFill="1" applyBorder="1" applyAlignment="1">
      <alignment horizontal="right" vertical="center"/>
    </xf>
    <xf numFmtId="0" fontId="51" fillId="0" borderId="0" xfId="0" applyFont="1" applyFill="1" applyBorder="1" applyAlignment="1">
      <alignment horizontal="left"/>
    </xf>
    <xf numFmtId="0" fontId="51" fillId="0" borderId="3" xfId="0" applyFont="1" applyFill="1" applyBorder="1"/>
    <xf numFmtId="0" fontId="52" fillId="0" borderId="0" xfId="0" applyFont="1" applyFill="1" applyAlignment="1">
      <alignment horizontal="left"/>
    </xf>
    <xf numFmtId="0" fontId="52" fillId="0" borderId="0" xfId="0" applyFont="1" applyFill="1" applyBorder="1" applyAlignment="1">
      <alignment horizontal="left"/>
    </xf>
    <xf numFmtId="0" fontId="52" fillId="0" borderId="0" xfId="0" applyFont="1" applyFill="1" applyBorder="1"/>
    <xf numFmtId="0" fontId="23" fillId="0" borderId="0" xfId="0" applyFont="1" applyFill="1"/>
    <xf numFmtId="0" fontId="7" fillId="0" borderId="61" xfId="0" applyFont="1" applyFill="1" applyBorder="1"/>
    <xf numFmtId="0" fontId="7" fillId="0" borderId="27" xfId="0" applyFont="1" applyFill="1" applyBorder="1"/>
    <xf numFmtId="0" fontId="52" fillId="0" borderId="0" xfId="0" applyFont="1" applyFill="1" applyBorder="1" applyAlignment="1">
      <alignment horizontal="left" vertical="top" wrapText="1"/>
    </xf>
    <xf numFmtId="0" fontId="52" fillId="0" borderId="0" xfId="0" applyFont="1" applyFill="1" applyBorder="1" applyAlignment="1"/>
    <xf numFmtId="0" fontId="52" fillId="0" borderId="3" xfId="0" applyFont="1" applyFill="1" applyBorder="1" applyAlignment="1">
      <alignment vertical="center"/>
    </xf>
    <xf numFmtId="0" fontId="52" fillId="0" borderId="0" xfId="0" applyFont="1" applyFill="1" applyAlignment="1">
      <alignment vertical="center"/>
    </xf>
    <xf numFmtId="0" fontId="52" fillId="0" borderId="3" xfId="0" applyFont="1" applyFill="1" applyBorder="1" applyAlignment="1">
      <alignment horizontal="left" vertical="center"/>
    </xf>
    <xf numFmtId="0" fontId="52" fillId="0" borderId="0" xfId="0" applyFont="1" applyFill="1" applyBorder="1" applyAlignment="1">
      <alignment horizontal="left" vertical="center"/>
    </xf>
    <xf numFmtId="0" fontId="52" fillId="0" borderId="0" xfId="0" applyFont="1" applyFill="1" applyAlignment="1"/>
    <xf numFmtId="0" fontId="53" fillId="0" borderId="0" xfId="0" applyFont="1" applyFill="1"/>
    <xf numFmtId="0" fontId="53" fillId="0" borderId="0" xfId="0" applyFont="1" applyFill="1"/>
    <xf numFmtId="0" fontId="52" fillId="0" borderId="0" xfId="0" applyFont="1" applyFill="1" applyAlignment="1">
      <alignment shrinkToFit="1"/>
    </xf>
  </cellXfs>
  <cellStyles count="3">
    <cellStyle name="パーセント" xfId="2" builtinId="5"/>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externalLink" Target="externalLinks/externalLink1.xml"/><Relationship Id="rId50"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9.xml.rels><?xml version="1.0" encoding="UTF-8" standalone="yes"?>
<Relationships xmlns="http://schemas.openxmlformats.org/package/2006/relationships"><Relationship Id="rId3" Type="http://schemas.openxmlformats.org/officeDocument/2006/relationships/chartUserShapes" Target="../drawings/drawing38.xml"/><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3" Type="http://schemas.openxmlformats.org/officeDocument/2006/relationships/chartUserShapes" Target="../drawings/drawing40.xml"/><Relationship Id="rId2" Type="http://schemas.microsoft.com/office/2011/relationships/chartColorStyle" Target="colors3.xml"/><Relationship Id="rId1" Type="http://schemas.microsoft.com/office/2011/relationships/chartStyle" Target="style3.xml"/></Relationships>
</file>

<file path=xl/charts/_rels/chart26.xml.rels><?xml version="1.0" encoding="UTF-8" standalone="yes"?>
<Relationships xmlns="http://schemas.openxmlformats.org/package/2006/relationships"><Relationship Id="rId3" Type="http://schemas.openxmlformats.org/officeDocument/2006/relationships/chartUserShapes" Target="../drawings/drawing53.xml"/><Relationship Id="rId2" Type="http://schemas.microsoft.com/office/2011/relationships/chartColorStyle" Target="colors4.xml"/><Relationship Id="rId1" Type="http://schemas.microsoft.com/office/2011/relationships/chartStyle" Target="style4.xml"/></Relationships>
</file>

<file path=xl/charts/_rels/chart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chartUserShapes" Target="../drawings/drawing8.xml"/><Relationship Id="rId5" Type="http://schemas.openxmlformats.org/officeDocument/2006/relationships/image" Target="../media/image5.png"/><Relationship Id="rId4" Type="http://schemas.openxmlformats.org/officeDocument/2006/relationships/image" Target="../media/image4.png"/></Relationships>
</file>

<file path=xl/charts/_rels/chart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chartUserShapes" Target="../drawings/drawing9.xml"/><Relationship Id="rId5" Type="http://schemas.openxmlformats.org/officeDocument/2006/relationships/image" Target="../media/image5.png"/><Relationship Id="rId4" Type="http://schemas.openxmlformats.org/officeDocument/2006/relationships/image" Target="../media/image4.png"/></Relationships>
</file>

<file path=xl/charts/_rels/chart5.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chartUserShapes" Target="../drawings/drawing10.xml"/><Relationship Id="rId5" Type="http://schemas.openxmlformats.org/officeDocument/2006/relationships/image" Target="../media/image5.png"/><Relationship Id="rId4" Type="http://schemas.openxmlformats.org/officeDocument/2006/relationships/image" Target="../media/image4.png"/></Relationships>
</file>

<file path=xl/charts/_rels/chart6.xml.rels><?xml version="1.0" encoding="UTF-8" standalone="yes"?>
<Relationships xmlns="http://schemas.openxmlformats.org/package/2006/relationships"><Relationship Id="rId2" Type="http://schemas.openxmlformats.org/officeDocument/2006/relationships/chartUserShapes" Target="../drawings/drawing14.xml"/><Relationship Id="rId1" Type="http://schemas.openxmlformats.org/officeDocument/2006/relationships/image" Target="../media/image1.png"/></Relationships>
</file>

<file path=xl/charts/_rels/chart7.xml.rels><?xml version="1.0" encoding="UTF-8" standalone="yes"?>
<Relationships xmlns="http://schemas.openxmlformats.org/package/2006/relationships"><Relationship Id="rId2" Type="http://schemas.openxmlformats.org/officeDocument/2006/relationships/chartUserShapes" Target="../drawings/drawing15.xml"/><Relationship Id="rId1" Type="http://schemas.openxmlformats.org/officeDocument/2006/relationships/image" Target="../media/image1.png"/></Relationships>
</file>

<file path=xl/charts/_rels/chart8.xml.rels><?xml version="1.0" encoding="UTF-8" standalone="yes"?>
<Relationships xmlns="http://schemas.openxmlformats.org/package/2006/relationships"><Relationship Id="rId2" Type="http://schemas.openxmlformats.org/officeDocument/2006/relationships/chartUserShapes" Target="../drawings/drawing16.xml"/><Relationship Id="rId1" Type="http://schemas.openxmlformats.org/officeDocument/2006/relationships/image" Target="../media/image1.png"/></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ja-JP" altLang="en-US" sz="1200" b="1"/>
              <a:t>交通事故発生件数・死者数・負傷者数の推移</a:t>
            </a:r>
          </a:p>
        </c:rich>
      </c:tx>
      <c:layout>
        <c:manualLayout>
          <c:xMode val="edge"/>
          <c:yMode val="edge"/>
          <c:x val="0.24033994977830239"/>
          <c:y val="3.9846743295019159E-2"/>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9.4650618440855636E-2"/>
          <c:y val="0.12896563791595017"/>
          <c:w val="0.8506061085486416"/>
          <c:h val="0.79724620629317899"/>
        </c:manualLayout>
      </c:layout>
      <c:lineChart>
        <c:grouping val="standard"/>
        <c:varyColors val="0"/>
        <c:ser>
          <c:idx val="0"/>
          <c:order val="0"/>
          <c:tx>
            <c:strRef>
              <c:f>'3ページ（４５年との比較）'!$Q$1</c:f>
              <c:strCache>
                <c:ptCount val="1"/>
                <c:pt idx="0">
                  <c:v>件数</c:v>
                </c:pt>
              </c:strCache>
            </c:strRef>
          </c:tx>
          <c:spPr>
            <a:ln w="28575" cap="rnd">
              <a:solidFill>
                <a:schemeClr val="tx1"/>
              </a:solidFill>
              <a:prstDash val="sysDot"/>
              <a:round/>
            </a:ln>
            <a:effectLst/>
          </c:spPr>
          <c:marker>
            <c:symbol val="none"/>
          </c:marker>
          <c:cat>
            <c:strRef>
              <c:f>'3ページ（４５年との比較）'!$P$2:$P$57</c:f>
              <c:strCache>
                <c:ptCount val="56"/>
                <c:pt idx="0">
                  <c:v>S45</c:v>
                </c:pt>
                <c:pt idx="1">
                  <c:v>S46</c:v>
                </c:pt>
                <c:pt idx="2">
                  <c:v>S47</c:v>
                </c:pt>
                <c:pt idx="3">
                  <c:v>S48</c:v>
                </c:pt>
                <c:pt idx="4">
                  <c:v>S49</c:v>
                </c:pt>
                <c:pt idx="5">
                  <c:v>S50</c:v>
                </c:pt>
                <c:pt idx="6">
                  <c:v>S51</c:v>
                </c:pt>
                <c:pt idx="7">
                  <c:v>S52</c:v>
                </c:pt>
                <c:pt idx="8">
                  <c:v>S53</c:v>
                </c:pt>
                <c:pt idx="9">
                  <c:v>S54</c:v>
                </c:pt>
                <c:pt idx="10">
                  <c:v>S55</c:v>
                </c:pt>
                <c:pt idx="11">
                  <c:v>S56</c:v>
                </c:pt>
                <c:pt idx="12">
                  <c:v>S57</c:v>
                </c:pt>
                <c:pt idx="13">
                  <c:v>S58</c:v>
                </c:pt>
                <c:pt idx="14">
                  <c:v>S59</c:v>
                </c:pt>
                <c:pt idx="15">
                  <c:v>S60</c:v>
                </c:pt>
                <c:pt idx="16">
                  <c:v>S61</c:v>
                </c:pt>
                <c:pt idx="17">
                  <c:v>S62</c:v>
                </c:pt>
                <c:pt idx="18">
                  <c:v>S63</c:v>
                </c:pt>
                <c:pt idx="19">
                  <c:v>H元</c:v>
                </c:pt>
                <c:pt idx="20">
                  <c:v>H2</c:v>
                </c:pt>
                <c:pt idx="21">
                  <c:v>H3</c:v>
                </c:pt>
                <c:pt idx="22">
                  <c:v>H4</c:v>
                </c:pt>
                <c:pt idx="23">
                  <c:v>H5</c:v>
                </c:pt>
                <c:pt idx="24">
                  <c:v>H6</c:v>
                </c:pt>
                <c:pt idx="25">
                  <c:v>H7</c:v>
                </c:pt>
                <c:pt idx="26">
                  <c:v>H8</c:v>
                </c:pt>
                <c:pt idx="27">
                  <c:v>H9</c:v>
                </c:pt>
                <c:pt idx="28">
                  <c:v>H10</c:v>
                </c:pt>
                <c:pt idx="29">
                  <c:v>H11</c:v>
                </c:pt>
                <c:pt idx="30">
                  <c:v>H12</c:v>
                </c:pt>
                <c:pt idx="31">
                  <c:v>H13</c:v>
                </c:pt>
                <c:pt idx="32">
                  <c:v>H14</c:v>
                </c:pt>
                <c:pt idx="33">
                  <c:v>H15</c:v>
                </c:pt>
                <c:pt idx="34">
                  <c:v>H16</c:v>
                </c:pt>
                <c:pt idx="35">
                  <c:v>H17</c:v>
                </c:pt>
                <c:pt idx="36">
                  <c:v>H18</c:v>
                </c:pt>
                <c:pt idx="37">
                  <c:v>H19</c:v>
                </c:pt>
                <c:pt idx="38">
                  <c:v>H20</c:v>
                </c:pt>
                <c:pt idx="39">
                  <c:v>H21</c:v>
                </c:pt>
                <c:pt idx="40">
                  <c:v>H22</c:v>
                </c:pt>
                <c:pt idx="41">
                  <c:v>H23</c:v>
                </c:pt>
                <c:pt idx="42">
                  <c:v>H24</c:v>
                </c:pt>
                <c:pt idx="43">
                  <c:v>H25</c:v>
                </c:pt>
                <c:pt idx="44">
                  <c:v>H26</c:v>
                </c:pt>
                <c:pt idx="45">
                  <c:v>H27</c:v>
                </c:pt>
                <c:pt idx="46">
                  <c:v>H28</c:v>
                </c:pt>
                <c:pt idx="47">
                  <c:v>H29</c:v>
                </c:pt>
                <c:pt idx="48">
                  <c:v>H30</c:v>
                </c:pt>
                <c:pt idx="49">
                  <c:v>R元</c:v>
                </c:pt>
                <c:pt idx="50">
                  <c:v>R2</c:v>
                </c:pt>
                <c:pt idx="51">
                  <c:v>R3</c:v>
                </c:pt>
                <c:pt idx="52">
                  <c:v>R4</c:v>
                </c:pt>
                <c:pt idx="53">
                  <c:v>R5</c:v>
                </c:pt>
                <c:pt idx="54">
                  <c:v>R6</c:v>
                </c:pt>
                <c:pt idx="55">
                  <c:v>R7</c:v>
                </c:pt>
              </c:strCache>
            </c:strRef>
          </c:cat>
          <c:val>
            <c:numRef>
              <c:f>'3ページ（４５年との比較）'!$Q$2:$Q$57</c:f>
              <c:numCache>
                <c:formatCode>#,##0_);[Red]\(#,##0\)</c:formatCode>
                <c:ptCount val="56"/>
                <c:pt idx="0">
                  <c:v>25242</c:v>
                </c:pt>
                <c:pt idx="1">
                  <c:v>23380</c:v>
                </c:pt>
                <c:pt idx="2">
                  <c:v>20479</c:v>
                </c:pt>
                <c:pt idx="3">
                  <c:v>16669</c:v>
                </c:pt>
                <c:pt idx="4">
                  <c:v>13552</c:v>
                </c:pt>
                <c:pt idx="5">
                  <c:v>12726</c:v>
                </c:pt>
                <c:pt idx="6">
                  <c:v>12890</c:v>
                </c:pt>
                <c:pt idx="7">
                  <c:v>12852</c:v>
                </c:pt>
                <c:pt idx="8">
                  <c:v>12742</c:v>
                </c:pt>
                <c:pt idx="9">
                  <c:v>12648</c:v>
                </c:pt>
                <c:pt idx="10">
                  <c:v>13322</c:v>
                </c:pt>
                <c:pt idx="11">
                  <c:v>14262</c:v>
                </c:pt>
                <c:pt idx="12">
                  <c:v>15192</c:v>
                </c:pt>
                <c:pt idx="13">
                  <c:v>15719</c:v>
                </c:pt>
                <c:pt idx="14">
                  <c:v>15515</c:v>
                </c:pt>
                <c:pt idx="15">
                  <c:v>16284</c:v>
                </c:pt>
                <c:pt idx="16">
                  <c:v>16380</c:v>
                </c:pt>
                <c:pt idx="17">
                  <c:v>16386</c:v>
                </c:pt>
                <c:pt idx="18">
                  <c:v>16191</c:v>
                </c:pt>
                <c:pt idx="19">
                  <c:v>16518</c:v>
                </c:pt>
                <c:pt idx="20">
                  <c:v>14987</c:v>
                </c:pt>
                <c:pt idx="21">
                  <c:v>15690</c:v>
                </c:pt>
                <c:pt idx="22">
                  <c:v>16498</c:v>
                </c:pt>
                <c:pt idx="23">
                  <c:v>16340</c:v>
                </c:pt>
                <c:pt idx="24">
                  <c:v>16354</c:v>
                </c:pt>
                <c:pt idx="25">
                  <c:v>17087</c:v>
                </c:pt>
                <c:pt idx="26">
                  <c:v>17366</c:v>
                </c:pt>
                <c:pt idx="27">
                  <c:v>16806</c:v>
                </c:pt>
                <c:pt idx="28">
                  <c:v>17237</c:v>
                </c:pt>
                <c:pt idx="29">
                  <c:v>17775</c:v>
                </c:pt>
                <c:pt idx="30">
                  <c:v>19490</c:v>
                </c:pt>
                <c:pt idx="31">
                  <c:v>19686</c:v>
                </c:pt>
                <c:pt idx="32">
                  <c:v>19690</c:v>
                </c:pt>
                <c:pt idx="33">
                  <c:v>20320</c:v>
                </c:pt>
                <c:pt idx="34">
                  <c:v>20488</c:v>
                </c:pt>
                <c:pt idx="35">
                  <c:v>19882</c:v>
                </c:pt>
                <c:pt idx="36">
                  <c:v>18753</c:v>
                </c:pt>
                <c:pt idx="37">
                  <c:v>17402</c:v>
                </c:pt>
                <c:pt idx="38">
                  <c:v>15990</c:v>
                </c:pt>
                <c:pt idx="39">
                  <c:v>15575</c:v>
                </c:pt>
                <c:pt idx="40">
                  <c:v>15403</c:v>
                </c:pt>
                <c:pt idx="41">
                  <c:v>14747</c:v>
                </c:pt>
                <c:pt idx="42">
                  <c:v>14500</c:v>
                </c:pt>
                <c:pt idx="43">
                  <c:v>13973</c:v>
                </c:pt>
                <c:pt idx="44">
                  <c:v>12946</c:v>
                </c:pt>
                <c:pt idx="45">
                  <c:v>12769</c:v>
                </c:pt>
                <c:pt idx="46">
                  <c:v>12173</c:v>
                </c:pt>
                <c:pt idx="47">
                  <c:v>11332</c:v>
                </c:pt>
                <c:pt idx="48">
                  <c:v>10885</c:v>
                </c:pt>
                <c:pt idx="49">
                  <c:v>10080</c:v>
                </c:pt>
                <c:pt idx="50">
                  <c:v>8256</c:v>
                </c:pt>
                <c:pt idx="51">
                  <c:v>8296</c:v>
                </c:pt>
                <c:pt idx="52">
                  <c:v>8106</c:v>
                </c:pt>
                <c:pt idx="53">
                  <c:v>8199</c:v>
                </c:pt>
                <c:pt idx="54">
                  <c:v>7688</c:v>
                </c:pt>
                <c:pt idx="55">
                  <c:v>7849</c:v>
                </c:pt>
              </c:numCache>
            </c:numRef>
          </c:val>
          <c:smooth val="0"/>
          <c:extLst>
            <c:ext xmlns:c16="http://schemas.microsoft.com/office/drawing/2014/chart" uri="{C3380CC4-5D6E-409C-BE32-E72D297353CC}">
              <c16:uniqueId val="{00000000-F9AF-4F38-AD59-08064698B956}"/>
            </c:ext>
          </c:extLst>
        </c:ser>
        <c:ser>
          <c:idx val="2"/>
          <c:order val="2"/>
          <c:tx>
            <c:strRef>
              <c:f>'3ページ（４５年との比較）'!$S$1</c:f>
              <c:strCache>
                <c:ptCount val="1"/>
                <c:pt idx="0">
                  <c:v>負傷者数</c:v>
                </c:pt>
              </c:strCache>
            </c:strRef>
          </c:tx>
          <c:spPr>
            <a:ln w="28575" cap="rnd">
              <a:solidFill>
                <a:srgbClr val="0070C0"/>
              </a:solidFill>
              <a:prstDash val="sysDash"/>
              <a:round/>
            </a:ln>
            <a:effectLst/>
          </c:spPr>
          <c:marker>
            <c:symbol val="none"/>
          </c:marker>
          <c:cat>
            <c:strRef>
              <c:f>'3ページ（４５年との比較）'!$P$2:$P$57</c:f>
              <c:strCache>
                <c:ptCount val="56"/>
                <c:pt idx="0">
                  <c:v>S45</c:v>
                </c:pt>
                <c:pt idx="1">
                  <c:v>S46</c:v>
                </c:pt>
                <c:pt idx="2">
                  <c:v>S47</c:v>
                </c:pt>
                <c:pt idx="3">
                  <c:v>S48</c:v>
                </c:pt>
                <c:pt idx="4">
                  <c:v>S49</c:v>
                </c:pt>
                <c:pt idx="5">
                  <c:v>S50</c:v>
                </c:pt>
                <c:pt idx="6">
                  <c:v>S51</c:v>
                </c:pt>
                <c:pt idx="7">
                  <c:v>S52</c:v>
                </c:pt>
                <c:pt idx="8">
                  <c:v>S53</c:v>
                </c:pt>
                <c:pt idx="9">
                  <c:v>S54</c:v>
                </c:pt>
                <c:pt idx="10">
                  <c:v>S55</c:v>
                </c:pt>
                <c:pt idx="11">
                  <c:v>S56</c:v>
                </c:pt>
                <c:pt idx="12">
                  <c:v>S57</c:v>
                </c:pt>
                <c:pt idx="13">
                  <c:v>S58</c:v>
                </c:pt>
                <c:pt idx="14">
                  <c:v>S59</c:v>
                </c:pt>
                <c:pt idx="15">
                  <c:v>S60</c:v>
                </c:pt>
                <c:pt idx="16">
                  <c:v>S61</c:v>
                </c:pt>
                <c:pt idx="17">
                  <c:v>S62</c:v>
                </c:pt>
                <c:pt idx="18">
                  <c:v>S63</c:v>
                </c:pt>
                <c:pt idx="19">
                  <c:v>H元</c:v>
                </c:pt>
                <c:pt idx="20">
                  <c:v>H2</c:v>
                </c:pt>
                <c:pt idx="21">
                  <c:v>H3</c:v>
                </c:pt>
                <c:pt idx="22">
                  <c:v>H4</c:v>
                </c:pt>
                <c:pt idx="23">
                  <c:v>H5</c:v>
                </c:pt>
                <c:pt idx="24">
                  <c:v>H6</c:v>
                </c:pt>
                <c:pt idx="25">
                  <c:v>H7</c:v>
                </c:pt>
                <c:pt idx="26">
                  <c:v>H8</c:v>
                </c:pt>
                <c:pt idx="27">
                  <c:v>H9</c:v>
                </c:pt>
                <c:pt idx="28">
                  <c:v>H10</c:v>
                </c:pt>
                <c:pt idx="29">
                  <c:v>H11</c:v>
                </c:pt>
                <c:pt idx="30">
                  <c:v>H12</c:v>
                </c:pt>
                <c:pt idx="31">
                  <c:v>H13</c:v>
                </c:pt>
                <c:pt idx="32">
                  <c:v>H14</c:v>
                </c:pt>
                <c:pt idx="33">
                  <c:v>H15</c:v>
                </c:pt>
                <c:pt idx="34">
                  <c:v>H16</c:v>
                </c:pt>
                <c:pt idx="35">
                  <c:v>H17</c:v>
                </c:pt>
                <c:pt idx="36">
                  <c:v>H18</c:v>
                </c:pt>
                <c:pt idx="37">
                  <c:v>H19</c:v>
                </c:pt>
                <c:pt idx="38">
                  <c:v>H20</c:v>
                </c:pt>
                <c:pt idx="39">
                  <c:v>H21</c:v>
                </c:pt>
                <c:pt idx="40">
                  <c:v>H22</c:v>
                </c:pt>
                <c:pt idx="41">
                  <c:v>H23</c:v>
                </c:pt>
                <c:pt idx="42">
                  <c:v>H24</c:v>
                </c:pt>
                <c:pt idx="43">
                  <c:v>H25</c:v>
                </c:pt>
                <c:pt idx="44">
                  <c:v>H26</c:v>
                </c:pt>
                <c:pt idx="45">
                  <c:v>H27</c:v>
                </c:pt>
                <c:pt idx="46">
                  <c:v>H28</c:v>
                </c:pt>
                <c:pt idx="47">
                  <c:v>H29</c:v>
                </c:pt>
                <c:pt idx="48">
                  <c:v>H30</c:v>
                </c:pt>
                <c:pt idx="49">
                  <c:v>R元</c:v>
                </c:pt>
                <c:pt idx="50">
                  <c:v>R2</c:v>
                </c:pt>
                <c:pt idx="51">
                  <c:v>R3</c:v>
                </c:pt>
                <c:pt idx="52">
                  <c:v>R4</c:v>
                </c:pt>
                <c:pt idx="53">
                  <c:v>R5</c:v>
                </c:pt>
                <c:pt idx="54">
                  <c:v>R6</c:v>
                </c:pt>
                <c:pt idx="55">
                  <c:v>R7</c:v>
                </c:pt>
              </c:strCache>
            </c:strRef>
          </c:cat>
          <c:val>
            <c:numRef>
              <c:f>'3ページ（４５年との比較）'!$S$2:$S$57</c:f>
              <c:numCache>
                <c:formatCode>#,##0_);[Red]\(#,##0\)</c:formatCode>
                <c:ptCount val="56"/>
                <c:pt idx="0">
                  <c:v>34642</c:v>
                </c:pt>
                <c:pt idx="1">
                  <c:v>31519</c:v>
                </c:pt>
                <c:pt idx="2">
                  <c:v>27240</c:v>
                </c:pt>
                <c:pt idx="3">
                  <c:v>21997</c:v>
                </c:pt>
                <c:pt idx="4">
                  <c:v>17500</c:v>
                </c:pt>
                <c:pt idx="5">
                  <c:v>16029</c:v>
                </c:pt>
                <c:pt idx="6">
                  <c:v>16367</c:v>
                </c:pt>
                <c:pt idx="7">
                  <c:v>16017</c:v>
                </c:pt>
                <c:pt idx="8">
                  <c:v>15854</c:v>
                </c:pt>
                <c:pt idx="9">
                  <c:v>15423</c:v>
                </c:pt>
                <c:pt idx="10">
                  <c:v>16163</c:v>
                </c:pt>
                <c:pt idx="11">
                  <c:v>17476</c:v>
                </c:pt>
                <c:pt idx="12">
                  <c:v>18448</c:v>
                </c:pt>
                <c:pt idx="13">
                  <c:v>19220</c:v>
                </c:pt>
                <c:pt idx="14">
                  <c:v>18863</c:v>
                </c:pt>
                <c:pt idx="15">
                  <c:v>19750</c:v>
                </c:pt>
                <c:pt idx="16">
                  <c:v>19970</c:v>
                </c:pt>
                <c:pt idx="17">
                  <c:v>20120</c:v>
                </c:pt>
                <c:pt idx="18">
                  <c:v>19807</c:v>
                </c:pt>
                <c:pt idx="19">
                  <c:v>20524</c:v>
                </c:pt>
                <c:pt idx="20">
                  <c:v>19896</c:v>
                </c:pt>
                <c:pt idx="21">
                  <c:v>19590</c:v>
                </c:pt>
                <c:pt idx="22">
                  <c:v>20232</c:v>
                </c:pt>
                <c:pt idx="23">
                  <c:v>19840</c:v>
                </c:pt>
                <c:pt idx="24">
                  <c:v>19748</c:v>
                </c:pt>
                <c:pt idx="25">
                  <c:v>20621</c:v>
                </c:pt>
                <c:pt idx="26">
                  <c:v>20667</c:v>
                </c:pt>
                <c:pt idx="27">
                  <c:v>19764</c:v>
                </c:pt>
                <c:pt idx="28">
                  <c:v>20434</c:v>
                </c:pt>
                <c:pt idx="29">
                  <c:v>21146</c:v>
                </c:pt>
                <c:pt idx="30">
                  <c:v>23167</c:v>
                </c:pt>
                <c:pt idx="31">
                  <c:v>23349</c:v>
                </c:pt>
                <c:pt idx="32">
                  <c:v>23424</c:v>
                </c:pt>
                <c:pt idx="33">
                  <c:v>24161</c:v>
                </c:pt>
                <c:pt idx="34">
                  <c:v>24183</c:v>
                </c:pt>
                <c:pt idx="35">
                  <c:v>23353</c:v>
                </c:pt>
                <c:pt idx="36">
                  <c:v>22100</c:v>
                </c:pt>
                <c:pt idx="37">
                  <c:v>20318</c:v>
                </c:pt>
                <c:pt idx="38">
                  <c:v>18741</c:v>
                </c:pt>
                <c:pt idx="39">
                  <c:v>18280</c:v>
                </c:pt>
                <c:pt idx="40">
                  <c:v>18024</c:v>
                </c:pt>
                <c:pt idx="41">
                  <c:v>17282</c:v>
                </c:pt>
                <c:pt idx="42">
                  <c:v>16900</c:v>
                </c:pt>
                <c:pt idx="43">
                  <c:v>16418</c:v>
                </c:pt>
                <c:pt idx="44">
                  <c:v>15221</c:v>
                </c:pt>
                <c:pt idx="45">
                  <c:v>14867</c:v>
                </c:pt>
                <c:pt idx="46">
                  <c:v>14231</c:v>
                </c:pt>
                <c:pt idx="47">
                  <c:v>13398</c:v>
                </c:pt>
                <c:pt idx="48">
                  <c:v>12723</c:v>
                </c:pt>
                <c:pt idx="49">
                  <c:v>11700</c:v>
                </c:pt>
                <c:pt idx="50">
                  <c:v>9493</c:v>
                </c:pt>
                <c:pt idx="51">
                  <c:v>9584</c:v>
                </c:pt>
                <c:pt idx="52">
                  <c:v>9278</c:v>
                </c:pt>
                <c:pt idx="53">
                  <c:v>9392</c:v>
                </c:pt>
                <c:pt idx="54">
                  <c:v>8722</c:v>
                </c:pt>
                <c:pt idx="55">
                  <c:v>8916</c:v>
                </c:pt>
              </c:numCache>
            </c:numRef>
          </c:val>
          <c:smooth val="0"/>
          <c:extLst>
            <c:ext xmlns:c16="http://schemas.microsoft.com/office/drawing/2014/chart" uri="{C3380CC4-5D6E-409C-BE32-E72D297353CC}">
              <c16:uniqueId val="{00000002-F9AF-4F38-AD59-08064698B956}"/>
            </c:ext>
          </c:extLst>
        </c:ser>
        <c:dLbls>
          <c:showLegendKey val="0"/>
          <c:showVal val="0"/>
          <c:showCatName val="0"/>
          <c:showSerName val="0"/>
          <c:showPercent val="0"/>
          <c:showBubbleSize val="0"/>
        </c:dLbls>
        <c:marker val="1"/>
        <c:smooth val="0"/>
        <c:axId val="863693328"/>
        <c:axId val="863706648"/>
      </c:lineChart>
      <c:lineChart>
        <c:grouping val="standard"/>
        <c:varyColors val="0"/>
        <c:ser>
          <c:idx val="1"/>
          <c:order val="1"/>
          <c:tx>
            <c:strRef>
              <c:f>'3ページ（４５年との比較）'!$R$1</c:f>
              <c:strCache>
                <c:ptCount val="1"/>
                <c:pt idx="0">
                  <c:v>死者数</c:v>
                </c:pt>
              </c:strCache>
            </c:strRef>
          </c:tx>
          <c:spPr>
            <a:ln w="31750" cap="rnd">
              <a:solidFill>
                <a:srgbClr val="FF0000"/>
              </a:solidFill>
              <a:round/>
            </a:ln>
            <a:effectLst/>
          </c:spPr>
          <c:marker>
            <c:symbol val="none"/>
          </c:marker>
          <c:cat>
            <c:strRef>
              <c:f>'3ページ（４５年との比較）'!$P$2:$P$57</c:f>
              <c:strCache>
                <c:ptCount val="56"/>
                <c:pt idx="0">
                  <c:v>S45</c:v>
                </c:pt>
                <c:pt idx="1">
                  <c:v>S46</c:v>
                </c:pt>
                <c:pt idx="2">
                  <c:v>S47</c:v>
                </c:pt>
                <c:pt idx="3">
                  <c:v>S48</c:v>
                </c:pt>
                <c:pt idx="4">
                  <c:v>S49</c:v>
                </c:pt>
                <c:pt idx="5">
                  <c:v>S50</c:v>
                </c:pt>
                <c:pt idx="6">
                  <c:v>S51</c:v>
                </c:pt>
                <c:pt idx="7">
                  <c:v>S52</c:v>
                </c:pt>
                <c:pt idx="8">
                  <c:v>S53</c:v>
                </c:pt>
                <c:pt idx="9">
                  <c:v>S54</c:v>
                </c:pt>
                <c:pt idx="10">
                  <c:v>S55</c:v>
                </c:pt>
                <c:pt idx="11">
                  <c:v>S56</c:v>
                </c:pt>
                <c:pt idx="12">
                  <c:v>S57</c:v>
                </c:pt>
                <c:pt idx="13">
                  <c:v>S58</c:v>
                </c:pt>
                <c:pt idx="14">
                  <c:v>S59</c:v>
                </c:pt>
                <c:pt idx="15">
                  <c:v>S60</c:v>
                </c:pt>
                <c:pt idx="16">
                  <c:v>S61</c:v>
                </c:pt>
                <c:pt idx="17">
                  <c:v>S62</c:v>
                </c:pt>
                <c:pt idx="18">
                  <c:v>S63</c:v>
                </c:pt>
                <c:pt idx="19">
                  <c:v>H元</c:v>
                </c:pt>
                <c:pt idx="20">
                  <c:v>H2</c:v>
                </c:pt>
                <c:pt idx="21">
                  <c:v>H3</c:v>
                </c:pt>
                <c:pt idx="22">
                  <c:v>H4</c:v>
                </c:pt>
                <c:pt idx="23">
                  <c:v>H5</c:v>
                </c:pt>
                <c:pt idx="24">
                  <c:v>H6</c:v>
                </c:pt>
                <c:pt idx="25">
                  <c:v>H7</c:v>
                </c:pt>
                <c:pt idx="26">
                  <c:v>H8</c:v>
                </c:pt>
                <c:pt idx="27">
                  <c:v>H9</c:v>
                </c:pt>
                <c:pt idx="28">
                  <c:v>H10</c:v>
                </c:pt>
                <c:pt idx="29">
                  <c:v>H11</c:v>
                </c:pt>
                <c:pt idx="30">
                  <c:v>H12</c:v>
                </c:pt>
                <c:pt idx="31">
                  <c:v>H13</c:v>
                </c:pt>
                <c:pt idx="32">
                  <c:v>H14</c:v>
                </c:pt>
                <c:pt idx="33">
                  <c:v>H15</c:v>
                </c:pt>
                <c:pt idx="34">
                  <c:v>H16</c:v>
                </c:pt>
                <c:pt idx="35">
                  <c:v>H17</c:v>
                </c:pt>
                <c:pt idx="36">
                  <c:v>H18</c:v>
                </c:pt>
                <c:pt idx="37">
                  <c:v>H19</c:v>
                </c:pt>
                <c:pt idx="38">
                  <c:v>H20</c:v>
                </c:pt>
                <c:pt idx="39">
                  <c:v>H21</c:v>
                </c:pt>
                <c:pt idx="40">
                  <c:v>H22</c:v>
                </c:pt>
                <c:pt idx="41">
                  <c:v>H23</c:v>
                </c:pt>
                <c:pt idx="42">
                  <c:v>H24</c:v>
                </c:pt>
                <c:pt idx="43">
                  <c:v>H25</c:v>
                </c:pt>
                <c:pt idx="44">
                  <c:v>H26</c:v>
                </c:pt>
                <c:pt idx="45">
                  <c:v>H27</c:v>
                </c:pt>
                <c:pt idx="46">
                  <c:v>H28</c:v>
                </c:pt>
                <c:pt idx="47">
                  <c:v>H29</c:v>
                </c:pt>
                <c:pt idx="48">
                  <c:v>H30</c:v>
                </c:pt>
                <c:pt idx="49">
                  <c:v>R元</c:v>
                </c:pt>
                <c:pt idx="50">
                  <c:v>R2</c:v>
                </c:pt>
                <c:pt idx="51">
                  <c:v>R3</c:v>
                </c:pt>
                <c:pt idx="52">
                  <c:v>R4</c:v>
                </c:pt>
                <c:pt idx="53">
                  <c:v>R5</c:v>
                </c:pt>
                <c:pt idx="54">
                  <c:v>R6</c:v>
                </c:pt>
                <c:pt idx="55">
                  <c:v>R7</c:v>
                </c:pt>
              </c:strCache>
            </c:strRef>
          </c:cat>
          <c:val>
            <c:numRef>
              <c:f>'3ページ（４５年との比較）'!$R$2:$R$57</c:f>
              <c:numCache>
                <c:formatCode>#,##0_);[Red]\(#,##0\)</c:formatCode>
                <c:ptCount val="56"/>
                <c:pt idx="0">
                  <c:v>280</c:v>
                </c:pt>
                <c:pt idx="1">
                  <c:v>222</c:v>
                </c:pt>
                <c:pt idx="2">
                  <c:v>228</c:v>
                </c:pt>
                <c:pt idx="3">
                  <c:v>244</c:v>
                </c:pt>
                <c:pt idx="4">
                  <c:v>147</c:v>
                </c:pt>
                <c:pt idx="5">
                  <c:v>130</c:v>
                </c:pt>
                <c:pt idx="6">
                  <c:v>110</c:v>
                </c:pt>
                <c:pt idx="7">
                  <c:v>98</c:v>
                </c:pt>
                <c:pt idx="8">
                  <c:v>118</c:v>
                </c:pt>
                <c:pt idx="9">
                  <c:v>99</c:v>
                </c:pt>
                <c:pt idx="10">
                  <c:v>104</c:v>
                </c:pt>
                <c:pt idx="11">
                  <c:v>128</c:v>
                </c:pt>
                <c:pt idx="12">
                  <c:v>131</c:v>
                </c:pt>
                <c:pt idx="13">
                  <c:v>117</c:v>
                </c:pt>
                <c:pt idx="14">
                  <c:v>138</c:v>
                </c:pt>
                <c:pt idx="15">
                  <c:v>121</c:v>
                </c:pt>
                <c:pt idx="16">
                  <c:v>134</c:v>
                </c:pt>
                <c:pt idx="17">
                  <c:v>139</c:v>
                </c:pt>
                <c:pt idx="18">
                  <c:v>145</c:v>
                </c:pt>
                <c:pt idx="19">
                  <c:v>148</c:v>
                </c:pt>
                <c:pt idx="20">
                  <c:v>164</c:v>
                </c:pt>
                <c:pt idx="21">
                  <c:v>147</c:v>
                </c:pt>
                <c:pt idx="22">
                  <c:v>157</c:v>
                </c:pt>
                <c:pt idx="23">
                  <c:v>167</c:v>
                </c:pt>
                <c:pt idx="24">
                  <c:v>156</c:v>
                </c:pt>
                <c:pt idx="25">
                  <c:v>159</c:v>
                </c:pt>
                <c:pt idx="26">
                  <c:v>122</c:v>
                </c:pt>
                <c:pt idx="27">
                  <c:v>132</c:v>
                </c:pt>
                <c:pt idx="28">
                  <c:v>129</c:v>
                </c:pt>
                <c:pt idx="29">
                  <c:v>117</c:v>
                </c:pt>
                <c:pt idx="30">
                  <c:v>100</c:v>
                </c:pt>
                <c:pt idx="31">
                  <c:v>101</c:v>
                </c:pt>
                <c:pt idx="32">
                  <c:v>107</c:v>
                </c:pt>
                <c:pt idx="33">
                  <c:v>86</c:v>
                </c:pt>
                <c:pt idx="34">
                  <c:v>91</c:v>
                </c:pt>
                <c:pt idx="35">
                  <c:v>80</c:v>
                </c:pt>
                <c:pt idx="36">
                  <c:v>75</c:v>
                </c:pt>
                <c:pt idx="37">
                  <c:v>73</c:v>
                </c:pt>
                <c:pt idx="38">
                  <c:v>61</c:v>
                </c:pt>
                <c:pt idx="39">
                  <c:v>64</c:v>
                </c:pt>
                <c:pt idx="40">
                  <c:v>62</c:v>
                </c:pt>
                <c:pt idx="41">
                  <c:v>65</c:v>
                </c:pt>
                <c:pt idx="42">
                  <c:v>51</c:v>
                </c:pt>
                <c:pt idx="43">
                  <c:v>49</c:v>
                </c:pt>
                <c:pt idx="44">
                  <c:v>51</c:v>
                </c:pt>
                <c:pt idx="45">
                  <c:v>51</c:v>
                </c:pt>
                <c:pt idx="46">
                  <c:v>49</c:v>
                </c:pt>
                <c:pt idx="47">
                  <c:v>44</c:v>
                </c:pt>
                <c:pt idx="48">
                  <c:v>44</c:v>
                </c:pt>
                <c:pt idx="49">
                  <c:v>34</c:v>
                </c:pt>
                <c:pt idx="50">
                  <c:v>37</c:v>
                </c:pt>
                <c:pt idx="51">
                  <c:v>43</c:v>
                </c:pt>
                <c:pt idx="52">
                  <c:v>40</c:v>
                </c:pt>
                <c:pt idx="53">
                  <c:v>40</c:v>
                </c:pt>
                <c:pt idx="54">
                  <c:v>43</c:v>
                </c:pt>
                <c:pt idx="55">
                  <c:v>43</c:v>
                </c:pt>
              </c:numCache>
            </c:numRef>
          </c:val>
          <c:smooth val="0"/>
          <c:extLst>
            <c:ext xmlns:c16="http://schemas.microsoft.com/office/drawing/2014/chart" uri="{C3380CC4-5D6E-409C-BE32-E72D297353CC}">
              <c16:uniqueId val="{00000001-F9AF-4F38-AD59-08064698B956}"/>
            </c:ext>
          </c:extLst>
        </c:ser>
        <c:dLbls>
          <c:showLegendKey val="0"/>
          <c:showVal val="0"/>
          <c:showCatName val="0"/>
          <c:showSerName val="0"/>
          <c:showPercent val="0"/>
          <c:showBubbleSize val="0"/>
        </c:dLbls>
        <c:marker val="1"/>
        <c:smooth val="0"/>
        <c:axId val="863703768"/>
        <c:axId val="863701248"/>
      </c:lineChart>
      <c:catAx>
        <c:axId val="8636933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863706648"/>
        <c:crosses val="autoZero"/>
        <c:auto val="1"/>
        <c:lblAlgn val="ctr"/>
        <c:lblOffset val="100"/>
        <c:noMultiLvlLbl val="0"/>
      </c:catAx>
      <c:valAx>
        <c:axId val="863706648"/>
        <c:scaling>
          <c:orientation val="minMax"/>
          <c:max val="35000"/>
        </c:scaling>
        <c:delete val="0"/>
        <c:axPos val="l"/>
        <c:majorGridlines>
          <c:spPr>
            <a:ln w="9525" cap="flat" cmpd="sng" algn="ctr">
              <a:solidFill>
                <a:schemeClr val="tx1">
                  <a:lumMod val="15000"/>
                  <a:lumOff val="85000"/>
                </a:schemeClr>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863693328"/>
        <c:crosses val="autoZero"/>
        <c:crossBetween val="between"/>
      </c:valAx>
      <c:valAx>
        <c:axId val="863701248"/>
        <c:scaling>
          <c:orientation val="minMax"/>
          <c:max val="350"/>
        </c:scaling>
        <c:delete val="0"/>
        <c:axPos val="r"/>
        <c:numFmt formatCode="#,##0_);[Red]\(#,##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863703768"/>
        <c:crosses val="max"/>
        <c:crossBetween val="between"/>
      </c:valAx>
      <c:catAx>
        <c:axId val="863703768"/>
        <c:scaling>
          <c:orientation val="minMax"/>
        </c:scaling>
        <c:delete val="1"/>
        <c:axPos val="b"/>
        <c:numFmt formatCode="General" sourceLinked="1"/>
        <c:majorTickMark val="out"/>
        <c:minorTickMark val="none"/>
        <c:tickLblPos val="nextTo"/>
        <c:crossAx val="863701248"/>
        <c:crosses val="autoZero"/>
        <c:auto val="1"/>
        <c:lblAlgn val="ctr"/>
        <c:lblOffset val="100"/>
        <c:noMultiLvlLbl val="0"/>
      </c:catAx>
      <c:spPr>
        <a:noFill/>
        <a:ln>
          <a:noFill/>
        </a:ln>
        <a:effectLst/>
      </c:spPr>
    </c:plotArea>
    <c:legend>
      <c:legendPos val="b"/>
      <c:layout>
        <c:manualLayout>
          <c:xMode val="edge"/>
          <c:yMode val="edge"/>
          <c:x val="0.48598652370926587"/>
          <c:y val="0.15440576824448668"/>
          <c:w val="0.42206853062830235"/>
          <c:h val="5.1178350512263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paperSize="9"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ja-JP"/>
              <a:t>年齢層別の死亡事故の推移</a:t>
            </a:r>
          </a:p>
        </c:rich>
      </c:tx>
      <c:layout>
        <c:manualLayout>
          <c:xMode val="edge"/>
          <c:yMode val="edge"/>
          <c:x val="0.33883593498181147"/>
          <c:y val="2.0732902769176324E-2"/>
        </c:manualLayout>
      </c:layout>
      <c:overlay val="0"/>
      <c:spPr>
        <a:noFill/>
        <a:ln w="25400">
          <a:noFill/>
        </a:ln>
      </c:spPr>
    </c:title>
    <c:autoTitleDeleted val="0"/>
    <c:plotArea>
      <c:layout>
        <c:manualLayout>
          <c:layoutTarget val="inner"/>
          <c:xMode val="edge"/>
          <c:yMode val="edge"/>
          <c:x val="0.12954203154512228"/>
          <c:y val="8.6990474505293597E-2"/>
          <c:w val="0.8485591752011391"/>
          <c:h val="0.78206039847855902"/>
        </c:manualLayout>
      </c:layout>
      <c:barChart>
        <c:barDir val="col"/>
        <c:grouping val="stacked"/>
        <c:varyColors val="0"/>
        <c:ser>
          <c:idx val="0"/>
          <c:order val="0"/>
          <c:tx>
            <c:strRef>
              <c:f>'16ページ死亡事故の推移 '!$A$61</c:f>
              <c:strCache>
                <c:ptCount val="1"/>
                <c:pt idx="0">
                  <c:v>高齢者</c:v>
                </c:pt>
              </c:strCache>
            </c:strRef>
          </c:tx>
          <c:spPr>
            <a:solidFill>
              <a:srgbClr val="CCFFFF"/>
            </a:solidFill>
            <a:ln w="12700">
              <a:solidFill>
                <a:srgbClr val="000000"/>
              </a:solidFill>
              <a:prstDash val="solid"/>
            </a:ln>
          </c:spPr>
          <c:invertIfNegative val="0"/>
          <c:dLbls>
            <c:spPr>
              <a:noFill/>
              <a:ln w="25400">
                <a:noFill/>
              </a:ln>
            </c:spPr>
            <c:txPr>
              <a:bodyPr/>
              <a:lstStyle/>
              <a:p>
                <a:pPr>
                  <a:defRPr sz="1000" baseline="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'16ページ死亡事故の推移 '!$G$58:$Z$59</c:f>
              <c:strCache>
                <c:ptCount val="20"/>
                <c:pt idx="0">
                  <c:v>18</c:v>
                </c:pt>
                <c:pt idx="1">
                  <c:v>19</c:v>
                </c:pt>
                <c:pt idx="2">
                  <c:v>20</c:v>
                </c:pt>
                <c:pt idx="3">
                  <c:v>21</c:v>
                </c:pt>
                <c:pt idx="4">
                  <c:v>22</c:v>
                </c:pt>
                <c:pt idx="5">
                  <c:v>23</c:v>
                </c:pt>
                <c:pt idx="6">
                  <c:v>24</c:v>
                </c:pt>
                <c:pt idx="7">
                  <c:v>25</c:v>
                </c:pt>
                <c:pt idx="8">
                  <c:v>26</c:v>
                </c:pt>
                <c:pt idx="9">
                  <c:v>27</c:v>
                </c:pt>
                <c:pt idx="10">
                  <c:v>28</c:v>
                </c:pt>
                <c:pt idx="11">
                  <c:v>29</c:v>
                </c:pt>
                <c:pt idx="12">
                  <c:v>30</c:v>
                </c:pt>
                <c:pt idx="13">
                  <c:v>元</c:v>
                </c:pt>
                <c:pt idx="14">
                  <c:v>2</c:v>
                </c:pt>
                <c:pt idx="15">
                  <c:v>3</c:v>
                </c:pt>
                <c:pt idx="16">
                  <c:v>4</c:v>
                </c:pt>
                <c:pt idx="17">
                  <c:v>5</c:v>
                </c:pt>
                <c:pt idx="18">
                  <c:v>6</c:v>
                </c:pt>
                <c:pt idx="19">
                  <c:v>7</c:v>
                </c:pt>
              </c:strCache>
            </c:strRef>
          </c:cat>
          <c:val>
            <c:numRef>
              <c:f>'16ページ死亡事故の推移 '!$G$61:$Z$61</c:f>
              <c:numCache>
                <c:formatCode>General</c:formatCode>
                <c:ptCount val="20"/>
                <c:pt idx="0">
                  <c:v>22</c:v>
                </c:pt>
                <c:pt idx="1">
                  <c:v>30</c:v>
                </c:pt>
                <c:pt idx="2">
                  <c:v>25</c:v>
                </c:pt>
                <c:pt idx="3">
                  <c:v>35</c:v>
                </c:pt>
                <c:pt idx="4">
                  <c:v>23</c:v>
                </c:pt>
                <c:pt idx="5">
                  <c:v>18</c:v>
                </c:pt>
                <c:pt idx="6">
                  <c:v>19</c:v>
                </c:pt>
                <c:pt idx="7">
                  <c:v>21</c:v>
                </c:pt>
                <c:pt idx="8">
                  <c:v>30</c:v>
                </c:pt>
                <c:pt idx="9">
                  <c:v>21</c:v>
                </c:pt>
                <c:pt idx="10">
                  <c:v>23</c:v>
                </c:pt>
                <c:pt idx="11">
                  <c:v>20</c:v>
                </c:pt>
                <c:pt idx="12">
                  <c:v>15</c:v>
                </c:pt>
                <c:pt idx="13">
                  <c:v>25</c:v>
                </c:pt>
                <c:pt idx="14">
                  <c:v>14</c:v>
                </c:pt>
                <c:pt idx="15">
                  <c:v>21</c:v>
                </c:pt>
                <c:pt idx="16">
                  <c:v>17</c:v>
                </c:pt>
                <c:pt idx="17">
                  <c:v>21</c:v>
                </c:pt>
                <c:pt idx="18">
                  <c:v>21</c:v>
                </c:pt>
                <c:pt idx="19">
                  <c:v>14</c:v>
                </c:pt>
              </c:numCache>
            </c:numRef>
          </c:val>
          <c:extLst>
            <c:ext xmlns:c16="http://schemas.microsoft.com/office/drawing/2014/chart" uri="{C3380CC4-5D6E-409C-BE32-E72D297353CC}">
              <c16:uniqueId val="{00000000-A8FD-4555-AED4-26E3E685B91A}"/>
            </c:ext>
          </c:extLst>
        </c:ser>
        <c:ser>
          <c:idx val="1"/>
          <c:order val="1"/>
          <c:tx>
            <c:strRef>
              <c:f>'16ページ死亡事故の推移 '!$A$62</c:f>
              <c:strCache>
                <c:ptCount val="1"/>
                <c:pt idx="0">
                  <c:v>子ども</c:v>
                </c:pt>
              </c:strCache>
            </c:strRef>
          </c:tx>
          <c:spPr>
            <a:solidFill>
              <a:srgbClr val="FFFFFF"/>
            </a:solidFill>
            <a:ln w="12700">
              <a:solidFill>
                <a:srgbClr val="000000"/>
              </a:solidFill>
              <a:prstDash val="solid"/>
            </a:ln>
          </c:spPr>
          <c:invertIfNegative val="0"/>
          <c:dLbls>
            <c:spPr>
              <a:noFill/>
              <a:ln w="25400">
                <a:noFill/>
              </a:ln>
            </c:spPr>
            <c:txPr>
              <a:bodyPr/>
              <a:lstStyle/>
              <a:p>
                <a:pPr>
                  <a:defRPr sz="1000" baseline="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'16ページ死亡事故の推移 '!$G$58:$Z$59</c:f>
              <c:strCache>
                <c:ptCount val="20"/>
                <c:pt idx="0">
                  <c:v>18</c:v>
                </c:pt>
                <c:pt idx="1">
                  <c:v>19</c:v>
                </c:pt>
                <c:pt idx="2">
                  <c:v>20</c:v>
                </c:pt>
                <c:pt idx="3">
                  <c:v>21</c:v>
                </c:pt>
                <c:pt idx="4">
                  <c:v>22</c:v>
                </c:pt>
                <c:pt idx="5">
                  <c:v>23</c:v>
                </c:pt>
                <c:pt idx="6">
                  <c:v>24</c:v>
                </c:pt>
                <c:pt idx="7">
                  <c:v>25</c:v>
                </c:pt>
                <c:pt idx="8">
                  <c:v>26</c:v>
                </c:pt>
                <c:pt idx="9">
                  <c:v>27</c:v>
                </c:pt>
                <c:pt idx="10">
                  <c:v>28</c:v>
                </c:pt>
                <c:pt idx="11">
                  <c:v>29</c:v>
                </c:pt>
                <c:pt idx="12">
                  <c:v>30</c:v>
                </c:pt>
                <c:pt idx="13">
                  <c:v>元</c:v>
                </c:pt>
                <c:pt idx="14">
                  <c:v>2</c:v>
                </c:pt>
                <c:pt idx="15">
                  <c:v>3</c:v>
                </c:pt>
                <c:pt idx="16">
                  <c:v>4</c:v>
                </c:pt>
                <c:pt idx="17">
                  <c:v>5</c:v>
                </c:pt>
                <c:pt idx="18">
                  <c:v>6</c:v>
                </c:pt>
                <c:pt idx="19">
                  <c:v>7</c:v>
                </c:pt>
              </c:strCache>
            </c:strRef>
          </c:cat>
          <c:val>
            <c:numRef>
              <c:f>'16ページ死亡事故の推移 '!$G$62:$Z$62</c:f>
              <c:numCache>
                <c:formatCode>General</c:formatCode>
                <c:ptCount val="20"/>
                <c:pt idx="0">
                  <c:v>0</c:v>
                </c:pt>
                <c:pt idx="1">
                  <c:v>1</c:v>
                </c:pt>
                <c:pt idx="2">
                  <c:v>0</c:v>
                </c:pt>
                <c:pt idx="3">
                  <c:v>0</c:v>
                </c:pt>
                <c:pt idx="4">
                  <c:v>1</c:v>
                </c:pt>
                <c:pt idx="5">
                  <c:v>1</c:v>
                </c:pt>
                <c:pt idx="6">
                  <c:v>1</c:v>
                </c:pt>
                <c:pt idx="7">
                  <c:v>1</c:v>
                </c:pt>
                <c:pt idx="8">
                  <c:v>2</c:v>
                </c:pt>
                <c:pt idx="9">
                  <c:v>0</c:v>
                </c:pt>
                <c:pt idx="10">
                  <c:v>2</c:v>
                </c:pt>
                <c:pt idx="11">
                  <c:v>0</c:v>
                </c:pt>
                <c:pt idx="12">
                  <c:v>3</c:v>
                </c:pt>
                <c:pt idx="13">
                  <c:v>0</c:v>
                </c:pt>
                <c:pt idx="14">
                  <c:v>1</c:v>
                </c:pt>
                <c:pt idx="15">
                  <c:v>0</c:v>
                </c:pt>
                <c:pt idx="16">
                  <c:v>1</c:v>
                </c:pt>
                <c:pt idx="17">
                  <c:v>0</c:v>
                </c:pt>
                <c:pt idx="18">
                  <c:v>1</c:v>
                </c:pt>
                <c:pt idx="19">
                  <c:v>3</c:v>
                </c:pt>
              </c:numCache>
            </c:numRef>
          </c:val>
          <c:extLst>
            <c:ext xmlns:c16="http://schemas.microsoft.com/office/drawing/2014/chart" uri="{C3380CC4-5D6E-409C-BE32-E72D297353CC}">
              <c16:uniqueId val="{00000001-A8FD-4555-AED4-26E3E685B91A}"/>
            </c:ext>
          </c:extLst>
        </c:ser>
        <c:ser>
          <c:idx val="2"/>
          <c:order val="2"/>
          <c:tx>
            <c:strRef>
              <c:f>'16ページ死亡事故の推移 '!$A$63</c:f>
              <c:strCache>
                <c:ptCount val="1"/>
                <c:pt idx="0">
                  <c:v>その他</c:v>
                </c:pt>
              </c:strCache>
            </c:strRef>
          </c:tx>
          <c:spPr>
            <a:solidFill>
              <a:schemeClr val="accent4">
                <a:lumMod val="60000"/>
                <a:lumOff val="40000"/>
              </a:schemeClr>
            </a:solidFill>
            <a:ln>
              <a:solidFill>
                <a:schemeClr val="tx1"/>
              </a:solidFill>
            </a:ln>
          </c:spPr>
          <c:invertIfNegative val="0"/>
          <c:dLbls>
            <c:spPr>
              <a:noFill/>
              <a:ln w="25400">
                <a:noFill/>
              </a:ln>
            </c:spPr>
            <c:txPr>
              <a:bodyPr/>
              <a:lstStyle/>
              <a:p>
                <a:pPr>
                  <a:defRPr sz="10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'16ページ死亡事故の推移 '!$G$58:$Z$59</c:f>
              <c:strCache>
                <c:ptCount val="20"/>
                <c:pt idx="0">
                  <c:v>18</c:v>
                </c:pt>
                <c:pt idx="1">
                  <c:v>19</c:v>
                </c:pt>
                <c:pt idx="2">
                  <c:v>20</c:v>
                </c:pt>
                <c:pt idx="3">
                  <c:v>21</c:v>
                </c:pt>
                <c:pt idx="4">
                  <c:v>22</c:v>
                </c:pt>
                <c:pt idx="5">
                  <c:v>23</c:v>
                </c:pt>
                <c:pt idx="6">
                  <c:v>24</c:v>
                </c:pt>
                <c:pt idx="7">
                  <c:v>25</c:v>
                </c:pt>
                <c:pt idx="8">
                  <c:v>26</c:v>
                </c:pt>
                <c:pt idx="9">
                  <c:v>27</c:v>
                </c:pt>
                <c:pt idx="10">
                  <c:v>28</c:v>
                </c:pt>
                <c:pt idx="11">
                  <c:v>29</c:v>
                </c:pt>
                <c:pt idx="12">
                  <c:v>30</c:v>
                </c:pt>
                <c:pt idx="13">
                  <c:v>元</c:v>
                </c:pt>
                <c:pt idx="14">
                  <c:v>2</c:v>
                </c:pt>
                <c:pt idx="15">
                  <c:v>3</c:v>
                </c:pt>
                <c:pt idx="16">
                  <c:v>4</c:v>
                </c:pt>
                <c:pt idx="17">
                  <c:v>5</c:v>
                </c:pt>
                <c:pt idx="18">
                  <c:v>6</c:v>
                </c:pt>
                <c:pt idx="19">
                  <c:v>7</c:v>
                </c:pt>
              </c:strCache>
            </c:strRef>
          </c:cat>
          <c:val>
            <c:numRef>
              <c:f>'16ページ死亡事故の推移 '!$G$63:$Z$63</c:f>
              <c:numCache>
                <c:formatCode>General</c:formatCode>
                <c:ptCount val="20"/>
                <c:pt idx="0">
                  <c:v>53</c:v>
                </c:pt>
                <c:pt idx="1">
                  <c:v>42</c:v>
                </c:pt>
                <c:pt idx="2">
                  <c:v>36</c:v>
                </c:pt>
                <c:pt idx="3">
                  <c:v>29</c:v>
                </c:pt>
                <c:pt idx="4">
                  <c:v>38</c:v>
                </c:pt>
                <c:pt idx="5">
                  <c:v>46</c:v>
                </c:pt>
                <c:pt idx="6">
                  <c:v>31</c:v>
                </c:pt>
                <c:pt idx="7">
                  <c:v>27</c:v>
                </c:pt>
                <c:pt idx="8">
                  <c:v>19</c:v>
                </c:pt>
                <c:pt idx="9">
                  <c:v>30</c:v>
                </c:pt>
                <c:pt idx="10">
                  <c:v>24</c:v>
                </c:pt>
                <c:pt idx="11">
                  <c:v>24</c:v>
                </c:pt>
                <c:pt idx="12">
                  <c:v>26</c:v>
                </c:pt>
                <c:pt idx="13">
                  <c:v>9</c:v>
                </c:pt>
                <c:pt idx="14">
                  <c:v>22</c:v>
                </c:pt>
                <c:pt idx="15">
                  <c:v>22</c:v>
                </c:pt>
                <c:pt idx="16">
                  <c:v>22</c:v>
                </c:pt>
                <c:pt idx="17">
                  <c:v>19</c:v>
                </c:pt>
                <c:pt idx="18">
                  <c:v>21</c:v>
                </c:pt>
                <c:pt idx="19">
                  <c:v>26</c:v>
                </c:pt>
              </c:numCache>
            </c:numRef>
          </c:val>
          <c:extLst>
            <c:ext xmlns:c16="http://schemas.microsoft.com/office/drawing/2014/chart" uri="{C3380CC4-5D6E-409C-BE32-E72D297353CC}">
              <c16:uniqueId val="{00000002-A8FD-4555-AED4-26E3E685B91A}"/>
            </c:ext>
          </c:extLst>
        </c:ser>
        <c:dLbls>
          <c:showLegendKey val="0"/>
          <c:showVal val="0"/>
          <c:showCatName val="0"/>
          <c:showSerName val="0"/>
          <c:showPercent val="0"/>
          <c:showBubbleSize val="0"/>
        </c:dLbls>
        <c:gapWidth val="150"/>
        <c:overlap val="100"/>
        <c:axId val="345820160"/>
        <c:axId val="347088000"/>
      </c:barChart>
      <c:catAx>
        <c:axId val="345820160"/>
        <c:scaling>
          <c:orientation val="minMax"/>
        </c:scaling>
        <c:delete val="0"/>
        <c:axPos val="b"/>
        <c:title>
          <c:tx>
            <c:rich>
              <a:bodyPr/>
              <a:lstStyle/>
              <a:p>
                <a:pPr>
                  <a:defRPr/>
                </a:pPr>
                <a:r>
                  <a:rPr lang="ja-JP"/>
                  <a:t>年</a:t>
                </a:r>
              </a:p>
            </c:rich>
          </c:tx>
          <c:layout>
            <c:manualLayout>
              <c:xMode val="edge"/>
              <c:yMode val="edge"/>
              <c:x val="0.47130137680158396"/>
              <c:y val="0.94371169895897844"/>
            </c:manualLayout>
          </c:layout>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a:pPr>
            <a:endParaRPr lang="ja-JP"/>
          </a:p>
        </c:txPr>
        <c:crossAx val="347088000"/>
        <c:crosses val="autoZero"/>
        <c:auto val="1"/>
        <c:lblAlgn val="ctr"/>
        <c:lblOffset val="100"/>
        <c:tickLblSkip val="1"/>
        <c:tickMarkSkip val="1"/>
        <c:noMultiLvlLbl val="0"/>
      </c:catAx>
      <c:valAx>
        <c:axId val="347088000"/>
        <c:scaling>
          <c:orientation val="minMax"/>
          <c:max val="120"/>
        </c:scaling>
        <c:delete val="0"/>
        <c:axPos val="l"/>
        <c:majorGridlines>
          <c:spPr>
            <a:ln w="3175">
              <a:solidFill>
                <a:srgbClr val="000000"/>
              </a:solidFill>
              <a:prstDash val="solid"/>
            </a:ln>
          </c:spPr>
        </c:majorGridlines>
        <c:title>
          <c:tx>
            <c:rich>
              <a:bodyPr rot="0" vert="horz"/>
              <a:lstStyle/>
              <a:p>
                <a:pPr algn="ctr">
                  <a:defRPr/>
                </a:pPr>
                <a:r>
                  <a:rPr lang="ja-JP"/>
                  <a:t>人数</a:t>
                </a:r>
              </a:p>
            </c:rich>
          </c:tx>
          <c:layout>
            <c:manualLayout>
              <c:xMode val="edge"/>
              <c:yMode val="edge"/>
              <c:x val="1.4496937882764653E-2"/>
              <c:y val="0.40697928682481577"/>
            </c:manualLayout>
          </c:layout>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a:pPr>
            <a:endParaRPr lang="ja-JP"/>
          </a:p>
        </c:txPr>
        <c:crossAx val="345820160"/>
        <c:crosses val="autoZero"/>
        <c:crossBetween val="between"/>
      </c:valAx>
      <c:spPr>
        <a:solidFill>
          <a:srgbClr val="FFFFFF"/>
        </a:solidFill>
        <a:ln w="12700">
          <a:solidFill>
            <a:srgbClr val="808080"/>
          </a:solidFill>
          <a:prstDash val="solid"/>
        </a:ln>
      </c:spPr>
    </c:plotArea>
    <c:legend>
      <c:legendPos val="r"/>
      <c:layout>
        <c:manualLayout>
          <c:xMode val="edge"/>
          <c:yMode val="edge"/>
          <c:x val="0.60016245518329814"/>
          <c:y val="0.10116633509983226"/>
          <c:w val="0.36452249841318857"/>
          <c:h val="0.10291723088754032"/>
        </c:manualLayout>
      </c:layout>
      <c:overlay val="0"/>
      <c:spPr>
        <a:solidFill>
          <a:srgbClr val="FFFFFF"/>
        </a:solidFill>
        <a:ln w="3175">
          <a:noFill/>
          <a:prstDash val="solid"/>
        </a:ln>
      </c:spPr>
      <c:txPr>
        <a:bodyPr/>
        <a:lstStyle/>
        <a:p>
          <a:pPr>
            <a:defRPr sz="1100" baseline="0"/>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Footer>&amp;C－１６－
</c:oddFooter>
    </c:headerFooter>
    <c:pageMargins b="0.98425196850393704" l="0.78740157480314965" r="0.78740157480314965" t="0.98425196850393704" header="0.51181102362204722" footer="0.51181102362204722"/>
    <c:pageSetup paperSize="9" orientation="landscape"/>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ja-JP"/>
              <a:t>乗り物別による死亡事故の推移</a:t>
            </a:r>
          </a:p>
        </c:rich>
      </c:tx>
      <c:layout>
        <c:manualLayout>
          <c:xMode val="edge"/>
          <c:yMode val="edge"/>
          <c:x val="0.28557877261808706"/>
          <c:y val="1.2874325748651499E-2"/>
        </c:manualLayout>
      </c:layout>
      <c:overlay val="0"/>
      <c:spPr>
        <a:noFill/>
        <a:ln w="25400">
          <a:noFill/>
        </a:ln>
      </c:spPr>
    </c:title>
    <c:autoTitleDeleted val="0"/>
    <c:plotArea>
      <c:layout>
        <c:manualLayout>
          <c:layoutTarget val="inner"/>
          <c:xMode val="edge"/>
          <c:yMode val="edge"/>
          <c:x val="0.15683070629058277"/>
          <c:y val="7.3801910547983532E-2"/>
          <c:w val="0.82653409703097458"/>
          <c:h val="0.80936152643840864"/>
        </c:manualLayout>
      </c:layout>
      <c:barChart>
        <c:barDir val="col"/>
        <c:grouping val="stacked"/>
        <c:varyColors val="0"/>
        <c:ser>
          <c:idx val="0"/>
          <c:order val="0"/>
          <c:tx>
            <c:strRef>
              <c:f>'16ページ死亡事故の推移 '!$A$64</c:f>
              <c:strCache>
                <c:ptCount val="1"/>
                <c:pt idx="0">
                  <c:v>歩行者</c:v>
                </c:pt>
              </c:strCache>
            </c:strRef>
          </c:tx>
          <c:spPr>
            <a:solidFill>
              <a:srgbClr val="9999FF"/>
            </a:solidFill>
            <a:ln w="12700">
              <a:solidFill>
                <a:srgbClr val="000000"/>
              </a:solidFill>
              <a:prstDash val="solid"/>
            </a:ln>
          </c:spPr>
          <c:invertIfNegative val="0"/>
          <c:dLbls>
            <c:dLbl>
              <c:idx val="15"/>
              <c:layout>
                <c:manualLayout>
                  <c:x val="-4.1797283176593526E-3"/>
                  <c:y val="-2.6246719160105949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720-4843-93EE-40F39F482F54}"/>
                </c:ext>
              </c:extLst>
            </c:dLbl>
            <c:spPr>
              <a:noFill/>
              <a:ln w="25400">
                <a:noFill/>
              </a:ln>
            </c:spPr>
            <c:txPr>
              <a:bodyPr/>
              <a:lstStyle/>
              <a:p>
                <a:pPr>
                  <a:defRPr sz="1000" baseline="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'16ページ死亡事故の推移 '!$G$58:$Z$59</c:f>
              <c:strCache>
                <c:ptCount val="20"/>
                <c:pt idx="0">
                  <c:v>18</c:v>
                </c:pt>
                <c:pt idx="1">
                  <c:v>19</c:v>
                </c:pt>
                <c:pt idx="2">
                  <c:v>20</c:v>
                </c:pt>
                <c:pt idx="3">
                  <c:v>21</c:v>
                </c:pt>
                <c:pt idx="4">
                  <c:v>22</c:v>
                </c:pt>
                <c:pt idx="5">
                  <c:v>23</c:v>
                </c:pt>
                <c:pt idx="6">
                  <c:v>24</c:v>
                </c:pt>
                <c:pt idx="7">
                  <c:v>25</c:v>
                </c:pt>
                <c:pt idx="8">
                  <c:v>26</c:v>
                </c:pt>
                <c:pt idx="9">
                  <c:v>27</c:v>
                </c:pt>
                <c:pt idx="10">
                  <c:v>28</c:v>
                </c:pt>
                <c:pt idx="11">
                  <c:v>29</c:v>
                </c:pt>
                <c:pt idx="12">
                  <c:v>30</c:v>
                </c:pt>
                <c:pt idx="13">
                  <c:v>元</c:v>
                </c:pt>
                <c:pt idx="14">
                  <c:v>2</c:v>
                </c:pt>
                <c:pt idx="15">
                  <c:v>3</c:v>
                </c:pt>
                <c:pt idx="16">
                  <c:v>4</c:v>
                </c:pt>
                <c:pt idx="17">
                  <c:v>5</c:v>
                </c:pt>
                <c:pt idx="18">
                  <c:v>6</c:v>
                </c:pt>
                <c:pt idx="19">
                  <c:v>7</c:v>
                </c:pt>
              </c:strCache>
            </c:strRef>
          </c:cat>
          <c:val>
            <c:numRef>
              <c:f>'16ページ死亡事故の推移 '!$G$64:$Z$64</c:f>
              <c:numCache>
                <c:formatCode>#,##0_);[Red]\(#,##0\)</c:formatCode>
                <c:ptCount val="20"/>
                <c:pt idx="0">
                  <c:v>20</c:v>
                </c:pt>
                <c:pt idx="1">
                  <c:v>32</c:v>
                </c:pt>
                <c:pt idx="2">
                  <c:v>19</c:v>
                </c:pt>
                <c:pt idx="3" formatCode="General">
                  <c:v>25</c:v>
                </c:pt>
                <c:pt idx="4" formatCode="General">
                  <c:v>17</c:v>
                </c:pt>
                <c:pt idx="5" formatCode="General">
                  <c:v>21</c:v>
                </c:pt>
                <c:pt idx="6" formatCode="General">
                  <c:v>11</c:v>
                </c:pt>
                <c:pt idx="7" formatCode="General">
                  <c:v>16</c:v>
                </c:pt>
                <c:pt idx="8" formatCode="General">
                  <c:v>28</c:v>
                </c:pt>
                <c:pt idx="9" formatCode="General">
                  <c:v>16</c:v>
                </c:pt>
                <c:pt idx="10" formatCode="General">
                  <c:v>20</c:v>
                </c:pt>
                <c:pt idx="11" formatCode="General">
                  <c:v>17</c:v>
                </c:pt>
                <c:pt idx="12" formatCode="General">
                  <c:v>15</c:v>
                </c:pt>
                <c:pt idx="13" formatCode="General">
                  <c:v>15</c:v>
                </c:pt>
                <c:pt idx="14" formatCode="General">
                  <c:v>16</c:v>
                </c:pt>
                <c:pt idx="15" formatCode="General">
                  <c:v>16</c:v>
                </c:pt>
                <c:pt idx="16" formatCode="General">
                  <c:v>12</c:v>
                </c:pt>
                <c:pt idx="17" formatCode="General">
                  <c:v>17</c:v>
                </c:pt>
                <c:pt idx="18" formatCode="General">
                  <c:v>16</c:v>
                </c:pt>
                <c:pt idx="19" formatCode="General">
                  <c:v>14</c:v>
                </c:pt>
              </c:numCache>
            </c:numRef>
          </c:val>
          <c:extLst>
            <c:ext xmlns:c16="http://schemas.microsoft.com/office/drawing/2014/chart" uri="{C3380CC4-5D6E-409C-BE32-E72D297353CC}">
              <c16:uniqueId val="{00000001-976C-4E19-99F5-E59B53DFFC6F}"/>
            </c:ext>
          </c:extLst>
        </c:ser>
        <c:ser>
          <c:idx val="1"/>
          <c:order val="1"/>
          <c:tx>
            <c:strRef>
              <c:f>'16ページ死亡事故の推移 '!$A$65</c:f>
              <c:strCache>
                <c:ptCount val="1"/>
                <c:pt idx="0">
                  <c:v>自転車</c:v>
                </c:pt>
              </c:strCache>
            </c:strRef>
          </c:tx>
          <c:spPr>
            <a:solidFill>
              <a:schemeClr val="bg1"/>
            </a:solidFill>
            <a:ln>
              <a:solidFill>
                <a:prstClr val="black"/>
              </a:solidFill>
            </a:ln>
          </c:spPr>
          <c:invertIfNegative val="0"/>
          <c:dLbls>
            <c:spPr>
              <a:noFill/>
              <a:ln w="25400">
                <a:noFill/>
              </a:ln>
            </c:spPr>
            <c:txPr>
              <a:bodyPr/>
              <a:lstStyle/>
              <a:p>
                <a:pPr>
                  <a:defRPr sz="10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'16ページ死亡事故の推移 '!$G$58:$Z$59</c:f>
              <c:strCache>
                <c:ptCount val="20"/>
                <c:pt idx="0">
                  <c:v>18</c:v>
                </c:pt>
                <c:pt idx="1">
                  <c:v>19</c:v>
                </c:pt>
                <c:pt idx="2">
                  <c:v>20</c:v>
                </c:pt>
                <c:pt idx="3">
                  <c:v>21</c:v>
                </c:pt>
                <c:pt idx="4">
                  <c:v>22</c:v>
                </c:pt>
                <c:pt idx="5">
                  <c:v>23</c:v>
                </c:pt>
                <c:pt idx="6">
                  <c:v>24</c:v>
                </c:pt>
                <c:pt idx="7">
                  <c:v>25</c:v>
                </c:pt>
                <c:pt idx="8">
                  <c:v>26</c:v>
                </c:pt>
                <c:pt idx="9">
                  <c:v>27</c:v>
                </c:pt>
                <c:pt idx="10">
                  <c:v>28</c:v>
                </c:pt>
                <c:pt idx="11">
                  <c:v>29</c:v>
                </c:pt>
                <c:pt idx="12">
                  <c:v>30</c:v>
                </c:pt>
                <c:pt idx="13">
                  <c:v>元</c:v>
                </c:pt>
                <c:pt idx="14">
                  <c:v>2</c:v>
                </c:pt>
                <c:pt idx="15">
                  <c:v>3</c:v>
                </c:pt>
                <c:pt idx="16">
                  <c:v>4</c:v>
                </c:pt>
                <c:pt idx="17">
                  <c:v>5</c:v>
                </c:pt>
                <c:pt idx="18">
                  <c:v>6</c:v>
                </c:pt>
                <c:pt idx="19">
                  <c:v>7</c:v>
                </c:pt>
              </c:strCache>
            </c:strRef>
          </c:cat>
          <c:val>
            <c:numRef>
              <c:f>'16ページ死亡事故の推移 '!$G$65:$Z$65</c:f>
              <c:numCache>
                <c:formatCode>#,##0_);[Red]\(#,##0\)</c:formatCode>
                <c:ptCount val="20"/>
                <c:pt idx="0">
                  <c:v>22</c:v>
                </c:pt>
                <c:pt idx="1">
                  <c:v>18</c:v>
                </c:pt>
                <c:pt idx="2">
                  <c:v>18</c:v>
                </c:pt>
                <c:pt idx="3" formatCode="General">
                  <c:v>19</c:v>
                </c:pt>
                <c:pt idx="4" formatCode="General">
                  <c:v>21</c:v>
                </c:pt>
                <c:pt idx="5" formatCode="General">
                  <c:v>14</c:v>
                </c:pt>
                <c:pt idx="6" formatCode="General">
                  <c:v>20</c:v>
                </c:pt>
                <c:pt idx="7" formatCode="General">
                  <c:v>15</c:v>
                </c:pt>
                <c:pt idx="8" formatCode="General">
                  <c:v>13</c:v>
                </c:pt>
                <c:pt idx="9" formatCode="General">
                  <c:v>19</c:v>
                </c:pt>
                <c:pt idx="10" formatCode="General">
                  <c:v>8</c:v>
                </c:pt>
                <c:pt idx="11" formatCode="General">
                  <c:v>13</c:v>
                </c:pt>
                <c:pt idx="12" formatCode="General">
                  <c:v>8</c:v>
                </c:pt>
                <c:pt idx="13" formatCode="General">
                  <c:v>11</c:v>
                </c:pt>
                <c:pt idx="14" formatCode="General">
                  <c:v>12</c:v>
                </c:pt>
                <c:pt idx="15" formatCode="General">
                  <c:v>8</c:v>
                </c:pt>
                <c:pt idx="16" formatCode="General">
                  <c:v>8</c:v>
                </c:pt>
                <c:pt idx="17" formatCode="General">
                  <c:v>9</c:v>
                </c:pt>
                <c:pt idx="18" formatCode="General">
                  <c:v>12</c:v>
                </c:pt>
                <c:pt idx="19" formatCode="General">
                  <c:v>11</c:v>
                </c:pt>
              </c:numCache>
            </c:numRef>
          </c:val>
          <c:extLst>
            <c:ext xmlns:c16="http://schemas.microsoft.com/office/drawing/2014/chart" uri="{C3380CC4-5D6E-409C-BE32-E72D297353CC}">
              <c16:uniqueId val="{00000002-976C-4E19-99F5-E59B53DFFC6F}"/>
            </c:ext>
          </c:extLst>
        </c:ser>
        <c:ser>
          <c:idx val="2"/>
          <c:order val="2"/>
          <c:tx>
            <c:strRef>
              <c:f>'16ページ死亡事故の推移 '!$A$66</c:f>
              <c:strCache>
                <c:ptCount val="1"/>
                <c:pt idx="0">
                  <c:v>自動二輪</c:v>
                </c:pt>
              </c:strCache>
            </c:strRef>
          </c:tx>
          <c:spPr>
            <a:solidFill>
              <a:schemeClr val="accent2">
                <a:lumMod val="60000"/>
                <a:lumOff val="40000"/>
              </a:schemeClr>
            </a:solidFill>
            <a:ln>
              <a:solidFill>
                <a:prstClr val="black"/>
              </a:solidFill>
            </a:ln>
          </c:spPr>
          <c:invertIfNegative val="0"/>
          <c:dLbls>
            <c:spPr>
              <a:noFill/>
              <a:ln w="25400">
                <a:noFill/>
              </a:ln>
            </c:spPr>
            <c:txPr>
              <a:bodyPr/>
              <a:lstStyle/>
              <a:p>
                <a:pPr>
                  <a:defRPr sz="10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'16ページ死亡事故の推移 '!$G$58:$Z$59</c:f>
              <c:strCache>
                <c:ptCount val="20"/>
                <c:pt idx="0">
                  <c:v>18</c:v>
                </c:pt>
                <c:pt idx="1">
                  <c:v>19</c:v>
                </c:pt>
                <c:pt idx="2">
                  <c:v>20</c:v>
                </c:pt>
                <c:pt idx="3">
                  <c:v>21</c:v>
                </c:pt>
                <c:pt idx="4">
                  <c:v>22</c:v>
                </c:pt>
                <c:pt idx="5">
                  <c:v>23</c:v>
                </c:pt>
                <c:pt idx="6">
                  <c:v>24</c:v>
                </c:pt>
                <c:pt idx="7">
                  <c:v>25</c:v>
                </c:pt>
                <c:pt idx="8">
                  <c:v>26</c:v>
                </c:pt>
                <c:pt idx="9">
                  <c:v>27</c:v>
                </c:pt>
                <c:pt idx="10">
                  <c:v>28</c:v>
                </c:pt>
                <c:pt idx="11">
                  <c:v>29</c:v>
                </c:pt>
                <c:pt idx="12">
                  <c:v>30</c:v>
                </c:pt>
                <c:pt idx="13">
                  <c:v>元</c:v>
                </c:pt>
                <c:pt idx="14">
                  <c:v>2</c:v>
                </c:pt>
                <c:pt idx="15">
                  <c:v>3</c:v>
                </c:pt>
                <c:pt idx="16">
                  <c:v>4</c:v>
                </c:pt>
                <c:pt idx="17">
                  <c:v>5</c:v>
                </c:pt>
                <c:pt idx="18">
                  <c:v>6</c:v>
                </c:pt>
                <c:pt idx="19">
                  <c:v>7</c:v>
                </c:pt>
              </c:strCache>
            </c:strRef>
          </c:cat>
          <c:val>
            <c:numRef>
              <c:f>'16ページ死亡事故の推移 '!$G$66:$Z$66</c:f>
              <c:numCache>
                <c:formatCode>#,##0_);[Red]\(#,##0\)</c:formatCode>
                <c:ptCount val="20"/>
                <c:pt idx="0">
                  <c:v>14</c:v>
                </c:pt>
                <c:pt idx="1">
                  <c:v>14</c:v>
                </c:pt>
                <c:pt idx="2">
                  <c:v>16</c:v>
                </c:pt>
                <c:pt idx="3" formatCode="General">
                  <c:v>7</c:v>
                </c:pt>
                <c:pt idx="4" formatCode="General">
                  <c:v>18</c:v>
                </c:pt>
                <c:pt idx="5" formatCode="General">
                  <c:v>12</c:v>
                </c:pt>
                <c:pt idx="6" formatCode="General">
                  <c:v>14</c:v>
                </c:pt>
                <c:pt idx="7" formatCode="General">
                  <c:v>9</c:v>
                </c:pt>
                <c:pt idx="8" formatCode="General">
                  <c:v>7</c:v>
                </c:pt>
                <c:pt idx="9" formatCode="General">
                  <c:v>10</c:v>
                </c:pt>
                <c:pt idx="10" formatCode="General">
                  <c:v>12</c:v>
                </c:pt>
                <c:pt idx="11" formatCode="General">
                  <c:v>8</c:v>
                </c:pt>
                <c:pt idx="12" formatCode="General">
                  <c:v>11</c:v>
                </c:pt>
                <c:pt idx="13" formatCode="General">
                  <c:v>4</c:v>
                </c:pt>
                <c:pt idx="14" formatCode="General">
                  <c:v>5</c:v>
                </c:pt>
                <c:pt idx="15" formatCode="General">
                  <c:v>14</c:v>
                </c:pt>
                <c:pt idx="16" formatCode="General">
                  <c:v>8</c:v>
                </c:pt>
                <c:pt idx="17" formatCode="General">
                  <c:v>10</c:v>
                </c:pt>
                <c:pt idx="18" formatCode="General">
                  <c:v>9</c:v>
                </c:pt>
                <c:pt idx="19" formatCode="General">
                  <c:v>12</c:v>
                </c:pt>
              </c:numCache>
            </c:numRef>
          </c:val>
          <c:extLst>
            <c:ext xmlns:c16="http://schemas.microsoft.com/office/drawing/2014/chart" uri="{C3380CC4-5D6E-409C-BE32-E72D297353CC}">
              <c16:uniqueId val="{00000003-976C-4E19-99F5-E59B53DFFC6F}"/>
            </c:ext>
          </c:extLst>
        </c:ser>
        <c:ser>
          <c:idx val="3"/>
          <c:order val="3"/>
          <c:tx>
            <c:strRef>
              <c:f>'16ページ死亡事故の推移 '!$A$67</c:f>
              <c:strCache>
                <c:ptCount val="1"/>
                <c:pt idx="0">
                  <c:v>原付</c:v>
                </c:pt>
              </c:strCache>
            </c:strRef>
          </c:tx>
          <c:spPr>
            <a:ln>
              <a:solidFill>
                <a:prstClr val="black"/>
              </a:solidFill>
            </a:ln>
          </c:spPr>
          <c:invertIfNegative val="0"/>
          <c:dLbls>
            <c:spPr>
              <a:noFill/>
              <a:ln w="25400">
                <a:noFill/>
              </a:ln>
            </c:spPr>
            <c:txPr>
              <a:bodyPr/>
              <a:lstStyle/>
              <a:p>
                <a:pPr>
                  <a:defRPr sz="10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'16ページ死亡事故の推移 '!$G$58:$Z$59</c:f>
              <c:strCache>
                <c:ptCount val="20"/>
                <c:pt idx="0">
                  <c:v>18</c:v>
                </c:pt>
                <c:pt idx="1">
                  <c:v>19</c:v>
                </c:pt>
                <c:pt idx="2">
                  <c:v>20</c:v>
                </c:pt>
                <c:pt idx="3">
                  <c:v>21</c:v>
                </c:pt>
                <c:pt idx="4">
                  <c:v>22</c:v>
                </c:pt>
                <c:pt idx="5">
                  <c:v>23</c:v>
                </c:pt>
                <c:pt idx="6">
                  <c:v>24</c:v>
                </c:pt>
                <c:pt idx="7">
                  <c:v>25</c:v>
                </c:pt>
                <c:pt idx="8">
                  <c:v>26</c:v>
                </c:pt>
                <c:pt idx="9">
                  <c:v>27</c:v>
                </c:pt>
                <c:pt idx="10">
                  <c:v>28</c:v>
                </c:pt>
                <c:pt idx="11">
                  <c:v>29</c:v>
                </c:pt>
                <c:pt idx="12">
                  <c:v>30</c:v>
                </c:pt>
                <c:pt idx="13">
                  <c:v>元</c:v>
                </c:pt>
                <c:pt idx="14">
                  <c:v>2</c:v>
                </c:pt>
                <c:pt idx="15">
                  <c:v>3</c:v>
                </c:pt>
                <c:pt idx="16">
                  <c:v>4</c:v>
                </c:pt>
                <c:pt idx="17">
                  <c:v>5</c:v>
                </c:pt>
                <c:pt idx="18">
                  <c:v>6</c:v>
                </c:pt>
                <c:pt idx="19">
                  <c:v>7</c:v>
                </c:pt>
              </c:strCache>
            </c:strRef>
          </c:cat>
          <c:val>
            <c:numRef>
              <c:f>'16ページ死亡事故の推移 '!$G$67:$Z$67</c:f>
              <c:numCache>
                <c:formatCode>#,##0_);[Red]\(#,##0\)</c:formatCode>
                <c:ptCount val="20"/>
                <c:pt idx="0">
                  <c:v>14</c:v>
                </c:pt>
                <c:pt idx="1">
                  <c:v>8</c:v>
                </c:pt>
                <c:pt idx="2">
                  <c:v>11</c:v>
                </c:pt>
                <c:pt idx="3" formatCode="General">
                  <c:v>7</c:v>
                </c:pt>
                <c:pt idx="4" formatCode="General">
                  <c:v>3</c:v>
                </c:pt>
                <c:pt idx="5" formatCode="General">
                  <c:v>6</c:v>
                </c:pt>
                <c:pt idx="6" formatCode="General">
                  <c:v>5</c:v>
                </c:pt>
                <c:pt idx="7" formatCode="General">
                  <c:v>6</c:v>
                </c:pt>
                <c:pt idx="8" formatCode="General">
                  <c:v>1</c:v>
                </c:pt>
                <c:pt idx="9" formatCode="General">
                  <c:v>3</c:v>
                </c:pt>
                <c:pt idx="10" formatCode="General">
                  <c:v>3</c:v>
                </c:pt>
                <c:pt idx="11" formatCode="General">
                  <c:v>1</c:v>
                </c:pt>
                <c:pt idx="12" formatCode="General">
                  <c:v>6</c:v>
                </c:pt>
                <c:pt idx="13" formatCode="General">
                  <c:v>0</c:v>
                </c:pt>
                <c:pt idx="14" formatCode="General">
                  <c:v>1</c:v>
                </c:pt>
                <c:pt idx="15" formatCode="General">
                  <c:v>2</c:v>
                </c:pt>
                <c:pt idx="16" formatCode="General">
                  <c:v>3</c:v>
                </c:pt>
                <c:pt idx="17" formatCode="General">
                  <c:v>3</c:v>
                </c:pt>
                <c:pt idx="18" formatCode="General">
                  <c:v>1</c:v>
                </c:pt>
                <c:pt idx="19" formatCode="General">
                  <c:v>4</c:v>
                </c:pt>
              </c:numCache>
            </c:numRef>
          </c:val>
          <c:extLst>
            <c:ext xmlns:c16="http://schemas.microsoft.com/office/drawing/2014/chart" uri="{C3380CC4-5D6E-409C-BE32-E72D297353CC}">
              <c16:uniqueId val="{00000004-976C-4E19-99F5-E59B53DFFC6F}"/>
            </c:ext>
          </c:extLst>
        </c:ser>
        <c:ser>
          <c:idx val="4"/>
          <c:order val="4"/>
          <c:tx>
            <c:strRef>
              <c:f>'16ページ死亡事故の推移 '!$A$68</c:f>
              <c:strCache>
                <c:ptCount val="1"/>
                <c:pt idx="0">
                  <c:v>その他</c:v>
                </c:pt>
              </c:strCache>
            </c:strRef>
          </c:tx>
          <c:spPr>
            <a:ln>
              <a:solidFill>
                <a:prstClr val="black"/>
              </a:solidFill>
            </a:ln>
          </c:spPr>
          <c:invertIfNegative val="0"/>
          <c:dLbls>
            <c:dLbl>
              <c:idx val="6"/>
              <c:layout>
                <c:manualLayout>
                  <c:x val="2.3557126030624262E-3"/>
                  <c:y val="-7.87401574803149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720-4843-93EE-40F39F482F54}"/>
                </c:ext>
              </c:extLst>
            </c:dLbl>
            <c:dLbl>
              <c:idx val="7"/>
              <c:layout>
                <c:manualLayout>
                  <c:x val="0"/>
                  <c:y val="-1.83727034120734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94D-4B90-9BD0-1C65F77C5B4C}"/>
                </c:ext>
              </c:extLst>
            </c:dLbl>
            <c:dLbl>
              <c:idx val="11"/>
              <c:layout>
                <c:manualLayout>
                  <c:x val="0"/>
                  <c:y val="-1.574803149606299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720-4843-93EE-40F39F482F54}"/>
                </c:ext>
              </c:extLst>
            </c:dLbl>
            <c:dLbl>
              <c:idx val="12"/>
              <c:layout>
                <c:manualLayout>
                  <c:x val="2.3557126030624262E-3"/>
                  <c:y val="-2.0997375328083989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94D-4B90-9BD0-1C65F77C5B4C}"/>
                </c:ext>
              </c:extLst>
            </c:dLbl>
            <c:dLbl>
              <c:idx val="13"/>
              <c:layout>
                <c:manualLayout>
                  <c:x val="8.6375130966072036E-17"/>
                  <c:y val="-1.837270341207349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976C-4E19-99F5-E59B53DFFC6F}"/>
                </c:ext>
              </c:extLst>
            </c:dLbl>
            <c:dLbl>
              <c:idx val="14"/>
              <c:layout>
                <c:manualLayout>
                  <c:x val="-8.6375130966072036E-17"/>
                  <c:y val="-2.0997375328083989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76C-4E19-99F5-E59B53DFFC6F}"/>
                </c:ext>
              </c:extLst>
            </c:dLbl>
            <c:dLbl>
              <c:idx val="15"/>
              <c:layout>
                <c:manualLayout>
                  <c:x val="-1.7275026193214407E-16"/>
                  <c:y val="-3.412073490813648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76C-4E19-99F5-E59B53DFFC6F}"/>
                </c:ext>
              </c:extLst>
            </c:dLbl>
            <c:spPr>
              <a:noFill/>
              <a:ln w="25400">
                <a:noFill/>
              </a:ln>
            </c:spPr>
            <c:txPr>
              <a:bodyPr/>
              <a:lstStyle/>
              <a:p>
                <a:pPr>
                  <a:defRPr sz="10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'16ページ死亡事故の推移 '!$G$58:$Z$59</c:f>
              <c:strCache>
                <c:ptCount val="20"/>
                <c:pt idx="0">
                  <c:v>18</c:v>
                </c:pt>
                <c:pt idx="1">
                  <c:v>19</c:v>
                </c:pt>
                <c:pt idx="2">
                  <c:v>20</c:v>
                </c:pt>
                <c:pt idx="3">
                  <c:v>21</c:v>
                </c:pt>
                <c:pt idx="4">
                  <c:v>22</c:v>
                </c:pt>
                <c:pt idx="5">
                  <c:v>23</c:v>
                </c:pt>
                <c:pt idx="6">
                  <c:v>24</c:v>
                </c:pt>
                <c:pt idx="7">
                  <c:v>25</c:v>
                </c:pt>
                <c:pt idx="8">
                  <c:v>26</c:v>
                </c:pt>
                <c:pt idx="9">
                  <c:v>27</c:v>
                </c:pt>
                <c:pt idx="10">
                  <c:v>28</c:v>
                </c:pt>
                <c:pt idx="11">
                  <c:v>29</c:v>
                </c:pt>
                <c:pt idx="12">
                  <c:v>30</c:v>
                </c:pt>
                <c:pt idx="13">
                  <c:v>元</c:v>
                </c:pt>
                <c:pt idx="14">
                  <c:v>2</c:v>
                </c:pt>
                <c:pt idx="15">
                  <c:v>3</c:v>
                </c:pt>
                <c:pt idx="16">
                  <c:v>4</c:v>
                </c:pt>
                <c:pt idx="17">
                  <c:v>5</c:v>
                </c:pt>
                <c:pt idx="18">
                  <c:v>6</c:v>
                </c:pt>
                <c:pt idx="19">
                  <c:v>7</c:v>
                </c:pt>
              </c:strCache>
            </c:strRef>
          </c:cat>
          <c:val>
            <c:numRef>
              <c:f>'16ページ死亡事故の推移 '!$G$68:$Z$68</c:f>
              <c:numCache>
                <c:formatCode>#,##0_);[Red]\(#,##0\)</c:formatCode>
                <c:ptCount val="20"/>
                <c:pt idx="0">
                  <c:v>5</c:v>
                </c:pt>
                <c:pt idx="1">
                  <c:v>1</c:v>
                </c:pt>
                <c:pt idx="2">
                  <c:v>2</c:v>
                </c:pt>
                <c:pt idx="3">
                  <c:v>6</c:v>
                </c:pt>
                <c:pt idx="4">
                  <c:v>3</c:v>
                </c:pt>
                <c:pt idx="5">
                  <c:v>12</c:v>
                </c:pt>
                <c:pt idx="6">
                  <c:v>1</c:v>
                </c:pt>
                <c:pt idx="7">
                  <c:v>5</c:v>
                </c:pt>
                <c:pt idx="8">
                  <c:v>2</c:v>
                </c:pt>
                <c:pt idx="9">
                  <c:v>3</c:v>
                </c:pt>
                <c:pt idx="10" formatCode="General">
                  <c:v>6</c:v>
                </c:pt>
                <c:pt idx="11">
                  <c:v>5</c:v>
                </c:pt>
                <c:pt idx="12">
                  <c:v>4</c:v>
                </c:pt>
                <c:pt idx="13" formatCode="General">
                  <c:v>4</c:v>
                </c:pt>
                <c:pt idx="14" formatCode="General">
                  <c:v>3</c:v>
                </c:pt>
                <c:pt idx="15" formatCode="General">
                  <c:v>3</c:v>
                </c:pt>
                <c:pt idx="16" formatCode="General">
                  <c:v>9</c:v>
                </c:pt>
                <c:pt idx="17" formatCode="General">
                  <c:v>1</c:v>
                </c:pt>
                <c:pt idx="18" formatCode="General">
                  <c:v>5</c:v>
                </c:pt>
                <c:pt idx="19" formatCode="General">
                  <c:v>2</c:v>
                </c:pt>
              </c:numCache>
            </c:numRef>
          </c:val>
          <c:extLst>
            <c:ext xmlns:c16="http://schemas.microsoft.com/office/drawing/2014/chart" uri="{C3380CC4-5D6E-409C-BE32-E72D297353CC}">
              <c16:uniqueId val="{0000000C-976C-4E19-99F5-E59B53DFFC6F}"/>
            </c:ext>
          </c:extLst>
        </c:ser>
        <c:dLbls>
          <c:showLegendKey val="0"/>
          <c:showVal val="0"/>
          <c:showCatName val="0"/>
          <c:showSerName val="0"/>
          <c:showPercent val="0"/>
          <c:showBubbleSize val="0"/>
        </c:dLbls>
        <c:gapWidth val="150"/>
        <c:overlap val="100"/>
        <c:axId val="339860096"/>
        <c:axId val="340333312"/>
      </c:barChart>
      <c:catAx>
        <c:axId val="339860096"/>
        <c:scaling>
          <c:orientation val="minMax"/>
        </c:scaling>
        <c:delete val="0"/>
        <c:axPos val="b"/>
        <c:title>
          <c:tx>
            <c:rich>
              <a:bodyPr/>
              <a:lstStyle/>
              <a:p>
                <a:pPr>
                  <a:defRPr/>
                </a:pPr>
                <a:r>
                  <a:rPr lang="ja-JP"/>
                  <a:t>年</a:t>
                </a:r>
              </a:p>
            </c:rich>
          </c:tx>
          <c:layout>
            <c:manualLayout>
              <c:xMode val="edge"/>
              <c:yMode val="edge"/>
              <c:x val="0.46581879561874556"/>
              <c:y val="0.94968462603591874"/>
            </c:manualLayout>
          </c:layout>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a:pPr>
            <a:endParaRPr lang="ja-JP"/>
          </a:p>
        </c:txPr>
        <c:crossAx val="340333312"/>
        <c:crosses val="autoZero"/>
        <c:auto val="1"/>
        <c:lblAlgn val="ctr"/>
        <c:lblOffset val="100"/>
        <c:tickLblSkip val="1"/>
        <c:tickMarkSkip val="1"/>
        <c:noMultiLvlLbl val="0"/>
      </c:catAx>
      <c:valAx>
        <c:axId val="340333312"/>
        <c:scaling>
          <c:orientation val="minMax"/>
        </c:scaling>
        <c:delete val="0"/>
        <c:axPos val="l"/>
        <c:majorGridlines>
          <c:spPr>
            <a:ln w="3175">
              <a:solidFill>
                <a:srgbClr val="000000"/>
              </a:solidFill>
              <a:prstDash val="solid"/>
            </a:ln>
          </c:spPr>
        </c:majorGridlines>
        <c:title>
          <c:tx>
            <c:rich>
              <a:bodyPr rot="0" vert="horz"/>
              <a:lstStyle/>
              <a:p>
                <a:pPr algn="ctr">
                  <a:defRPr/>
                </a:pPr>
                <a:r>
                  <a:rPr lang="ja-JP"/>
                  <a:t>人数</a:t>
                </a:r>
              </a:p>
            </c:rich>
          </c:tx>
          <c:layout>
            <c:manualLayout>
              <c:xMode val="edge"/>
              <c:yMode val="edge"/>
              <c:x val="2.0068181132530845E-2"/>
              <c:y val="0.41637677312807808"/>
            </c:manualLayout>
          </c:layout>
          <c:overlay val="0"/>
          <c:spPr>
            <a:noFill/>
            <a:ln w="25400">
              <a:noFill/>
            </a:ln>
          </c:spPr>
        </c:title>
        <c:numFmt formatCode="#,##0_);[Red]\(#,##0\)" sourceLinked="1"/>
        <c:majorTickMark val="in"/>
        <c:minorTickMark val="none"/>
        <c:tickLblPos val="nextTo"/>
        <c:spPr>
          <a:ln w="3175">
            <a:solidFill>
              <a:srgbClr val="000000"/>
            </a:solidFill>
            <a:prstDash val="solid"/>
          </a:ln>
        </c:spPr>
        <c:txPr>
          <a:bodyPr rot="0" vert="horz"/>
          <a:lstStyle/>
          <a:p>
            <a:pPr>
              <a:defRPr/>
            </a:pPr>
            <a:endParaRPr lang="ja-JP"/>
          </a:p>
        </c:txPr>
        <c:crossAx val="339860096"/>
        <c:crosses val="autoZero"/>
        <c:crossBetween val="between"/>
      </c:valAx>
      <c:spPr>
        <a:solidFill>
          <a:srgbClr val="FFFFFF"/>
        </a:solidFill>
        <a:ln w="12700">
          <a:solidFill>
            <a:srgbClr val="808080"/>
          </a:solidFill>
          <a:prstDash val="solid"/>
        </a:ln>
      </c:spPr>
    </c:plotArea>
    <c:legend>
      <c:legendPos val="r"/>
      <c:layout>
        <c:manualLayout>
          <c:xMode val="edge"/>
          <c:yMode val="edge"/>
          <c:x val="0.32978222549767483"/>
          <c:y val="8.6919500231010444E-2"/>
          <c:w val="0.63093251274625151"/>
          <c:h val="6.2554680664916901E-2"/>
        </c:manualLayout>
      </c:layout>
      <c:overlay val="0"/>
      <c:spPr>
        <a:solidFill>
          <a:srgbClr val="FFFFFF"/>
        </a:solidFill>
        <a:ln w="3175">
          <a:noFill/>
          <a:prstDash val="solid"/>
        </a:ln>
      </c:spPr>
      <c:txPr>
        <a:bodyPr/>
        <a:lstStyle/>
        <a:p>
          <a:pPr>
            <a:defRPr sz="1100" baseline="0"/>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Footer>&amp;C－１５－</c:oddFooter>
    </c:headerFooter>
    <c:pageMargins b="0.98399999999999999" l="0.78700000000000003" r="0.78700000000000003" t="0.98399999999999999" header="0.51200000000000001" footer="0.51200000000000001"/>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ＭＳ Ｐゴシック"/>
                <a:ea typeface="ＭＳ Ｐゴシック"/>
                <a:cs typeface="ＭＳ Ｐゴシック"/>
              </a:defRPr>
            </a:pPr>
            <a:r>
              <a:rPr lang="ja-JP" altLang="en-US" b="1"/>
              <a:t>高齢者の月別交通事故死者数・負傷者数</a:t>
            </a:r>
          </a:p>
        </c:rich>
      </c:tx>
      <c:layout>
        <c:manualLayout>
          <c:xMode val="edge"/>
          <c:yMode val="edge"/>
          <c:x val="0.32559404143630982"/>
          <c:y val="4.8940403428592405E-2"/>
        </c:manualLayout>
      </c:layout>
      <c:overlay val="0"/>
      <c:spPr>
        <a:noFill/>
        <a:ln w="25400">
          <a:noFill/>
        </a:ln>
      </c:spPr>
    </c:title>
    <c:autoTitleDeleted val="0"/>
    <c:plotArea>
      <c:layout>
        <c:manualLayout>
          <c:layoutTarget val="inner"/>
          <c:xMode val="edge"/>
          <c:yMode val="edge"/>
          <c:x val="8.4601133634891384E-2"/>
          <c:y val="0.15550098195767484"/>
          <c:w val="0.83560870050818115"/>
          <c:h val="0.57863920856046835"/>
        </c:manualLayout>
      </c:layout>
      <c:barChart>
        <c:barDir val="col"/>
        <c:grouping val="clustered"/>
        <c:varyColors val="0"/>
        <c:ser>
          <c:idx val="1"/>
          <c:order val="0"/>
          <c:tx>
            <c:v>死者数</c:v>
          </c:tx>
          <c:spPr>
            <a:solidFill>
              <a:srgbClr val="808080"/>
            </a:solidFill>
            <a:ln w="12700">
              <a:solidFill>
                <a:srgbClr val="000000"/>
              </a:solidFill>
              <a:prstDash val="solid"/>
            </a:ln>
          </c:spPr>
          <c:invertIfNegative val="0"/>
          <c:val>
            <c:numRef>
              <c:f>'17ページ高齢者（推移）'!$E$34:$P$34</c:f>
              <c:numCache>
                <c:formatCode>#,##0_);[Red]\(#,##0\)</c:formatCode>
                <c:ptCount val="12"/>
                <c:pt idx="0">
                  <c:v>1</c:v>
                </c:pt>
                <c:pt idx="1">
                  <c:v>0</c:v>
                </c:pt>
                <c:pt idx="2">
                  <c:v>3</c:v>
                </c:pt>
                <c:pt idx="3">
                  <c:v>0</c:v>
                </c:pt>
                <c:pt idx="4">
                  <c:v>2</c:v>
                </c:pt>
                <c:pt idx="5">
                  <c:v>0</c:v>
                </c:pt>
                <c:pt idx="6">
                  <c:v>1</c:v>
                </c:pt>
                <c:pt idx="7">
                  <c:v>1</c:v>
                </c:pt>
                <c:pt idx="8">
                  <c:v>1</c:v>
                </c:pt>
                <c:pt idx="9">
                  <c:v>2</c:v>
                </c:pt>
                <c:pt idx="10">
                  <c:v>3</c:v>
                </c:pt>
                <c:pt idx="11">
                  <c:v>0</c:v>
                </c:pt>
              </c:numCache>
            </c:numRef>
          </c:val>
          <c:extLst>
            <c:ext xmlns:c16="http://schemas.microsoft.com/office/drawing/2014/chart" uri="{C3380CC4-5D6E-409C-BE32-E72D297353CC}">
              <c16:uniqueId val="{00000000-BBF1-47CD-8675-0192DA279E95}"/>
            </c:ext>
          </c:extLst>
        </c:ser>
        <c:dLbls>
          <c:showLegendKey val="0"/>
          <c:showVal val="0"/>
          <c:showCatName val="0"/>
          <c:showSerName val="0"/>
          <c:showPercent val="0"/>
          <c:showBubbleSize val="0"/>
        </c:dLbls>
        <c:gapWidth val="150"/>
        <c:axId val="340365696"/>
        <c:axId val="340368000"/>
      </c:barChart>
      <c:lineChart>
        <c:grouping val="standard"/>
        <c:varyColors val="0"/>
        <c:ser>
          <c:idx val="0"/>
          <c:order val="1"/>
          <c:tx>
            <c:v>負傷者数</c:v>
          </c:tx>
          <c:spPr>
            <a:ln w="12700">
              <a:solidFill>
                <a:srgbClr val="000080"/>
              </a:solidFill>
              <a:prstDash val="solid"/>
            </a:ln>
          </c:spPr>
          <c:marker>
            <c:symbol val="diamond"/>
            <c:size val="5"/>
            <c:spPr>
              <a:solidFill>
                <a:srgbClr val="000080"/>
              </a:solidFill>
              <a:ln>
                <a:solidFill>
                  <a:srgbClr val="000080"/>
                </a:solidFill>
                <a:prstDash val="solid"/>
              </a:ln>
            </c:spPr>
          </c:marker>
          <c:val>
            <c:numRef>
              <c:f>'17ページ高齢者（推移）'!$E$35:$P$35</c:f>
              <c:numCache>
                <c:formatCode>#,##0_);[Red]\(#,##0\)</c:formatCode>
                <c:ptCount val="12"/>
                <c:pt idx="0">
                  <c:v>96</c:v>
                </c:pt>
                <c:pt idx="1">
                  <c:v>99</c:v>
                </c:pt>
                <c:pt idx="2">
                  <c:v>85</c:v>
                </c:pt>
                <c:pt idx="3">
                  <c:v>107</c:v>
                </c:pt>
                <c:pt idx="4">
                  <c:v>87</c:v>
                </c:pt>
                <c:pt idx="5">
                  <c:v>90</c:v>
                </c:pt>
                <c:pt idx="6">
                  <c:v>83</c:v>
                </c:pt>
                <c:pt idx="7">
                  <c:v>98</c:v>
                </c:pt>
                <c:pt idx="8">
                  <c:v>81</c:v>
                </c:pt>
                <c:pt idx="9">
                  <c:v>100</c:v>
                </c:pt>
                <c:pt idx="10">
                  <c:v>71</c:v>
                </c:pt>
                <c:pt idx="11">
                  <c:v>125</c:v>
                </c:pt>
              </c:numCache>
            </c:numRef>
          </c:val>
          <c:smooth val="0"/>
          <c:extLst>
            <c:ext xmlns:c16="http://schemas.microsoft.com/office/drawing/2014/chart" uri="{C3380CC4-5D6E-409C-BE32-E72D297353CC}">
              <c16:uniqueId val="{00000001-BBF1-47CD-8675-0192DA279E95}"/>
            </c:ext>
          </c:extLst>
        </c:ser>
        <c:dLbls>
          <c:showLegendKey val="0"/>
          <c:showVal val="0"/>
          <c:showCatName val="0"/>
          <c:showSerName val="0"/>
          <c:showPercent val="0"/>
          <c:showBubbleSize val="0"/>
        </c:dLbls>
        <c:marker val="1"/>
        <c:smooth val="0"/>
        <c:axId val="340370176"/>
        <c:axId val="340371712"/>
      </c:lineChart>
      <c:catAx>
        <c:axId val="340365696"/>
        <c:scaling>
          <c:orientation val="minMax"/>
        </c:scaling>
        <c:delete val="0"/>
        <c:axPos val="b"/>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a:t>月</a:t>
                </a:r>
              </a:p>
            </c:rich>
          </c:tx>
          <c:layout>
            <c:manualLayout>
              <c:xMode val="edge"/>
              <c:yMode val="edge"/>
              <c:x val="0.48708340313843751"/>
              <c:y val="0.80152304388524864"/>
            </c:manualLayout>
          </c:layout>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40368000"/>
        <c:crosses val="autoZero"/>
        <c:auto val="0"/>
        <c:lblAlgn val="ctr"/>
        <c:lblOffset val="100"/>
        <c:tickLblSkip val="1"/>
        <c:tickMarkSkip val="1"/>
        <c:noMultiLvlLbl val="0"/>
      </c:catAx>
      <c:valAx>
        <c:axId val="340368000"/>
        <c:scaling>
          <c:orientation val="minMax"/>
        </c:scaling>
        <c:delete val="0"/>
        <c:axPos val="l"/>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sz="900"/>
                  <a:t>死者数（人）</a:t>
                </a:r>
              </a:p>
            </c:rich>
          </c:tx>
          <c:layout>
            <c:manualLayout>
              <c:xMode val="edge"/>
              <c:yMode val="edge"/>
              <c:x val="2.5319148936170217E-2"/>
              <c:y val="5.1057394049520033E-2"/>
            </c:manualLayout>
          </c:layout>
          <c:overlay val="0"/>
          <c:spPr>
            <a:noFill/>
            <a:ln w="25400">
              <a:noFill/>
            </a:ln>
          </c:spPr>
        </c:title>
        <c:numFmt formatCode="#,##0_);[Red]\(#,##0\)"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40365696"/>
        <c:crosses val="autoZero"/>
        <c:crossBetween val="between"/>
        <c:majorUnit val="1"/>
      </c:valAx>
      <c:catAx>
        <c:axId val="340370176"/>
        <c:scaling>
          <c:orientation val="minMax"/>
        </c:scaling>
        <c:delete val="1"/>
        <c:axPos val="b"/>
        <c:majorTickMark val="out"/>
        <c:minorTickMark val="none"/>
        <c:tickLblPos val="nextTo"/>
        <c:crossAx val="340371712"/>
        <c:crosses val="autoZero"/>
        <c:auto val="0"/>
        <c:lblAlgn val="ctr"/>
        <c:lblOffset val="100"/>
        <c:noMultiLvlLbl val="0"/>
      </c:catAx>
      <c:valAx>
        <c:axId val="340371712"/>
        <c:scaling>
          <c:orientation val="minMax"/>
          <c:max val="150"/>
          <c:min val="0"/>
        </c:scaling>
        <c:delete val="0"/>
        <c:axPos val="r"/>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sz="900"/>
                  <a:t>負傷者数（人）</a:t>
                </a:r>
              </a:p>
            </c:rich>
          </c:tx>
          <c:layout>
            <c:manualLayout>
              <c:xMode val="edge"/>
              <c:yMode val="edge"/>
              <c:x val="0.87841319037248"/>
              <c:y val="4.898555512728741E-2"/>
            </c:manualLayout>
          </c:layout>
          <c:overlay val="0"/>
          <c:spPr>
            <a:noFill/>
            <a:ln w="25400">
              <a:noFill/>
            </a:ln>
          </c:spPr>
        </c:title>
        <c:numFmt formatCode="#,##0_);[Red]\(#,##0\)"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40370176"/>
        <c:crosses val="max"/>
        <c:crossBetween val="between"/>
      </c:valAx>
      <c:spPr>
        <a:solidFill>
          <a:srgbClr val="FFFFFF"/>
        </a:solidFill>
        <a:ln w="12700">
          <a:solidFill>
            <a:srgbClr val="808080"/>
          </a:solidFill>
          <a:prstDash val="solid"/>
        </a:ln>
      </c:spPr>
    </c:plotArea>
    <c:legend>
      <c:legendPos val="r"/>
      <c:layout>
        <c:manualLayout>
          <c:xMode val="edge"/>
          <c:yMode val="edge"/>
          <c:x val="0.55826241134751775"/>
          <c:y val="0.16725734204360101"/>
          <c:w val="0.27925531914893614"/>
          <c:h val="8.4905569769078537E-2"/>
        </c:manualLayout>
      </c:layout>
      <c:overlay val="0"/>
      <c:spPr>
        <a:noFill/>
        <a:ln w="3175">
          <a:noFill/>
          <a:prstDash val="solid"/>
        </a:ln>
      </c:spPr>
      <c:txPr>
        <a:bodyPr/>
        <a:lstStyle/>
        <a:p>
          <a:pPr>
            <a:defRPr sz="90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3175">
      <a:noFill/>
      <a:prstDash val="solid"/>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Header>&amp;A</c:oddHeader>
      <c:oddFooter>Page &amp;P</c:oddFooter>
    </c:headerFooter>
    <c:pageMargins b="0.98399999999999999" l="0.78700000000000003" r="0.78700000000000003" t="0.98399999999999999" header="0.5" footer="0.5"/>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400" b="1" i="0" u="none" strike="noStrike" baseline="0">
                <a:solidFill>
                  <a:srgbClr val="000000"/>
                </a:solidFill>
                <a:latin typeface="ＭＳ Ｐゴシック"/>
                <a:ea typeface="ＭＳ Ｐゴシック"/>
                <a:cs typeface="ＭＳ Ｐゴシック"/>
              </a:defRPr>
            </a:pPr>
            <a:r>
              <a:rPr lang="ja-JP" altLang="en-US" sz="1400" b="1"/>
              <a:t>こどもの月別交通事故死者数･負傷者数</a:t>
            </a:r>
          </a:p>
        </c:rich>
      </c:tx>
      <c:layout>
        <c:manualLayout>
          <c:xMode val="edge"/>
          <c:yMode val="edge"/>
          <c:x val="0.26797001402221976"/>
          <c:y val="0.11371855906809013"/>
        </c:manualLayout>
      </c:layout>
      <c:overlay val="0"/>
      <c:spPr>
        <a:noFill/>
        <a:ln w="25400">
          <a:noFill/>
        </a:ln>
      </c:spPr>
    </c:title>
    <c:autoTitleDeleted val="0"/>
    <c:plotArea>
      <c:layout>
        <c:manualLayout>
          <c:layoutTarget val="inner"/>
          <c:xMode val="edge"/>
          <c:yMode val="edge"/>
          <c:x val="0.11131534305409833"/>
          <c:y val="0.19999005478516174"/>
          <c:w val="0.82241283507058505"/>
          <c:h val="0.65626180994262029"/>
        </c:manualLayout>
      </c:layout>
      <c:barChart>
        <c:barDir val="col"/>
        <c:grouping val="clustered"/>
        <c:varyColors val="0"/>
        <c:ser>
          <c:idx val="1"/>
          <c:order val="0"/>
          <c:tx>
            <c:v>負傷者数</c:v>
          </c:tx>
          <c:spPr>
            <a:solidFill>
              <a:srgbClr val="808080"/>
            </a:solidFill>
            <a:ln w="12700">
              <a:solidFill>
                <a:srgbClr val="000000"/>
              </a:solidFill>
              <a:prstDash val="solid"/>
            </a:ln>
          </c:spPr>
          <c:invertIfNegative val="0"/>
          <c:val>
            <c:numRef>
              <c:f>'２０ページこども（推移）'!$S$32:$AD$32</c:f>
              <c:numCache>
                <c:formatCode>#,##0_);[Red]\(#,##0\)</c:formatCode>
                <c:ptCount val="12"/>
                <c:pt idx="0">
                  <c:v>24</c:v>
                </c:pt>
                <c:pt idx="1">
                  <c:v>30</c:v>
                </c:pt>
                <c:pt idx="2">
                  <c:v>39</c:v>
                </c:pt>
                <c:pt idx="3">
                  <c:v>31</c:v>
                </c:pt>
                <c:pt idx="4">
                  <c:v>22</c:v>
                </c:pt>
                <c:pt idx="5">
                  <c:v>32</c:v>
                </c:pt>
                <c:pt idx="6">
                  <c:v>42</c:v>
                </c:pt>
                <c:pt idx="7">
                  <c:v>30</c:v>
                </c:pt>
                <c:pt idx="8">
                  <c:v>25</c:v>
                </c:pt>
                <c:pt idx="9">
                  <c:v>28</c:v>
                </c:pt>
                <c:pt idx="10">
                  <c:v>28</c:v>
                </c:pt>
                <c:pt idx="11">
                  <c:v>35</c:v>
                </c:pt>
              </c:numCache>
            </c:numRef>
          </c:val>
          <c:extLst>
            <c:ext xmlns:c16="http://schemas.microsoft.com/office/drawing/2014/chart" uri="{C3380CC4-5D6E-409C-BE32-E72D297353CC}">
              <c16:uniqueId val="{00000000-A4FD-4835-A557-3B1E13EADAA3}"/>
            </c:ext>
          </c:extLst>
        </c:ser>
        <c:dLbls>
          <c:showLegendKey val="0"/>
          <c:showVal val="0"/>
          <c:showCatName val="0"/>
          <c:showSerName val="0"/>
          <c:showPercent val="0"/>
          <c:showBubbleSize val="0"/>
        </c:dLbls>
        <c:gapWidth val="150"/>
        <c:axId val="344316928"/>
        <c:axId val="344319488"/>
      </c:barChart>
      <c:lineChart>
        <c:grouping val="standard"/>
        <c:varyColors val="0"/>
        <c:ser>
          <c:idx val="0"/>
          <c:order val="1"/>
          <c:tx>
            <c:v>死者数</c:v>
          </c:tx>
          <c:spPr>
            <a:ln w="12700">
              <a:solidFill>
                <a:srgbClr val="000080"/>
              </a:solidFill>
              <a:prstDash val="solid"/>
            </a:ln>
          </c:spPr>
          <c:marker>
            <c:symbol val="diamond"/>
            <c:size val="5"/>
            <c:spPr>
              <a:solidFill>
                <a:srgbClr val="000080"/>
              </a:solidFill>
              <a:ln>
                <a:solidFill>
                  <a:srgbClr val="000080"/>
                </a:solidFill>
                <a:prstDash val="solid"/>
              </a:ln>
            </c:spPr>
          </c:marker>
          <c:val>
            <c:numRef>
              <c:f>'２０ページこども（推移）'!$S$31:$AD$31</c:f>
              <c:numCache>
                <c:formatCode>General</c:formatCode>
                <c:ptCount val="12"/>
                <c:pt idx="0">
                  <c:v>0</c:v>
                </c:pt>
                <c:pt idx="1">
                  <c:v>0</c:v>
                </c:pt>
                <c:pt idx="2">
                  <c:v>0</c:v>
                </c:pt>
                <c:pt idx="3">
                  <c:v>0</c:v>
                </c:pt>
                <c:pt idx="4">
                  <c:v>0</c:v>
                </c:pt>
                <c:pt idx="5">
                  <c:v>0</c:v>
                </c:pt>
                <c:pt idx="6">
                  <c:v>0</c:v>
                </c:pt>
                <c:pt idx="7">
                  <c:v>0</c:v>
                </c:pt>
                <c:pt idx="8">
                  <c:v>0</c:v>
                </c:pt>
                <c:pt idx="9">
                  <c:v>1</c:v>
                </c:pt>
                <c:pt idx="10">
                  <c:v>0</c:v>
                </c:pt>
                <c:pt idx="11">
                  <c:v>0</c:v>
                </c:pt>
              </c:numCache>
            </c:numRef>
          </c:val>
          <c:smooth val="0"/>
          <c:extLst>
            <c:ext xmlns:c16="http://schemas.microsoft.com/office/drawing/2014/chart" uri="{C3380CC4-5D6E-409C-BE32-E72D297353CC}">
              <c16:uniqueId val="{00000001-A4FD-4835-A557-3B1E13EADAA3}"/>
            </c:ext>
          </c:extLst>
        </c:ser>
        <c:dLbls>
          <c:showLegendKey val="0"/>
          <c:showVal val="0"/>
          <c:showCatName val="0"/>
          <c:showSerName val="0"/>
          <c:showPercent val="0"/>
          <c:showBubbleSize val="0"/>
        </c:dLbls>
        <c:marker val="1"/>
        <c:smooth val="0"/>
        <c:axId val="344321408"/>
        <c:axId val="344323200"/>
      </c:lineChart>
      <c:catAx>
        <c:axId val="344316928"/>
        <c:scaling>
          <c:orientation val="minMax"/>
        </c:scaling>
        <c:delete val="0"/>
        <c:axPos val="b"/>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a:t>月</a:t>
                </a:r>
              </a:p>
            </c:rich>
          </c:tx>
          <c:layout>
            <c:manualLayout>
              <c:xMode val="edge"/>
              <c:yMode val="edge"/>
              <c:x val="0.4337178818065609"/>
              <c:y val="0.92291867882419065"/>
            </c:manualLayout>
          </c:layout>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44319488"/>
        <c:crosses val="autoZero"/>
        <c:auto val="0"/>
        <c:lblAlgn val="ctr"/>
        <c:lblOffset val="100"/>
        <c:tickLblSkip val="1"/>
        <c:tickMarkSkip val="1"/>
        <c:noMultiLvlLbl val="0"/>
      </c:catAx>
      <c:valAx>
        <c:axId val="344319488"/>
        <c:scaling>
          <c:orientation val="minMax"/>
          <c:max val="50"/>
        </c:scaling>
        <c:delete val="0"/>
        <c:axPos val="l"/>
        <c:title>
          <c:tx>
            <c:rich>
              <a:bodyPr rot="0" vert="horz"/>
              <a:lstStyle/>
              <a:p>
                <a:pPr algn="ctr">
                  <a:defRPr sz="1000" b="0" i="0" u="none" strike="noStrike" baseline="0">
                    <a:solidFill>
                      <a:srgbClr val="000000"/>
                    </a:solidFill>
                    <a:latin typeface="ＭＳ Ｐゴシック"/>
                    <a:ea typeface="ＭＳ Ｐゴシック"/>
                    <a:cs typeface="ＭＳ Ｐゴシック"/>
                  </a:defRPr>
                </a:pPr>
                <a:r>
                  <a:rPr lang="ja-JP" altLang="en-US" sz="1000"/>
                  <a:t>負傷者数（人）</a:t>
                </a:r>
              </a:p>
            </c:rich>
          </c:tx>
          <c:layout>
            <c:manualLayout>
              <c:xMode val="edge"/>
              <c:yMode val="edge"/>
              <c:x val="1.4752584631777813E-2"/>
              <c:y val="0.11530828003995382"/>
            </c:manualLayout>
          </c:layout>
          <c:overlay val="0"/>
          <c:spPr>
            <a:noFill/>
            <a:ln w="25400">
              <a:noFill/>
            </a:ln>
          </c:spPr>
        </c:title>
        <c:numFmt formatCode="#,##0_);[Red]\(#,##0\)"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44316928"/>
        <c:crosses val="autoZero"/>
        <c:crossBetween val="between"/>
        <c:majorUnit val="10"/>
      </c:valAx>
      <c:catAx>
        <c:axId val="344321408"/>
        <c:scaling>
          <c:orientation val="minMax"/>
        </c:scaling>
        <c:delete val="1"/>
        <c:axPos val="b"/>
        <c:majorTickMark val="out"/>
        <c:minorTickMark val="none"/>
        <c:tickLblPos val="nextTo"/>
        <c:crossAx val="344323200"/>
        <c:crosses val="autoZero"/>
        <c:auto val="0"/>
        <c:lblAlgn val="ctr"/>
        <c:lblOffset val="100"/>
        <c:noMultiLvlLbl val="0"/>
      </c:catAx>
      <c:valAx>
        <c:axId val="344323200"/>
        <c:scaling>
          <c:orientation val="minMax"/>
          <c:max val="2"/>
        </c:scaling>
        <c:delete val="0"/>
        <c:axPos val="r"/>
        <c:title>
          <c:tx>
            <c:rich>
              <a:bodyPr rot="0" vert="horz"/>
              <a:lstStyle/>
              <a:p>
                <a:pPr algn="ctr">
                  <a:defRPr sz="1000" b="0" i="0" u="none" strike="noStrike" baseline="0">
                    <a:solidFill>
                      <a:srgbClr val="000000"/>
                    </a:solidFill>
                    <a:latin typeface="ＭＳ Ｐゴシック"/>
                    <a:ea typeface="ＭＳ Ｐゴシック"/>
                    <a:cs typeface="ＭＳ Ｐゴシック"/>
                  </a:defRPr>
                </a:pPr>
                <a:r>
                  <a:rPr lang="ja-JP" altLang="en-US" sz="1000"/>
                  <a:t>死者数（人）</a:t>
                </a:r>
              </a:p>
            </c:rich>
          </c:tx>
          <c:layout>
            <c:manualLayout>
              <c:xMode val="edge"/>
              <c:yMode val="edge"/>
              <c:x val="0.87390134763665128"/>
              <c:y val="0.12079998443357677"/>
            </c:manualLayout>
          </c:layout>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44321408"/>
        <c:crosses val="max"/>
        <c:crossBetween val="between"/>
        <c:majorUnit val="1"/>
      </c:valAx>
      <c:spPr>
        <a:solidFill>
          <a:srgbClr val="FFFFFF"/>
        </a:solidFill>
        <a:ln w="12700">
          <a:solidFill>
            <a:srgbClr val="808080"/>
          </a:solidFill>
          <a:prstDash val="solid"/>
        </a:ln>
      </c:spPr>
    </c:plotArea>
    <c:legend>
      <c:legendPos val="r"/>
      <c:layout>
        <c:manualLayout>
          <c:xMode val="edge"/>
          <c:yMode val="edge"/>
          <c:x val="0.74683012848798636"/>
          <c:y val="0.22560849580787573"/>
          <c:w val="0.14409237029809319"/>
          <c:h val="8.5416973605949964E-2"/>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3175">
      <a:noFill/>
      <a:prstDash val="solid"/>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Header>&amp;A</c:oddHeader>
      <c:oddFooter>Page &amp;P</c:oddFooter>
    </c:headerFooter>
    <c:pageMargins b="0.98425196850393704" l="0.98425196850393704" r="0.39370078740157483" t="0.98425196850393704" header="0.51181102362204722" footer="0.51181102362204722"/>
    <c:pageSetup paperSize="9" orientation="landscape"/>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ＭＳ Ｐゴシック"/>
                <a:ea typeface="ＭＳ Ｐゴシック"/>
                <a:cs typeface="ＭＳ Ｐゴシック"/>
              </a:defRPr>
            </a:pPr>
            <a:r>
              <a:rPr lang="ja-JP" altLang="en-US" b="1"/>
              <a:t>若年者の月別交通事故死者数･負傷者数</a:t>
            </a:r>
          </a:p>
        </c:rich>
      </c:tx>
      <c:layout>
        <c:manualLayout>
          <c:xMode val="edge"/>
          <c:yMode val="edge"/>
          <c:x val="0.29170398645356238"/>
          <c:y val="8.0863197081596075E-2"/>
        </c:manualLayout>
      </c:layout>
      <c:overlay val="0"/>
      <c:spPr>
        <a:noFill/>
        <a:ln w="25400">
          <a:noFill/>
        </a:ln>
      </c:spPr>
    </c:title>
    <c:autoTitleDeleted val="0"/>
    <c:plotArea>
      <c:layout>
        <c:manualLayout>
          <c:layoutTarget val="inner"/>
          <c:xMode val="edge"/>
          <c:yMode val="edge"/>
          <c:x val="9.2806661757041373E-2"/>
          <c:y val="0.15768043456236569"/>
          <c:w val="0.86821931723772394"/>
          <c:h val="0.75288584629508037"/>
        </c:manualLayout>
      </c:layout>
      <c:barChart>
        <c:barDir val="col"/>
        <c:grouping val="clustered"/>
        <c:varyColors val="0"/>
        <c:ser>
          <c:idx val="1"/>
          <c:order val="0"/>
          <c:tx>
            <c:v>負傷者数</c:v>
          </c:tx>
          <c:invertIfNegative val="0"/>
          <c:val>
            <c:numRef>
              <c:f>'２４ページ若年者（推移）'!$P$7:$AA$7</c:f>
              <c:numCache>
                <c:formatCode>General</c:formatCode>
                <c:ptCount val="12"/>
                <c:pt idx="0">
                  <c:v>85</c:v>
                </c:pt>
                <c:pt idx="1">
                  <c:v>82</c:v>
                </c:pt>
                <c:pt idx="2">
                  <c:v>67</c:v>
                </c:pt>
                <c:pt idx="3">
                  <c:v>76</c:v>
                </c:pt>
                <c:pt idx="4">
                  <c:v>93</c:v>
                </c:pt>
                <c:pt idx="5">
                  <c:v>85</c:v>
                </c:pt>
                <c:pt idx="6">
                  <c:v>110</c:v>
                </c:pt>
                <c:pt idx="7">
                  <c:v>68</c:v>
                </c:pt>
                <c:pt idx="8">
                  <c:v>97</c:v>
                </c:pt>
                <c:pt idx="9">
                  <c:v>103</c:v>
                </c:pt>
                <c:pt idx="10">
                  <c:v>86</c:v>
                </c:pt>
                <c:pt idx="11">
                  <c:v>115</c:v>
                </c:pt>
              </c:numCache>
            </c:numRef>
          </c:val>
          <c:extLst>
            <c:ext xmlns:c16="http://schemas.microsoft.com/office/drawing/2014/chart" uri="{C3380CC4-5D6E-409C-BE32-E72D297353CC}">
              <c16:uniqueId val="{00000000-4B6E-42DD-B899-A59299F8DB8D}"/>
            </c:ext>
          </c:extLst>
        </c:ser>
        <c:dLbls>
          <c:showLegendKey val="0"/>
          <c:showVal val="0"/>
          <c:showCatName val="0"/>
          <c:showSerName val="0"/>
          <c:showPercent val="0"/>
          <c:showBubbleSize val="0"/>
        </c:dLbls>
        <c:gapWidth val="150"/>
        <c:axId val="344642304"/>
        <c:axId val="344644608"/>
      </c:barChart>
      <c:lineChart>
        <c:grouping val="standard"/>
        <c:varyColors val="0"/>
        <c:ser>
          <c:idx val="0"/>
          <c:order val="1"/>
          <c:tx>
            <c:v>死者数</c:v>
          </c:tx>
          <c:spPr>
            <a:ln w="12700">
              <a:solidFill>
                <a:srgbClr val="000080"/>
              </a:solidFill>
              <a:prstDash val="solid"/>
            </a:ln>
          </c:spPr>
          <c:marker>
            <c:symbol val="diamond"/>
            <c:size val="5"/>
            <c:spPr>
              <a:solidFill>
                <a:srgbClr val="000080"/>
              </a:solidFill>
              <a:ln>
                <a:solidFill>
                  <a:srgbClr val="000080"/>
                </a:solidFill>
                <a:prstDash val="solid"/>
              </a:ln>
            </c:spPr>
          </c:marker>
          <c:val>
            <c:numRef>
              <c:f>'２４ページ若年者（推移）'!$P$6:$AA$6</c:f>
              <c:numCache>
                <c:formatCode>General</c:formatCode>
                <c:ptCount val="12"/>
                <c:pt idx="0">
                  <c:v>0</c:v>
                </c:pt>
                <c:pt idx="1">
                  <c:v>0</c:v>
                </c:pt>
                <c:pt idx="2">
                  <c:v>0</c:v>
                </c:pt>
                <c:pt idx="3">
                  <c:v>1</c:v>
                </c:pt>
                <c:pt idx="4">
                  <c:v>0</c:v>
                </c:pt>
                <c:pt idx="5">
                  <c:v>1</c:v>
                </c:pt>
                <c:pt idx="6">
                  <c:v>0</c:v>
                </c:pt>
                <c:pt idx="7">
                  <c:v>0</c:v>
                </c:pt>
                <c:pt idx="8">
                  <c:v>0</c:v>
                </c:pt>
                <c:pt idx="9">
                  <c:v>0</c:v>
                </c:pt>
                <c:pt idx="10">
                  <c:v>1</c:v>
                </c:pt>
                <c:pt idx="11">
                  <c:v>2</c:v>
                </c:pt>
              </c:numCache>
            </c:numRef>
          </c:val>
          <c:smooth val="0"/>
          <c:extLst>
            <c:ext xmlns:c16="http://schemas.microsoft.com/office/drawing/2014/chart" uri="{C3380CC4-5D6E-409C-BE32-E72D297353CC}">
              <c16:uniqueId val="{00000001-4B6E-42DD-B899-A59299F8DB8D}"/>
            </c:ext>
          </c:extLst>
        </c:ser>
        <c:dLbls>
          <c:showLegendKey val="0"/>
          <c:showVal val="0"/>
          <c:showCatName val="0"/>
          <c:showSerName val="0"/>
          <c:showPercent val="0"/>
          <c:showBubbleSize val="0"/>
        </c:dLbls>
        <c:marker val="1"/>
        <c:smooth val="0"/>
        <c:axId val="345052288"/>
        <c:axId val="345053824"/>
      </c:lineChart>
      <c:catAx>
        <c:axId val="344642304"/>
        <c:scaling>
          <c:orientation val="minMax"/>
        </c:scaling>
        <c:delete val="0"/>
        <c:axPos val="b"/>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a:t>月</a:t>
                </a:r>
              </a:p>
            </c:rich>
          </c:tx>
          <c:layout>
            <c:manualLayout>
              <c:xMode val="edge"/>
              <c:yMode val="edge"/>
              <c:x val="0.42479344528111834"/>
              <c:y val="0.86496526169522925"/>
            </c:manualLayout>
          </c:layout>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44644608"/>
        <c:crosses val="autoZero"/>
        <c:auto val="0"/>
        <c:lblAlgn val="ctr"/>
        <c:lblOffset val="100"/>
        <c:tickLblSkip val="1"/>
        <c:tickMarkSkip val="1"/>
        <c:noMultiLvlLbl val="0"/>
      </c:catAx>
      <c:valAx>
        <c:axId val="344644608"/>
        <c:scaling>
          <c:orientation val="minMax"/>
          <c:max val="160"/>
        </c:scaling>
        <c:delete val="0"/>
        <c:axPos val="l"/>
        <c:title>
          <c:tx>
            <c:rich>
              <a:bodyPr rot="0" vert="horz"/>
              <a:lstStyle/>
              <a:p>
                <a:pPr algn="ctr">
                  <a:defRPr sz="1000" b="0" i="0" u="none" strike="noStrike" baseline="0">
                    <a:solidFill>
                      <a:srgbClr val="000000"/>
                    </a:solidFill>
                    <a:latin typeface="ＭＳ Ｐゴシック"/>
                    <a:ea typeface="ＭＳ Ｐゴシック"/>
                    <a:cs typeface="ＭＳ Ｐゴシック"/>
                  </a:defRPr>
                </a:pPr>
                <a:r>
                  <a:rPr lang="ja-JP" altLang="en-US" sz="1000"/>
                  <a:t>負傷者数（人）</a:t>
                </a:r>
              </a:p>
            </c:rich>
          </c:tx>
          <c:layout>
            <c:manualLayout>
              <c:xMode val="edge"/>
              <c:yMode val="edge"/>
              <c:x val="1.7084169112264552E-2"/>
              <c:y val="6.0504480506340066E-2"/>
            </c:manualLayout>
          </c:layout>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44642304"/>
        <c:crosses val="autoZero"/>
        <c:crossBetween val="between"/>
        <c:majorUnit val="20"/>
      </c:valAx>
      <c:catAx>
        <c:axId val="345052288"/>
        <c:scaling>
          <c:orientation val="minMax"/>
        </c:scaling>
        <c:delete val="1"/>
        <c:axPos val="b"/>
        <c:majorTickMark val="out"/>
        <c:minorTickMark val="none"/>
        <c:tickLblPos val="nextTo"/>
        <c:crossAx val="345053824"/>
        <c:crosses val="autoZero"/>
        <c:auto val="0"/>
        <c:lblAlgn val="ctr"/>
        <c:lblOffset val="100"/>
        <c:noMultiLvlLbl val="0"/>
      </c:catAx>
      <c:valAx>
        <c:axId val="345053824"/>
        <c:scaling>
          <c:orientation val="minMax"/>
          <c:max val="4"/>
        </c:scaling>
        <c:delete val="0"/>
        <c:axPos val="r"/>
        <c:title>
          <c:tx>
            <c:rich>
              <a:bodyPr rot="0" vert="horz"/>
              <a:lstStyle/>
              <a:p>
                <a:pPr algn="ctr">
                  <a:defRPr sz="1000" b="0" i="0" u="none" strike="noStrike" baseline="0">
                    <a:solidFill>
                      <a:srgbClr val="000000"/>
                    </a:solidFill>
                    <a:latin typeface="ＭＳ Ｐゴシック"/>
                    <a:ea typeface="ＭＳ Ｐゴシック"/>
                    <a:cs typeface="ＭＳ Ｐゴシック"/>
                  </a:defRPr>
                </a:pPr>
                <a:r>
                  <a:rPr lang="ja-JP" altLang="en-US" sz="1000"/>
                  <a:t>死者数（人）</a:t>
                </a:r>
              </a:p>
            </c:rich>
          </c:tx>
          <c:layout>
            <c:manualLayout>
              <c:xMode val="edge"/>
              <c:yMode val="edge"/>
              <c:x val="0.8568556917624276"/>
              <c:y val="7.5142640463639998E-2"/>
            </c:manualLayout>
          </c:layout>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45052288"/>
        <c:crosses val="max"/>
        <c:crossBetween val="between"/>
        <c:majorUnit val="1"/>
      </c:valAx>
      <c:spPr>
        <a:solidFill>
          <a:srgbClr val="FFFFFF"/>
        </a:solidFill>
        <a:ln w="12700">
          <a:solidFill>
            <a:srgbClr val="808080"/>
          </a:solidFill>
          <a:prstDash val="solid"/>
        </a:ln>
      </c:spPr>
    </c:plotArea>
    <c:legend>
      <c:legendPos val="r"/>
      <c:layout>
        <c:manualLayout>
          <c:xMode val="edge"/>
          <c:yMode val="edge"/>
          <c:x val="0.73837023292707293"/>
          <c:y val="0.18470697590108218"/>
          <c:w val="0.16183908045977011"/>
          <c:h val="0.11131450316727239"/>
        </c:manualLayout>
      </c:layout>
      <c:overlay val="0"/>
      <c:spPr>
        <a:solidFill>
          <a:srgbClr val="FFFFFF"/>
        </a:solidFill>
        <a:ln w="3175">
          <a:noFill/>
          <a:prstDash val="solid"/>
        </a:ln>
      </c:spPr>
      <c:txPr>
        <a:bodyPr/>
        <a:lstStyle/>
        <a:p>
          <a:pPr>
            <a:defRPr sz="101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3175">
      <a:noFill/>
      <a:prstDash val="solid"/>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Header>&amp;A</c:oddHeader>
      <c:oddFooter>Page &amp;P</c:oddFooter>
    </c:headerFooter>
    <c:pageMargins b="0.98399999999999999" l="0.78700000000000003" r="0.78700000000000003" t="0.98399999999999999" header="0.5" footer="0.5"/>
    <c:pageSetup paperSize="9" orientation="landscape"/>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ＭＳ Ｐゴシック"/>
                <a:ea typeface="ＭＳ Ｐゴシック"/>
                <a:cs typeface="ＭＳ Ｐゴシック"/>
              </a:defRPr>
            </a:pPr>
            <a:r>
              <a:rPr lang="ja-JP" altLang="en-US" sz="1200" b="1"/>
              <a:t>歩行者の月別交通事故発生件数</a:t>
            </a:r>
          </a:p>
        </c:rich>
      </c:tx>
      <c:layout>
        <c:manualLayout>
          <c:xMode val="edge"/>
          <c:yMode val="edge"/>
          <c:x val="0.38160030965577013"/>
          <c:y val="6.4155472909303513E-2"/>
        </c:manualLayout>
      </c:layout>
      <c:overlay val="0"/>
      <c:spPr>
        <a:noFill/>
        <a:ln w="25400">
          <a:noFill/>
        </a:ln>
      </c:spPr>
    </c:title>
    <c:autoTitleDeleted val="0"/>
    <c:plotArea>
      <c:layout>
        <c:manualLayout>
          <c:layoutTarget val="inner"/>
          <c:xMode val="edge"/>
          <c:yMode val="edge"/>
          <c:x val="0.12397781211543622"/>
          <c:y val="0.17761681848296323"/>
          <c:w val="0.77613969669772476"/>
          <c:h val="0.63661797857288271"/>
        </c:manualLayout>
      </c:layout>
      <c:lineChart>
        <c:grouping val="standard"/>
        <c:varyColors val="0"/>
        <c:ser>
          <c:idx val="0"/>
          <c:order val="0"/>
          <c:tx>
            <c:v>件数</c:v>
          </c:tx>
          <c:spPr>
            <a:ln w="12700">
              <a:solidFill>
                <a:schemeClr val="tx1"/>
              </a:solidFill>
              <a:prstDash val="solid"/>
            </a:ln>
          </c:spPr>
          <c:marker>
            <c:symbol val="diamond"/>
            <c:size val="5"/>
            <c:spPr>
              <a:solidFill>
                <a:schemeClr val="tx1"/>
              </a:solidFill>
              <a:ln>
                <a:solidFill>
                  <a:srgbClr val="000080"/>
                </a:solidFill>
                <a:prstDash val="solid"/>
              </a:ln>
            </c:spPr>
          </c:marker>
          <c:val>
            <c:numRef>
              <c:f>'２９ページ歩行者(類型･月別）'!$C$4:$N$4</c:f>
              <c:numCache>
                <c:formatCode>0_);[Red]\(0\)</c:formatCode>
                <c:ptCount val="12"/>
                <c:pt idx="0">
                  <c:v>82</c:v>
                </c:pt>
                <c:pt idx="1">
                  <c:v>68</c:v>
                </c:pt>
                <c:pt idx="2">
                  <c:v>77</c:v>
                </c:pt>
                <c:pt idx="3">
                  <c:v>88</c:v>
                </c:pt>
                <c:pt idx="4">
                  <c:v>87</c:v>
                </c:pt>
                <c:pt idx="5">
                  <c:v>80</c:v>
                </c:pt>
                <c:pt idx="6">
                  <c:v>73</c:v>
                </c:pt>
                <c:pt idx="7">
                  <c:v>65</c:v>
                </c:pt>
                <c:pt idx="8">
                  <c:v>60</c:v>
                </c:pt>
                <c:pt idx="9">
                  <c:v>87</c:v>
                </c:pt>
                <c:pt idx="10">
                  <c:v>76</c:v>
                </c:pt>
                <c:pt idx="11">
                  <c:v>129</c:v>
                </c:pt>
              </c:numCache>
            </c:numRef>
          </c:val>
          <c:smooth val="0"/>
          <c:extLst>
            <c:ext xmlns:c16="http://schemas.microsoft.com/office/drawing/2014/chart" uri="{C3380CC4-5D6E-409C-BE32-E72D297353CC}">
              <c16:uniqueId val="{00000000-E31D-47AA-92ED-BA2860453559}"/>
            </c:ext>
          </c:extLst>
        </c:ser>
        <c:dLbls>
          <c:showLegendKey val="0"/>
          <c:showVal val="0"/>
          <c:showCatName val="0"/>
          <c:showSerName val="0"/>
          <c:showPercent val="0"/>
          <c:showBubbleSize val="0"/>
        </c:dLbls>
        <c:marker val="1"/>
        <c:smooth val="0"/>
        <c:axId val="345412736"/>
        <c:axId val="345415040"/>
      </c:lineChart>
      <c:catAx>
        <c:axId val="345412736"/>
        <c:scaling>
          <c:orientation val="minMax"/>
        </c:scaling>
        <c:delete val="0"/>
        <c:axPos val="b"/>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a:t>月</a:t>
                </a:r>
              </a:p>
            </c:rich>
          </c:tx>
          <c:layout>
            <c:manualLayout>
              <c:xMode val="edge"/>
              <c:yMode val="edge"/>
              <c:x val="0.49491242354987647"/>
              <c:y val="0.91291086862005444"/>
            </c:manualLayout>
          </c:layout>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45415040"/>
        <c:crosses val="autoZero"/>
        <c:auto val="1"/>
        <c:lblAlgn val="ctr"/>
        <c:lblOffset val="100"/>
        <c:tickLblSkip val="1"/>
        <c:tickMarkSkip val="1"/>
        <c:noMultiLvlLbl val="0"/>
      </c:catAx>
      <c:valAx>
        <c:axId val="345415040"/>
        <c:scaling>
          <c:orientation val="minMax"/>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ゴシック"/>
                    <a:ea typeface="ＭＳ Ｐゴシック"/>
                    <a:cs typeface="ＭＳ Ｐゴシック"/>
                  </a:defRPr>
                </a:pPr>
                <a:r>
                  <a:rPr lang="ja-JP" altLang="en-US" sz="1000"/>
                  <a:t>件数（件）</a:t>
                </a:r>
              </a:p>
            </c:rich>
          </c:tx>
          <c:layout>
            <c:manualLayout>
              <c:xMode val="edge"/>
              <c:yMode val="edge"/>
              <c:x val="4.1267799809395156E-2"/>
              <c:y val="6.2126703592830936E-2"/>
            </c:manualLayout>
          </c:layout>
          <c:overlay val="0"/>
          <c:spPr>
            <a:noFill/>
            <a:ln w="25400">
              <a:noFill/>
            </a:ln>
          </c:spPr>
        </c:title>
        <c:numFmt formatCode="0_);[Red]\(0\)"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45412736"/>
        <c:crosses val="autoZero"/>
        <c:crossBetween val="between"/>
      </c:valAx>
      <c:spPr>
        <a:solidFill>
          <a:srgbClr val="FFFFFF"/>
        </a:solidFill>
        <a:ln w="12700">
          <a:solidFill>
            <a:srgbClr val="808080"/>
          </a:solidFill>
          <a:prstDash val="solid"/>
        </a:ln>
      </c:spPr>
    </c:plotArea>
    <c:plotVisOnly val="1"/>
    <c:dispBlanksAs val="gap"/>
    <c:showDLblsOverMax val="0"/>
  </c:chart>
  <c:spPr>
    <a:noFill/>
    <a:ln w="3175">
      <a:noFill/>
      <a:prstDash val="solid"/>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Footer>&amp;C－２８－</c:oddFooter>
    </c:headerFooter>
    <c:pageMargins b="0.98399999999999999" l="0.78700000000000003" r="0.78700000000000003" t="0.98399999999999999" header="0.51200000000000001" footer="0.51200000000000001"/>
    <c:pageSetup paperSize="9" orientation="landscape"/>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ＭＳ Ｐゴシック"/>
                <a:ea typeface="ＭＳ Ｐゴシック"/>
                <a:cs typeface="ＭＳ Ｐゴシック"/>
              </a:defRPr>
            </a:pPr>
            <a:r>
              <a:rPr lang="ja-JP" altLang="en-US" sz="1200" b="1"/>
              <a:t>歩行者の月別交通事故死者数・負傷者数</a:t>
            </a:r>
          </a:p>
        </c:rich>
      </c:tx>
      <c:layout>
        <c:manualLayout>
          <c:xMode val="edge"/>
          <c:yMode val="edge"/>
          <c:x val="0.31164427136825279"/>
          <c:y val="8.1542359288422281E-2"/>
        </c:manualLayout>
      </c:layout>
      <c:overlay val="0"/>
      <c:spPr>
        <a:noFill/>
        <a:ln w="25400">
          <a:noFill/>
        </a:ln>
      </c:spPr>
    </c:title>
    <c:autoTitleDeleted val="0"/>
    <c:plotArea>
      <c:layout>
        <c:manualLayout>
          <c:layoutTarget val="inner"/>
          <c:xMode val="edge"/>
          <c:yMode val="edge"/>
          <c:x val="0.14402051518090511"/>
          <c:y val="0.19057726479842194"/>
          <c:w val="0.78976370124924367"/>
          <c:h val="0.66907880983903556"/>
        </c:manualLayout>
      </c:layout>
      <c:barChart>
        <c:barDir val="col"/>
        <c:grouping val="clustered"/>
        <c:varyColors val="0"/>
        <c:ser>
          <c:idx val="1"/>
          <c:order val="0"/>
          <c:tx>
            <c:v>負傷者数</c:v>
          </c:tx>
          <c:spPr>
            <a:solidFill>
              <a:schemeClr val="bg1">
                <a:lumMod val="50000"/>
              </a:schemeClr>
            </a:solidFill>
            <a:ln w="12700">
              <a:solidFill>
                <a:srgbClr val="000000"/>
              </a:solidFill>
              <a:prstDash val="solid"/>
            </a:ln>
          </c:spPr>
          <c:invertIfNegative val="0"/>
          <c:val>
            <c:numRef>
              <c:f>'２９ページ歩行者(類型･月別）'!$C$6:$N$6</c:f>
              <c:numCache>
                <c:formatCode>0_);[Red]\(0\)</c:formatCode>
                <c:ptCount val="12"/>
                <c:pt idx="0">
                  <c:v>82</c:v>
                </c:pt>
                <c:pt idx="1">
                  <c:v>69</c:v>
                </c:pt>
                <c:pt idx="2">
                  <c:v>76</c:v>
                </c:pt>
                <c:pt idx="3">
                  <c:v>86</c:v>
                </c:pt>
                <c:pt idx="4">
                  <c:v>87</c:v>
                </c:pt>
                <c:pt idx="5">
                  <c:v>81</c:v>
                </c:pt>
                <c:pt idx="6">
                  <c:v>74</c:v>
                </c:pt>
                <c:pt idx="7">
                  <c:v>65</c:v>
                </c:pt>
                <c:pt idx="8">
                  <c:v>61</c:v>
                </c:pt>
                <c:pt idx="9">
                  <c:v>87</c:v>
                </c:pt>
                <c:pt idx="10">
                  <c:v>75</c:v>
                </c:pt>
                <c:pt idx="11">
                  <c:v>133</c:v>
                </c:pt>
              </c:numCache>
            </c:numRef>
          </c:val>
          <c:extLst>
            <c:ext xmlns:c16="http://schemas.microsoft.com/office/drawing/2014/chart" uri="{C3380CC4-5D6E-409C-BE32-E72D297353CC}">
              <c16:uniqueId val="{00000000-D619-4419-A693-2675A9F2141E}"/>
            </c:ext>
          </c:extLst>
        </c:ser>
        <c:dLbls>
          <c:showLegendKey val="0"/>
          <c:showVal val="0"/>
          <c:showCatName val="0"/>
          <c:showSerName val="0"/>
          <c:showPercent val="0"/>
          <c:showBubbleSize val="0"/>
        </c:dLbls>
        <c:gapWidth val="150"/>
        <c:axId val="345556864"/>
        <c:axId val="345571712"/>
      </c:barChart>
      <c:lineChart>
        <c:grouping val="standard"/>
        <c:varyColors val="0"/>
        <c:ser>
          <c:idx val="0"/>
          <c:order val="1"/>
          <c:tx>
            <c:v>死者数</c:v>
          </c:tx>
          <c:spPr>
            <a:ln w="12700">
              <a:solidFill>
                <a:srgbClr val="002060"/>
              </a:solidFill>
              <a:prstDash val="solid"/>
            </a:ln>
          </c:spPr>
          <c:marker>
            <c:symbol val="diamond"/>
            <c:size val="5"/>
            <c:spPr>
              <a:solidFill>
                <a:srgbClr val="000080"/>
              </a:solidFill>
              <a:ln>
                <a:solidFill>
                  <a:srgbClr val="000080"/>
                </a:solidFill>
                <a:prstDash val="solid"/>
              </a:ln>
            </c:spPr>
          </c:marker>
          <c:val>
            <c:numRef>
              <c:f>'２９ページ歩行者(類型･月別）'!$C$5:$N$5</c:f>
              <c:numCache>
                <c:formatCode>0_);[Red]\(0\)</c:formatCode>
                <c:ptCount val="12"/>
                <c:pt idx="0">
                  <c:v>2</c:v>
                </c:pt>
                <c:pt idx="1">
                  <c:v>2</c:v>
                </c:pt>
                <c:pt idx="2">
                  <c:v>1</c:v>
                </c:pt>
                <c:pt idx="3">
                  <c:v>3</c:v>
                </c:pt>
                <c:pt idx="4">
                  <c:v>1</c:v>
                </c:pt>
                <c:pt idx="5">
                  <c:v>0</c:v>
                </c:pt>
                <c:pt idx="6">
                  <c:v>0</c:v>
                </c:pt>
                <c:pt idx="7">
                  <c:v>1</c:v>
                </c:pt>
                <c:pt idx="8">
                  <c:v>0</c:v>
                </c:pt>
                <c:pt idx="9">
                  <c:v>2</c:v>
                </c:pt>
                <c:pt idx="10">
                  <c:v>2</c:v>
                </c:pt>
                <c:pt idx="11">
                  <c:v>0</c:v>
                </c:pt>
              </c:numCache>
            </c:numRef>
          </c:val>
          <c:smooth val="0"/>
          <c:extLst>
            <c:ext xmlns:c16="http://schemas.microsoft.com/office/drawing/2014/chart" uri="{C3380CC4-5D6E-409C-BE32-E72D297353CC}">
              <c16:uniqueId val="{00000001-D619-4419-A693-2675A9F2141E}"/>
            </c:ext>
          </c:extLst>
        </c:ser>
        <c:dLbls>
          <c:showLegendKey val="0"/>
          <c:showVal val="0"/>
          <c:showCatName val="0"/>
          <c:showSerName val="0"/>
          <c:showPercent val="0"/>
          <c:showBubbleSize val="0"/>
        </c:dLbls>
        <c:marker val="1"/>
        <c:smooth val="0"/>
        <c:axId val="345573632"/>
        <c:axId val="345587712"/>
      </c:lineChart>
      <c:catAx>
        <c:axId val="345556864"/>
        <c:scaling>
          <c:orientation val="minMax"/>
        </c:scaling>
        <c:delete val="0"/>
        <c:axPos val="b"/>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a:t>月</a:t>
                </a:r>
              </a:p>
            </c:rich>
          </c:tx>
          <c:layout>
            <c:manualLayout>
              <c:xMode val="edge"/>
              <c:yMode val="edge"/>
              <c:x val="0.51650975778340857"/>
              <c:y val="0.93502388288420468"/>
            </c:manualLayout>
          </c:layout>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45571712"/>
        <c:crosses val="autoZero"/>
        <c:auto val="0"/>
        <c:lblAlgn val="ctr"/>
        <c:lblOffset val="100"/>
        <c:tickLblSkip val="1"/>
        <c:tickMarkSkip val="1"/>
        <c:noMultiLvlLbl val="0"/>
      </c:catAx>
      <c:valAx>
        <c:axId val="345571712"/>
        <c:scaling>
          <c:orientation val="minMax"/>
        </c:scaling>
        <c:delete val="0"/>
        <c:axPos val="l"/>
        <c:title>
          <c:tx>
            <c:rich>
              <a:bodyPr rot="0" vert="horz"/>
              <a:lstStyle/>
              <a:p>
                <a:pPr algn="ctr">
                  <a:defRPr sz="1000" b="0" i="0" u="none" strike="noStrike" baseline="0">
                    <a:solidFill>
                      <a:srgbClr val="000000"/>
                    </a:solidFill>
                    <a:latin typeface="ＭＳ Ｐゴシック"/>
                    <a:ea typeface="ＭＳ Ｐゴシック"/>
                    <a:cs typeface="ＭＳ Ｐゴシック"/>
                  </a:defRPr>
                </a:pPr>
                <a:r>
                  <a:rPr lang="ja-JP" altLang="en-US" sz="1000"/>
                  <a:t>負傷者数（人）</a:t>
                </a:r>
              </a:p>
            </c:rich>
          </c:tx>
          <c:layout>
            <c:manualLayout>
              <c:xMode val="edge"/>
              <c:yMode val="edge"/>
              <c:x val="6.2738347685662471E-2"/>
              <c:y val="9.5952679828064977E-2"/>
            </c:manualLayout>
          </c:layout>
          <c:overlay val="0"/>
          <c:spPr>
            <a:noFill/>
            <a:ln w="25400">
              <a:noFill/>
            </a:ln>
          </c:spPr>
        </c:title>
        <c:numFmt formatCode="0_);[Red]\(0\)"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45556864"/>
        <c:crosses val="autoZero"/>
        <c:crossBetween val="between"/>
      </c:valAx>
      <c:catAx>
        <c:axId val="345573632"/>
        <c:scaling>
          <c:orientation val="minMax"/>
        </c:scaling>
        <c:delete val="1"/>
        <c:axPos val="b"/>
        <c:majorTickMark val="out"/>
        <c:minorTickMark val="none"/>
        <c:tickLblPos val="nextTo"/>
        <c:crossAx val="345587712"/>
        <c:crosses val="autoZero"/>
        <c:auto val="0"/>
        <c:lblAlgn val="ctr"/>
        <c:lblOffset val="100"/>
        <c:noMultiLvlLbl val="0"/>
      </c:catAx>
      <c:valAx>
        <c:axId val="345587712"/>
        <c:scaling>
          <c:orientation val="minMax"/>
        </c:scaling>
        <c:delete val="0"/>
        <c:axPos val="r"/>
        <c:majorGridlines/>
        <c:title>
          <c:tx>
            <c:rich>
              <a:bodyPr rot="0" vert="horz"/>
              <a:lstStyle/>
              <a:p>
                <a:pPr algn="ctr">
                  <a:defRPr sz="1000" b="0" i="0" u="none" strike="noStrike" baseline="0">
                    <a:solidFill>
                      <a:srgbClr val="000000"/>
                    </a:solidFill>
                    <a:latin typeface="ＭＳ Ｐゴシック"/>
                    <a:ea typeface="ＭＳ Ｐゴシック"/>
                    <a:cs typeface="ＭＳ Ｐゴシック"/>
                  </a:defRPr>
                </a:pPr>
                <a:r>
                  <a:rPr lang="ja-JP" altLang="en-US" sz="1000"/>
                  <a:t>死者数（人）</a:t>
                </a:r>
              </a:p>
            </c:rich>
          </c:tx>
          <c:layout>
            <c:manualLayout>
              <c:xMode val="edge"/>
              <c:yMode val="edge"/>
              <c:x val="0.88807140234819293"/>
              <c:y val="9.3092439532015014E-2"/>
            </c:manualLayout>
          </c:layout>
          <c:overlay val="0"/>
          <c:spPr>
            <a:noFill/>
            <a:ln w="25400">
              <a:noFill/>
            </a:ln>
          </c:spPr>
        </c:title>
        <c:numFmt formatCode="0_);[Red]\(0\)"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45573632"/>
        <c:crosses val="max"/>
        <c:crossBetween val="between"/>
        <c:minorUnit val="1"/>
      </c:valAx>
      <c:spPr>
        <a:solidFill>
          <a:srgbClr val="FFFFFF"/>
        </a:solidFill>
        <a:ln w="12700">
          <a:solidFill>
            <a:srgbClr val="808080"/>
          </a:solidFill>
          <a:prstDash val="solid"/>
        </a:ln>
      </c:spPr>
    </c:plotArea>
    <c:legend>
      <c:legendPos val="r"/>
      <c:layout>
        <c:manualLayout>
          <c:xMode val="edge"/>
          <c:yMode val="edge"/>
          <c:x val="0.52562088402832741"/>
          <c:y val="0.22186982062024851"/>
          <c:w val="0.33321200194443334"/>
          <c:h val="7.7171603549556322E-2"/>
        </c:manualLayout>
      </c:layout>
      <c:overlay val="0"/>
      <c:spPr>
        <a:solidFill>
          <a:srgbClr val="FFFFFF"/>
        </a:solidFill>
        <a:ln w="3175">
          <a:noFill/>
          <a:prstDash val="solid"/>
        </a:ln>
      </c:spPr>
      <c:txPr>
        <a:bodyPr/>
        <a:lstStyle/>
        <a:p>
          <a:pPr>
            <a:defRPr sz="101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3175">
      <a:noFill/>
      <a:prstDash val="solid"/>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Header>&amp;A</c:oddHeader>
      <c:oddFooter>Page &amp;P</c:oddFooter>
    </c:headerFooter>
    <c:pageMargins b="0.98399999999999999" l="0.78700000000000003" r="0.78700000000000003" t="0.98399999999999999" header="0.5" footer="0.5"/>
    <c:pageSetup paperSize="9" orientation="landscape"/>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radarChart>
        <c:radarStyle val="marker"/>
        <c:varyColors val="0"/>
        <c:ser>
          <c:idx val="0"/>
          <c:order val="0"/>
          <c:tx>
            <c:v>件数</c:v>
          </c:tx>
          <c:spPr>
            <a:ln cmpd="dbl">
              <a:solidFill>
                <a:schemeClr val="tx1"/>
              </a:solidFill>
            </a:ln>
          </c:spPr>
          <c:marker>
            <c:symbol val="none"/>
          </c:marker>
          <c:cat>
            <c:numRef>
              <c:f>'３１ページ歩行者(時間別･状態）'!$B$7:$B$30</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'３１ページ歩行者(時間別･状態）'!$C$7:$C$30</c:f>
              <c:numCache>
                <c:formatCode>0_);[Red]\(0\)</c:formatCode>
                <c:ptCount val="24"/>
                <c:pt idx="0">
                  <c:v>29</c:v>
                </c:pt>
                <c:pt idx="1">
                  <c:v>17</c:v>
                </c:pt>
                <c:pt idx="2">
                  <c:v>19</c:v>
                </c:pt>
                <c:pt idx="3">
                  <c:v>10</c:v>
                </c:pt>
                <c:pt idx="4">
                  <c:v>15</c:v>
                </c:pt>
                <c:pt idx="5">
                  <c:v>16</c:v>
                </c:pt>
                <c:pt idx="6">
                  <c:v>18</c:v>
                </c:pt>
                <c:pt idx="7">
                  <c:v>34</c:v>
                </c:pt>
                <c:pt idx="8">
                  <c:v>69</c:v>
                </c:pt>
                <c:pt idx="9">
                  <c:v>61</c:v>
                </c:pt>
                <c:pt idx="10">
                  <c:v>63</c:v>
                </c:pt>
                <c:pt idx="11">
                  <c:v>50</c:v>
                </c:pt>
                <c:pt idx="12">
                  <c:v>43</c:v>
                </c:pt>
                <c:pt idx="13">
                  <c:v>40</c:v>
                </c:pt>
                <c:pt idx="14">
                  <c:v>43</c:v>
                </c:pt>
                <c:pt idx="15">
                  <c:v>59</c:v>
                </c:pt>
                <c:pt idx="16">
                  <c:v>39</c:v>
                </c:pt>
                <c:pt idx="17">
                  <c:v>82</c:v>
                </c:pt>
                <c:pt idx="18">
                  <c:v>77</c:v>
                </c:pt>
                <c:pt idx="19">
                  <c:v>68</c:v>
                </c:pt>
                <c:pt idx="20">
                  <c:v>44</c:v>
                </c:pt>
                <c:pt idx="21">
                  <c:v>24</c:v>
                </c:pt>
                <c:pt idx="22">
                  <c:v>26</c:v>
                </c:pt>
                <c:pt idx="23">
                  <c:v>26</c:v>
                </c:pt>
              </c:numCache>
            </c:numRef>
          </c:val>
          <c:extLst>
            <c:ext xmlns:c16="http://schemas.microsoft.com/office/drawing/2014/chart" uri="{C3380CC4-5D6E-409C-BE32-E72D297353CC}">
              <c16:uniqueId val="{00000000-27FB-414A-AEBA-7F96018FE24A}"/>
            </c:ext>
          </c:extLst>
        </c:ser>
        <c:ser>
          <c:idx val="1"/>
          <c:order val="1"/>
          <c:tx>
            <c:v>負傷者</c:v>
          </c:tx>
          <c:spPr>
            <a:ln w="19050">
              <a:solidFill>
                <a:srgbClr val="FF0000"/>
              </a:solidFill>
            </a:ln>
          </c:spPr>
          <c:marker>
            <c:symbol val="none"/>
          </c:marker>
          <c:cat>
            <c:numRef>
              <c:f>'３１ページ歩行者(時間別･状態）'!$B$7:$B$30</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'３１ページ歩行者(時間別･状態）'!$K$7:$K$30</c:f>
              <c:numCache>
                <c:formatCode>0_);[Red]\(0\)</c:formatCode>
                <c:ptCount val="24"/>
                <c:pt idx="0">
                  <c:v>28</c:v>
                </c:pt>
                <c:pt idx="1">
                  <c:v>17</c:v>
                </c:pt>
                <c:pt idx="2">
                  <c:v>19</c:v>
                </c:pt>
                <c:pt idx="3">
                  <c:v>11</c:v>
                </c:pt>
                <c:pt idx="4">
                  <c:v>16</c:v>
                </c:pt>
                <c:pt idx="5">
                  <c:v>14</c:v>
                </c:pt>
                <c:pt idx="6">
                  <c:v>18</c:v>
                </c:pt>
                <c:pt idx="7">
                  <c:v>34</c:v>
                </c:pt>
                <c:pt idx="8">
                  <c:v>70</c:v>
                </c:pt>
                <c:pt idx="9">
                  <c:v>61</c:v>
                </c:pt>
                <c:pt idx="10">
                  <c:v>63</c:v>
                </c:pt>
                <c:pt idx="11">
                  <c:v>51</c:v>
                </c:pt>
                <c:pt idx="12">
                  <c:v>43</c:v>
                </c:pt>
                <c:pt idx="13">
                  <c:v>40</c:v>
                </c:pt>
                <c:pt idx="14">
                  <c:v>44</c:v>
                </c:pt>
                <c:pt idx="15">
                  <c:v>61</c:v>
                </c:pt>
                <c:pt idx="16">
                  <c:v>39</c:v>
                </c:pt>
                <c:pt idx="17">
                  <c:v>83</c:v>
                </c:pt>
                <c:pt idx="18">
                  <c:v>77</c:v>
                </c:pt>
                <c:pt idx="19">
                  <c:v>66</c:v>
                </c:pt>
                <c:pt idx="20">
                  <c:v>45</c:v>
                </c:pt>
                <c:pt idx="21">
                  <c:v>25</c:v>
                </c:pt>
                <c:pt idx="22">
                  <c:v>25</c:v>
                </c:pt>
                <c:pt idx="23">
                  <c:v>26</c:v>
                </c:pt>
              </c:numCache>
            </c:numRef>
          </c:val>
          <c:extLst>
            <c:ext xmlns:c16="http://schemas.microsoft.com/office/drawing/2014/chart" uri="{C3380CC4-5D6E-409C-BE32-E72D297353CC}">
              <c16:uniqueId val="{00000001-27FB-414A-AEBA-7F96018FE24A}"/>
            </c:ext>
          </c:extLst>
        </c:ser>
        <c:dLbls>
          <c:showLegendKey val="0"/>
          <c:showVal val="0"/>
          <c:showCatName val="0"/>
          <c:showSerName val="0"/>
          <c:showPercent val="0"/>
          <c:showBubbleSize val="0"/>
        </c:dLbls>
        <c:axId val="345760896"/>
        <c:axId val="345762432"/>
      </c:radarChart>
      <c:catAx>
        <c:axId val="345760896"/>
        <c:scaling>
          <c:orientation val="minMax"/>
        </c:scaling>
        <c:delete val="0"/>
        <c:axPos val="b"/>
        <c:majorGridlines/>
        <c:numFmt formatCode="General" sourceLinked="1"/>
        <c:majorTickMark val="out"/>
        <c:minorTickMark val="none"/>
        <c:tickLblPos val="nextTo"/>
        <c:crossAx val="345762432"/>
        <c:crosses val="autoZero"/>
        <c:auto val="0"/>
        <c:lblAlgn val="ctr"/>
        <c:lblOffset val="100"/>
        <c:noMultiLvlLbl val="0"/>
      </c:catAx>
      <c:valAx>
        <c:axId val="345762432"/>
        <c:scaling>
          <c:orientation val="minMax"/>
        </c:scaling>
        <c:delete val="0"/>
        <c:axPos val="l"/>
        <c:majorGridlines/>
        <c:numFmt formatCode="0_);[Red]\(0\)" sourceLinked="1"/>
        <c:majorTickMark val="cross"/>
        <c:minorTickMark val="none"/>
        <c:tickLblPos val="nextTo"/>
        <c:txPr>
          <a:bodyPr/>
          <a:lstStyle/>
          <a:p>
            <a:pPr>
              <a:defRPr sz="800" baseline="0"/>
            </a:pPr>
            <a:endParaRPr lang="ja-JP"/>
          </a:p>
        </c:txPr>
        <c:crossAx val="345760896"/>
        <c:crosses val="autoZero"/>
        <c:crossBetween val="between"/>
      </c:valAx>
    </c:plotArea>
    <c:legend>
      <c:legendPos val="r"/>
      <c:layout>
        <c:manualLayout>
          <c:xMode val="edge"/>
          <c:yMode val="edge"/>
          <c:x val="0.76973739537247199"/>
          <c:y val="0.77959523933066033"/>
          <c:w val="0.19535358163201355"/>
          <c:h val="0.16962084131375471"/>
        </c:manualLayout>
      </c:layout>
      <c:overlay val="0"/>
    </c:legend>
    <c:plotVisOnly val="1"/>
    <c:dispBlanksAs val="gap"/>
    <c:showDLblsOverMax val="0"/>
  </c:chart>
  <c:spPr>
    <a:noFill/>
    <a:ln>
      <a:noFill/>
    </a:ln>
  </c:spPr>
  <c:printSettings>
    <c:headerFooter/>
    <c:pageMargins b="0.75" l="0.7" r="0.7" t="0.75" header="0.3" footer="0.3"/>
    <c:pageSetup paperSize="9" orientation="landscape"/>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ＭＳ Ｐゴシック"/>
                <a:ea typeface="ＭＳ Ｐゴシック"/>
                <a:cs typeface="ＭＳ Ｐゴシック"/>
              </a:defRPr>
            </a:pPr>
            <a:r>
              <a:rPr lang="ja-JP" altLang="en-US" b="1"/>
              <a:t>自転車乗用中の月別事故死者数・負傷者数</a:t>
            </a:r>
          </a:p>
        </c:rich>
      </c:tx>
      <c:layout>
        <c:manualLayout>
          <c:xMode val="edge"/>
          <c:yMode val="edge"/>
          <c:x val="0.33441998273705714"/>
          <c:y val="4.6990181782832693E-2"/>
        </c:manualLayout>
      </c:layout>
      <c:overlay val="0"/>
      <c:spPr>
        <a:noFill/>
        <a:ln w="25400">
          <a:noFill/>
        </a:ln>
      </c:spPr>
    </c:title>
    <c:autoTitleDeleted val="0"/>
    <c:plotArea>
      <c:layout>
        <c:manualLayout>
          <c:layoutTarget val="inner"/>
          <c:xMode val="edge"/>
          <c:yMode val="edge"/>
          <c:x val="0.11696605473062385"/>
          <c:y val="0.1833520256462407"/>
          <c:w val="0.81743454770103585"/>
          <c:h val="0.64799778468058467"/>
        </c:manualLayout>
      </c:layout>
      <c:barChart>
        <c:barDir val="col"/>
        <c:grouping val="clustered"/>
        <c:varyColors val="0"/>
        <c:ser>
          <c:idx val="0"/>
          <c:order val="1"/>
          <c:tx>
            <c:v>負傷者数</c:v>
          </c:tx>
          <c:spPr>
            <a:solidFill>
              <a:schemeClr val="bg1">
                <a:lumMod val="50000"/>
              </a:schemeClr>
            </a:solidFill>
            <a:ln w="12700">
              <a:solidFill>
                <a:srgbClr val="000000"/>
              </a:solidFill>
            </a:ln>
          </c:spPr>
          <c:invertIfNegative val="0"/>
          <c:val>
            <c:numRef>
              <c:f>'３２ページ自転車（推移）'!$C$21:$N$21</c:f>
              <c:numCache>
                <c:formatCode>#,##0_);[Red]\(#,##0\)</c:formatCode>
                <c:ptCount val="12"/>
                <c:pt idx="0">
                  <c:v>258</c:v>
                </c:pt>
                <c:pt idx="1">
                  <c:v>241</c:v>
                </c:pt>
                <c:pt idx="2">
                  <c:v>294</c:v>
                </c:pt>
                <c:pt idx="3">
                  <c:v>297</c:v>
                </c:pt>
                <c:pt idx="4">
                  <c:v>265</c:v>
                </c:pt>
                <c:pt idx="5">
                  <c:v>268</c:v>
                </c:pt>
                <c:pt idx="6">
                  <c:v>304</c:v>
                </c:pt>
                <c:pt idx="7">
                  <c:v>273</c:v>
                </c:pt>
                <c:pt idx="8">
                  <c:v>268</c:v>
                </c:pt>
                <c:pt idx="9">
                  <c:v>278</c:v>
                </c:pt>
                <c:pt idx="10">
                  <c:v>250</c:v>
                </c:pt>
                <c:pt idx="11">
                  <c:v>332</c:v>
                </c:pt>
              </c:numCache>
            </c:numRef>
          </c:val>
          <c:extLst>
            <c:ext xmlns:c16="http://schemas.microsoft.com/office/drawing/2014/chart" uri="{C3380CC4-5D6E-409C-BE32-E72D297353CC}">
              <c16:uniqueId val="{00000000-20A2-4F47-8432-F59111051324}"/>
            </c:ext>
          </c:extLst>
        </c:ser>
        <c:dLbls>
          <c:showLegendKey val="0"/>
          <c:showVal val="0"/>
          <c:showCatName val="0"/>
          <c:showSerName val="0"/>
          <c:showPercent val="0"/>
          <c:showBubbleSize val="0"/>
        </c:dLbls>
        <c:gapWidth val="150"/>
        <c:axId val="347038464"/>
        <c:axId val="347040768"/>
      </c:barChart>
      <c:lineChart>
        <c:grouping val="standard"/>
        <c:varyColors val="0"/>
        <c:ser>
          <c:idx val="1"/>
          <c:order val="0"/>
          <c:tx>
            <c:v>死者数</c:v>
          </c:tx>
          <c:spPr>
            <a:ln w="19050">
              <a:solidFill>
                <a:srgbClr val="002060"/>
              </a:solidFill>
            </a:ln>
          </c:spPr>
          <c:marker>
            <c:symbol val="square"/>
            <c:size val="5"/>
            <c:spPr>
              <a:solidFill>
                <a:srgbClr val="002060"/>
              </a:solidFill>
              <a:ln>
                <a:solidFill>
                  <a:srgbClr val="002060"/>
                </a:solidFill>
              </a:ln>
            </c:spPr>
          </c:marker>
          <c:val>
            <c:numRef>
              <c:f>'３２ページ自転車（推移）'!$C$20:$N$20</c:f>
              <c:numCache>
                <c:formatCode>#,##0_);[Red]\(#,##0\)</c:formatCode>
                <c:ptCount val="12"/>
                <c:pt idx="0">
                  <c:v>0</c:v>
                </c:pt>
                <c:pt idx="1">
                  <c:v>0</c:v>
                </c:pt>
                <c:pt idx="2">
                  <c:v>1</c:v>
                </c:pt>
                <c:pt idx="3">
                  <c:v>0</c:v>
                </c:pt>
                <c:pt idx="4">
                  <c:v>0</c:v>
                </c:pt>
                <c:pt idx="5">
                  <c:v>2</c:v>
                </c:pt>
                <c:pt idx="6">
                  <c:v>2</c:v>
                </c:pt>
                <c:pt idx="7">
                  <c:v>0</c:v>
                </c:pt>
                <c:pt idx="8">
                  <c:v>1</c:v>
                </c:pt>
                <c:pt idx="9">
                  <c:v>3</c:v>
                </c:pt>
                <c:pt idx="10">
                  <c:v>1</c:v>
                </c:pt>
                <c:pt idx="11">
                  <c:v>1</c:v>
                </c:pt>
              </c:numCache>
            </c:numRef>
          </c:val>
          <c:smooth val="0"/>
          <c:extLst>
            <c:ext xmlns:c16="http://schemas.microsoft.com/office/drawing/2014/chart" uri="{C3380CC4-5D6E-409C-BE32-E72D297353CC}">
              <c16:uniqueId val="{00000001-20A2-4F47-8432-F59111051324}"/>
            </c:ext>
          </c:extLst>
        </c:ser>
        <c:dLbls>
          <c:showLegendKey val="0"/>
          <c:showVal val="0"/>
          <c:showCatName val="0"/>
          <c:showSerName val="0"/>
          <c:showPercent val="0"/>
          <c:showBubbleSize val="0"/>
        </c:dLbls>
        <c:marker val="1"/>
        <c:smooth val="0"/>
        <c:axId val="347059328"/>
        <c:axId val="347060864"/>
      </c:lineChart>
      <c:catAx>
        <c:axId val="347038464"/>
        <c:scaling>
          <c:orientation val="minMax"/>
        </c:scaling>
        <c:delete val="0"/>
        <c:axPos val="b"/>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a:t>月</a:t>
                </a:r>
              </a:p>
            </c:rich>
          </c:tx>
          <c:layout>
            <c:manualLayout>
              <c:xMode val="edge"/>
              <c:yMode val="edge"/>
              <c:x val="0.50346047273338734"/>
              <c:y val="0.9102586947273793"/>
            </c:manualLayout>
          </c:layout>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47040768"/>
        <c:crosses val="autoZero"/>
        <c:auto val="0"/>
        <c:lblAlgn val="ctr"/>
        <c:lblOffset val="100"/>
        <c:tickLblSkip val="1"/>
        <c:tickMarkSkip val="1"/>
        <c:noMultiLvlLbl val="0"/>
      </c:catAx>
      <c:valAx>
        <c:axId val="347040768"/>
        <c:scaling>
          <c:orientation val="minMax"/>
          <c:max val="400"/>
        </c:scaling>
        <c:delete val="0"/>
        <c:axPos val="l"/>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sz="900"/>
                  <a:t>負傷者数（人）</a:t>
                </a:r>
              </a:p>
            </c:rich>
          </c:tx>
          <c:layout>
            <c:manualLayout>
              <c:xMode val="edge"/>
              <c:yMode val="edge"/>
              <c:x val="3.3007844771492711E-2"/>
              <c:y val="5.2115389246069017E-2"/>
            </c:manualLayout>
          </c:layout>
          <c:overlay val="0"/>
          <c:spPr>
            <a:noFill/>
            <a:ln w="25400">
              <a:noFill/>
            </a:ln>
          </c:spPr>
        </c:title>
        <c:numFmt formatCode="#,##0_);[Red]\(#,##0\)"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47038464"/>
        <c:crosses val="autoZero"/>
        <c:crossBetween val="between"/>
      </c:valAx>
      <c:catAx>
        <c:axId val="347059328"/>
        <c:scaling>
          <c:orientation val="minMax"/>
        </c:scaling>
        <c:delete val="1"/>
        <c:axPos val="b"/>
        <c:majorTickMark val="out"/>
        <c:minorTickMark val="none"/>
        <c:tickLblPos val="nextTo"/>
        <c:crossAx val="347060864"/>
        <c:crosses val="autoZero"/>
        <c:auto val="1"/>
        <c:lblAlgn val="ctr"/>
        <c:lblOffset val="100"/>
        <c:noMultiLvlLbl val="0"/>
      </c:catAx>
      <c:valAx>
        <c:axId val="347060864"/>
        <c:scaling>
          <c:orientation val="minMax"/>
        </c:scaling>
        <c:delete val="0"/>
        <c:axPos val="r"/>
        <c:numFmt formatCode="#,##0_);[Red]\(#,##0\)" sourceLinked="1"/>
        <c:majorTickMark val="out"/>
        <c:minorTickMark val="none"/>
        <c:tickLblPos val="nextTo"/>
        <c:crossAx val="347059328"/>
        <c:crosses val="max"/>
        <c:crossBetween val="between"/>
        <c:majorUnit val="1"/>
      </c:valAx>
      <c:spPr>
        <a:solidFill>
          <a:srgbClr val="FFFFFF"/>
        </a:solidFill>
        <a:ln w="12700">
          <a:solidFill>
            <a:srgbClr val="808080"/>
          </a:solidFill>
          <a:prstDash val="solid"/>
        </a:ln>
      </c:spPr>
    </c:plotArea>
    <c:legend>
      <c:legendPos val="r"/>
      <c:layout>
        <c:manualLayout>
          <c:xMode val="edge"/>
          <c:yMode val="edge"/>
          <c:x val="0.60960235123812867"/>
          <c:y val="0.19335765368778443"/>
          <c:w val="0.28771375722881437"/>
          <c:h val="0.10485903284229693"/>
        </c:manualLayout>
      </c:layout>
      <c:overlay val="0"/>
      <c:spPr>
        <a:noFill/>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3175">
      <a:noFill/>
      <a:prstDash val="solid"/>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Header>&amp;A</c:oddHeader>
      <c:oddFooter>Page &amp;P</c:oddFooter>
    </c:headerFooter>
    <c:pageMargins b="0.98399999999999999" l="0.78700000000000003" r="0.78700000000000003" t="0.98399999999999999" header="0.5" footer="0.5"/>
    <c:pageSetup paperSize="9" orientation="landscape" horizontalDpi="300"/>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ＭＳ Ｐゴシック" panose="020B0600070205080204" pitchFamily="50" charset="-128"/>
                <a:ea typeface="ＭＳ Ｐゴシック" panose="020B0600070205080204" pitchFamily="50" charset="-128"/>
                <a:cs typeface="+mn-cs"/>
              </a:defRPr>
            </a:pPr>
            <a:r>
              <a:rPr lang="ja-JP" altLang="en-US" sz="1100" b="1">
                <a:solidFill>
                  <a:schemeClr val="tx1"/>
                </a:solidFill>
                <a:latin typeface="ＭＳ Ｐゴシック" panose="020B0600070205080204" pitchFamily="50" charset="-128"/>
                <a:ea typeface="ＭＳ Ｐゴシック" panose="020B0600070205080204" pitchFamily="50" charset="-128"/>
              </a:rPr>
              <a:t>自転車の月別交通事故発生件数</a:t>
            </a:r>
          </a:p>
        </c:rich>
      </c:tx>
      <c:layout>
        <c:manualLayout>
          <c:xMode val="edge"/>
          <c:yMode val="edge"/>
          <c:x val="0.37352661106040991"/>
          <c:y val="5.8806624957387699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title>
    <c:autoTitleDeleted val="0"/>
    <c:plotArea>
      <c:layout>
        <c:manualLayout>
          <c:layoutTarget val="inner"/>
          <c:xMode val="edge"/>
          <c:yMode val="edge"/>
          <c:x val="0.11690384156525889"/>
          <c:y val="0.20375171114896495"/>
          <c:w val="0.81995205844024743"/>
          <c:h val="0.60165651553291222"/>
        </c:manualLayout>
      </c:layout>
      <c:lineChart>
        <c:grouping val="standard"/>
        <c:varyColors val="0"/>
        <c:ser>
          <c:idx val="1"/>
          <c:order val="0"/>
          <c:spPr>
            <a:ln w="19050" cap="sq">
              <a:solidFill>
                <a:srgbClr val="002060"/>
              </a:solidFill>
              <a:miter lim="800000"/>
            </a:ln>
            <a:effectLst/>
          </c:spPr>
          <c:marker>
            <c:symbol val="square"/>
            <c:size val="5"/>
            <c:spPr>
              <a:solidFill>
                <a:srgbClr val="002060"/>
              </a:solidFill>
              <a:ln w="9525">
                <a:solidFill>
                  <a:srgbClr val="002060">
                    <a:alpha val="96000"/>
                  </a:srgbClr>
                </a:solidFill>
              </a:ln>
              <a:effectLst/>
            </c:spPr>
          </c:marker>
          <c:val>
            <c:numRef>
              <c:f>'３２ページ自転車（推移）'!$C$19:$N$19</c:f>
              <c:numCache>
                <c:formatCode>#,##0_);[Red]\(#,##0\)</c:formatCode>
                <c:ptCount val="12"/>
                <c:pt idx="0">
                  <c:v>248</c:v>
                </c:pt>
                <c:pt idx="1">
                  <c:v>239</c:v>
                </c:pt>
                <c:pt idx="2">
                  <c:v>283</c:v>
                </c:pt>
                <c:pt idx="3">
                  <c:v>288</c:v>
                </c:pt>
                <c:pt idx="4">
                  <c:v>253</c:v>
                </c:pt>
                <c:pt idx="5">
                  <c:v>265</c:v>
                </c:pt>
                <c:pt idx="6">
                  <c:v>297</c:v>
                </c:pt>
                <c:pt idx="7">
                  <c:v>261</c:v>
                </c:pt>
                <c:pt idx="8">
                  <c:v>255</c:v>
                </c:pt>
                <c:pt idx="9">
                  <c:v>275</c:v>
                </c:pt>
                <c:pt idx="10">
                  <c:v>246</c:v>
                </c:pt>
                <c:pt idx="11">
                  <c:v>322</c:v>
                </c:pt>
              </c:numCache>
            </c:numRef>
          </c:val>
          <c:smooth val="0"/>
          <c:extLst>
            <c:ext xmlns:c16="http://schemas.microsoft.com/office/drawing/2014/chart" uri="{C3380CC4-5D6E-409C-BE32-E72D297353CC}">
              <c16:uniqueId val="{00000000-23BE-45FF-BD3C-93EDBC5FF597}"/>
            </c:ext>
          </c:extLst>
        </c:ser>
        <c:dLbls>
          <c:showLegendKey val="0"/>
          <c:showVal val="0"/>
          <c:showCatName val="0"/>
          <c:showSerName val="0"/>
          <c:showPercent val="0"/>
          <c:showBubbleSize val="0"/>
        </c:dLbls>
        <c:marker val="1"/>
        <c:smooth val="0"/>
        <c:axId val="347130496"/>
        <c:axId val="347136768"/>
      </c:lineChart>
      <c:catAx>
        <c:axId val="347130496"/>
        <c:scaling>
          <c:orientation val="minMax"/>
        </c:scaling>
        <c:delete val="0"/>
        <c:axPos val="b"/>
        <c:majorTickMark val="none"/>
        <c:minorTickMark val="none"/>
        <c:tickLblPos val="nextTo"/>
        <c:spPr>
          <a:noFill/>
          <a:ln w="9525" cap="flat" cmpd="sng" algn="ctr">
            <a:solidFill>
              <a:srgbClr val="000000"/>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crossAx val="347136768"/>
        <c:crosses val="autoZero"/>
        <c:auto val="1"/>
        <c:lblAlgn val="ctr"/>
        <c:lblOffset val="100"/>
        <c:noMultiLvlLbl val="0"/>
      </c:catAx>
      <c:valAx>
        <c:axId val="347136768"/>
        <c:scaling>
          <c:orientation val="minMax"/>
        </c:scaling>
        <c:delete val="0"/>
        <c:axPos val="l"/>
        <c:majorGridlines>
          <c:spPr>
            <a:ln w="9525" cap="flat" cmpd="sng" algn="ctr">
              <a:solidFill>
                <a:schemeClr val="tx1"/>
              </a:solidFill>
              <a:round/>
            </a:ln>
            <a:effectLst/>
          </c:spPr>
        </c:majorGridlines>
        <c:numFmt formatCode="#,##0_);[Red]\(#,##0\)"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crossAx val="347130496"/>
        <c:crosses val="autoZero"/>
        <c:crossBetween val="between"/>
      </c:valAx>
      <c:spPr>
        <a:solidFill>
          <a:srgbClr val="FFFFFF"/>
        </a:solidFill>
        <a:ln>
          <a:solidFill>
            <a:srgbClr val="000000"/>
          </a:solidFill>
        </a:ln>
        <a:effectLst/>
      </c:spPr>
    </c:plotArea>
    <c:plotVisOnly val="1"/>
    <c:dispBlanksAs val="gap"/>
    <c:showDLblsOverMax val="0"/>
  </c:chart>
  <c:spPr>
    <a:noFill/>
    <a:ln w="3175" cap="flat" cmpd="sng" algn="ctr">
      <a:noFill/>
      <a:round/>
    </a:ln>
    <a:effectLst/>
  </c:spPr>
  <c:txPr>
    <a:bodyPr/>
    <a:lstStyle/>
    <a:p>
      <a:pPr>
        <a:defRPr/>
      </a:pPr>
      <a:endParaRPr lang="ja-JP"/>
    </a:p>
  </c:txPr>
  <c:printSettings>
    <c:headerFooter/>
    <c:pageMargins b="0.75" l="0.7" r="0.7" t="0.75" header="0.3" footer="0.3"/>
    <c:pageSetup orientation="portrait"/>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Arial" panose="020B0604020202020204" pitchFamily="34" charset="0"/>
                <a:ea typeface="ＭＳ Ｐゴシック"/>
                <a:cs typeface="Arial" panose="020B0604020202020204" pitchFamily="34" charset="0"/>
              </a:defRPr>
            </a:pPr>
            <a:r>
              <a:rPr lang="ja-JP" altLang="en-US">
                <a:latin typeface="Arial" panose="020B0604020202020204" pitchFamily="34" charset="0"/>
                <a:cs typeface="Arial" panose="020B0604020202020204" pitchFamily="34" charset="0"/>
              </a:rPr>
              <a:t>各区における人口及び事故件数</a:t>
            </a:r>
          </a:p>
        </c:rich>
      </c:tx>
      <c:layout>
        <c:manualLayout>
          <c:xMode val="edge"/>
          <c:yMode val="edge"/>
          <c:x val="0.35555555555555557"/>
          <c:y val="3.1553398058252427E-2"/>
        </c:manualLayout>
      </c:layout>
      <c:overlay val="0"/>
      <c:spPr>
        <a:noFill/>
        <a:ln w="25400">
          <a:noFill/>
        </a:ln>
      </c:spPr>
    </c:title>
    <c:autoTitleDeleted val="0"/>
    <c:plotArea>
      <c:layout>
        <c:manualLayout>
          <c:layoutTarget val="inner"/>
          <c:xMode val="edge"/>
          <c:yMode val="edge"/>
          <c:x val="0.2013888888888889"/>
          <c:y val="0.15291262135922329"/>
          <c:w val="0.63194444444444442"/>
          <c:h val="0.60436893203883491"/>
        </c:manualLayout>
      </c:layout>
      <c:barChart>
        <c:barDir val="col"/>
        <c:grouping val="clustered"/>
        <c:varyColors val="0"/>
        <c:ser>
          <c:idx val="1"/>
          <c:order val="0"/>
          <c:tx>
            <c:v>人口</c:v>
          </c:tx>
          <c:spPr>
            <a:solidFill>
              <a:srgbClr val="969696"/>
            </a:solidFill>
            <a:ln w="12700">
              <a:solidFill>
                <a:srgbClr val="000000"/>
              </a:solidFill>
              <a:prstDash val="solid"/>
            </a:ln>
          </c:spPr>
          <c:invertIfNegative val="0"/>
          <c:cat>
            <c:strRef>
              <c:f>'６ページ（行政区別）'!$Q$6:$Q$29</c:f>
              <c:strCache>
                <c:ptCount val="24"/>
                <c:pt idx="0">
                  <c:v>北</c:v>
                </c:pt>
                <c:pt idx="1">
                  <c:v>都島</c:v>
                </c:pt>
                <c:pt idx="2">
                  <c:v>福島</c:v>
                </c:pt>
                <c:pt idx="3">
                  <c:v>此花</c:v>
                </c:pt>
                <c:pt idx="4">
                  <c:v>中央</c:v>
                </c:pt>
                <c:pt idx="5">
                  <c:v>西</c:v>
                </c:pt>
                <c:pt idx="6">
                  <c:v>港</c:v>
                </c:pt>
                <c:pt idx="7">
                  <c:v>大正</c:v>
                </c:pt>
                <c:pt idx="8">
                  <c:v>天王寺</c:v>
                </c:pt>
                <c:pt idx="9">
                  <c:v>浪速</c:v>
                </c:pt>
                <c:pt idx="10">
                  <c:v>西淀川</c:v>
                </c:pt>
                <c:pt idx="11">
                  <c:v>淀川</c:v>
                </c:pt>
                <c:pt idx="12">
                  <c:v>東淀川</c:v>
                </c:pt>
                <c:pt idx="13">
                  <c:v>東成</c:v>
                </c:pt>
                <c:pt idx="14">
                  <c:v>生野</c:v>
                </c:pt>
                <c:pt idx="15">
                  <c:v>旭</c:v>
                </c:pt>
                <c:pt idx="16">
                  <c:v>城東</c:v>
                </c:pt>
                <c:pt idx="17">
                  <c:v>鶴見</c:v>
                </c:pt>
                <c:pt idx="18">
                  <c:v>阿倍野</c:v>
                </c:pt>
                <c:pt idx="19">
                  <c:v>住之江</c:v>
                </c:pt>
                <c:pt idx="20">
                  <c:v>住吉</c:v>
                </c:pt>
                <c:pt idx="21">
                  <c:v>東住吉</c:v>
                </c:pt>
                <c:pt idx="22">
                  <c:v>平野</c:v>
                </c:pt>
                <c:pt idx="23">
                  <c:v>西成</c:v>
                </c:pt>
              </c:strCache>
            </c:strRef>
          </c:cat>
          <c:val>
            <c:numRef>
              <c:f>'６ページ（行政区別）'!$R$6:$R$29</c:f>
              <c:numCache>
                <c:formatCode>#,##0_);[Red]\(#,##0\)</c:formatCode>
                <c:ptCount val="24"/>
                <c:pt idx="0">
                  <c:v>148029</c:v>
                </c:pt>
                <c:pt idx="1">
                  <c:v>109409</c:v>
                </c:pt>
                <c:pt idx="2">
                  <c:v>83410</c:v>
                </c:pt>
                <c:pt idx="3">
                  <c:v>63354</c:v>
                </c:pt>
                <c:pt idx="4">
                  <c:v>117575</c:v>
                </c:pt>
                <c:pt idx="5">
                  <c:v>113740</c:v>
                </c:pt>
                <c:pt idx="6">
                  <c:v>80421</c:v>
                </c:pt>
                <c:pt idx="7">
                  <c:v>59565</c:v>
                </c:pt>
                <c:pt idx="8">
                  <c:v>87662</c:v>
                </c:pt>
                <c:pt idx="9">
                  <c:v>84800</c:v>
                </c:pt>
                <c:pt idx="10">
                  <c:v>96540</c:v>
                </c:pt>
                <c:pt idx="11">
                  <c:v>187682</c:v>
                </c:pt>
                <c:pt idx="12">
                  <c:v>176447</c:v>
                </c:pt>
                <c:pt idx="13">
                  <c:v>87575</c:v>
                </c:pt>
                <c:pt idx="14">
                  <c:v>127563</c:v>
                </c:pt>
                <c:pt idx="15">
                  <c:v>90080</c:v>
                </c:pt>
                <c:pt idx="16">
                  <c:v>168294</c:v>
                </c:pt>
                <c:pt idx="17">
                  <c:v>111155</c:v>
                </c:pt>
                <c:pt idx="18">
                  <c:v>112677</c:v>
                </c:pt>
                <c:pt idx="19">
                  <c:v>116730</c:v>
                </c:pt>
                <c:pt idx="20">
                  <c:v>152487</c:v>
                </c:pt>
                <c:pt idx="21">
                  <c:v>129226</c:v>
                </c:pt>
                <c:pt idx="22">
                  <c:v>185220</c:v>
                </c:pt>
                <c:pt idx="23">
                  <c:v>105829</c:v>
                </c:pt>
              </c:numCache>
            </c:numRef>
          </c:val>
          <c:extLst>
            <c:ext xmlns:c16="http://schemas.microsoft.com/office/drawing/2014/chart" uri="{C3380CC4-5D6E-409C-BE32-E72D297353CC}">
              <c16:uniqueId val="{00000000-D25A-460D-A282-99316AF7FC78}"/>
            </c:ext>
          </c:extLst>
        </c:ser>
        <c:dLbls>
          <c:showLegendKey val="0"/>
          <c:showVal val="0"/>
          <c:showCatName val="0"/>
          <c:showSerName val="0"/>
          <c:showPercent val="0"/>
          <c:showBubbleSize val="0"/>
        </c:dLbls>
        <c:gapWidth val="150"/>
        <c:axId val="344650496"/>
        <c:axId val="345083904"/>
      </c:barChart>
      <c:lineChart>
        <c:grouping val="standard"/>
        <c:varyColors val="0"/>
        <c:ser>
          <c:idx val="0"/>
          <c:order val="1"/>
          <c:tx>
            <c:v>件数</c:v>
          </c:tx>
          <c:spPr>
            <a:ln w="12700">
              <a:solidFill>
                <a:srgbClr val="000080"/>
              </a:solidFill>
              <a:prstDash val="solid"/>
            </a:ln>
          </c:spPr>
          <c:marker>
            <c:symbol val="diamond"/>
            <c:size val="5"/>
            <c:spPr>
              <a:solidFill>
                <a:srgbClr val="000080"/>
              </a:solidFill>
              <a:ln>
                <a:solidFill>
                  <a:srgbClr val="000080"/>
                </a:solidFill>
                <a:prstDash val="solid"/>
              </a:ln>
            </c:spPr>
          </c:marker>
          <c:cat>
            <c:strRef>
              <c:f>'６ページ（行政区別）'!$Q$6:$Q$29</c:f>
              <c:strCache>
                <c:ptCount val="24"/>
                <c:pt idx="0">
                  <c:v>北</c:v>
                </c:pt>
                <c:pt idx="1">
                  <c:v>都島</c:v>
                </c:pt>
                <c:pt idx="2">
                  <c:v>福島</c:v>
                </c:pt>
                <c:pt idx="3">
                  <c:v>此花</c:v>
                </c:pt>
                <c:pt idx="4">
                  <c:v>中央</c:v>
                </c:pt>
                <c:pt idx="5">
                  <c:v>西</c:v>
                </c:pt>
                <c:pt idx="6">
                  <c:v>港</c:v>
                </c:pt>
                <c:pt idx="7">
                  <c:v>大正</c:v>
                </c:pt>
                <c:pt idx="8">
                  <c:v>天王寺</c:v>
                </c:pt>
                <c:pt idx="9">
                  <c:v>浪速</c:v>
                </c:pt>
                <c:pt idx="10">
                  <c:v>西淀川</c:v>
                </c:pt>
                <c:pt idx="11">
                  <c:v>淀川</c:v>
                </c:pt>
                <c:pt idx="12">
                  <c:v>東淀川</c:v>
                </c:pt>
                <c:pt idx="13">
                  <c:v>東成</c:v>
                </c:pt>
                <c:pt idx="14">
                  <c:v>生野</c:v>
                </c:pt>
                <c:pt idx="15">
                  <c:v>旭</c:v>
                </c:pt>
                <c:pt idx="16">
                  <c:v>城東</c:v>
                </c:pt>
                <c:pt idx="17">
                  <c:v>鶴見</c:v>
                </c:pt>
                <c:pt idx="18">
                  <c:v>阿倍野</c:v>
                </c:pt>
                <c:pt idx="19">
                  <c:v>住之江</c:v>
                </c:pt>
                <c:pt idx="20">
                  <c:v>住吉</c:v>
                </c:pt>
                <c:pt idx="21">
                  <c:v>東住吉</c:v>
                </c:pt>
                <c:pt idx="22">
                  <c:v>平野</c:v>
                </c:pt>
                <c:pt idx="23">
                  <c:v>西成</c:v>
                </c:pt>
              </c:strCache>
            </c:strRef>
          </c:cat>
          <c:val>
            <c:numRef>
              <c:f>'６ページ（行政区別）'!$S$6:$S$29</c:f>
              <c:numCache>
                <c:formatCode>#,##0_);[Red]\(#,##0\)</c:formatCode>
                <c:ptCount val="24"/>
                <c:pt idx="0">
                  <c:v>854</c:v>
                </c:pt>
                <c:pt idx="1">
                  <c:v>156</c:v>
                </c:pt>
                <c:pt idx="2">
                  <c:v>222</c:v>
                </c:pt>
                <c:pt idx="3">
                  <c:v>115</c:v>
                </c:pt>
                <c:pt idx="4">
                  <c:v>804</c:v>
                </c:pt>
                <c:pt idx="5">
                  <c:v>292</c:v>
                </c:pt>
                <c:pt idx="6">
                  <c:v>169</c:v>
                </c:pt>
                <c:pt idx="7">
                  <c:v>161</c:v>
                </c:pt>
                <c:pt idx="8">
                  <c:v>283</c:v>
                </c:pt>
                <c:pt idx="9">
                  <c:v>318</c:v>
                </c:pt>
                <c:pt idx="10">
                  <c:v>219</c:v>
                </c:pt>
                <c:pt idx="11">
                  <c:v>477</c:v>
                </c:pt>
                <c:pt idx="12">
                  <c:v>461</c:v>
                </c:pt>
                <c:pt idx="13">
                  <c:v>255</c:v>
                </c:pt>
                <c:pt idx="14">
                  <c:v>296</c:v>
                </c:pt>
                <c:pt idx="15">
                  <c:v>169</c:v>
                </c:pt>
                <c:pt idx="16">
                  <c:v>355</c:v>
                </c:pt>
                <c:pt idx="17">
                  <c:v>280</c:v>
                </c:pt>
                <c:pt idx="18">
                  <c:v>369</c:v>
                </c:pt>
                <c:pt idx="19">
                  <c:v>260</c:v>
                </c:pt>
                <c:pt idx="20">
                  <c:v>344</c:v>
                </c:pt>
                <c:pt idx="21">
                  <c:v>283</c:v>
                </c:pt>
                <c:pt idx="22">
                  <c:v>413</c:v>
                </c:pt>
                <c:pt idx="23">
                  <c:v>294</c:v>
                </c:pt>
              </c:numCache>
            </c:numRef>
          </c:val>
          <c:smooth val="0"/>
          <c:extLst>
            <c:ext xmlns:c16="http://schemas.microsoft.com/office/drawing/2014/chart" uri="{C3380CC4-5D6E-409C-BE32-E72D297353CC}">
              <c16:uniqueId val="{00000001-D25A-460D-A282-99316AF7FC78}"/>
            </c:ext>
          </c:extLst>
        </c:ser>
        <c:dLbls>
          <c:showLegendKey val="0"/>
          <c:showVal val="0"/>
          <c:showCatName val="0"/>
          <c:showSerName val="0"/>
          <c:showPercent val="0"/>
          <c:showBubbleSize val="0"/>
        </c:dLbls>
        <c:marker val="1"/>
        <c:smooth val="0"/>
        <c:axId val="345086208"/>
        <c:axId val="345264512"/>
      </c:lineChart>
      <c:catAx>
        <c:axId val="344650496"/>
        <c:scaling>
          <c:orientation val="minMax"/>
        </c:scaling>
        <c:delete val="0"/>
        <c:axPos val="b"/>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a:t>区</a:t>
                </a:r>
              </a:p>
            </c:rich>
          </c:tx>
          <c:layout>
            <c:manualLayout>
              <c:xMode val="edge"/>
              <c:yMode val="edge"/>
              <c:x val="0.49583333333333335"/>
              <c:y val="0.84546925566343045"/>
            </c:manualLayout>
          </c:layout>
          <c:overlay val="0"/>
          <c:spPr>
            <a:noFill/>
            <a:ln w="25400">
              <a:noFill/>
            </a:ln>
          </c:spPr>
        </c:title>
        <c:numFmt formatCode="@" sourceLinked="0"/>
        <c:majorTickMark val="none"/>
        <c:minorTickMark val="none"/>
        <c:tickLblPos val="nextTo"/>
        <c:spPr>
          <a:ln w="3175">
            <a:solidFill>
              <a:srgbClr val="000000"/>
            </a:solidFill>
            <a:prstDash val="solid"/>
          </a:ln>
        </c:spPr>
        <c:txPr>
          <a:bodyPr rot="-2700000" vert="horz"/>
          <a:lstStyle/>
          <a:p>
            <a:pPr>
              <a:defRPr sz="600" b="0" i="0" u="none" strike="noStrike" baseline="0">
                <a:solidFill>
                  <a:srgbClr val="000000"/>
                </a:solidFill>
                <a:latin typeface="Arial" panose="020B0604020202020204" pitchFamily="34" charset="0"/>
                <a:ea typeface="ＭＳ Ｐゴシック"/>
                <a:cs typeface="Arial" panose="020B0604020202020204" pitchFamily="34" charset="0"/>
              </a:defRPr>
            </a:pPr>
            <a:endParaRPr lang="ja-JP"/>
          </a:p>
        </c:txPr>
        <c:crossAx val="345083904"/>
        <c:crosses val="autoZero"/>
        <c:auto val="0"/>
        <c:lblAlgn val="ctr"/>
        <c:lblOffset val="100"/>
        <c:tickLblSkip val="1"/>
        <c:tickMarkSkip val="2"/>
        <c:noMultiLvlLbl val="0"/>
      </c:catAx>
      <c:valAx>
        <c:axId val="345083904"/>
        <c:scaling>
          <c:orientation val="minMax"/>
          <c:max val="250000"/>
        </c:scaling>
        <c:delete val="0"/>
        <c:axPos val="l"/>
        <c:title>
          <c:tx>
            <c:rich>
              <a:bodyPr rot="0" vert="horz"/>
              <a:lstStyle/>
              <a:p>
                <a:pPr algn="ctr">
                  <a:defRPr sz="1100" b="0" i="0" u="none" strike="noStrike" baseline="0">
                    <a:solidFill>
                      <a:srgbClr val="000000"/>
                    </a:solidFill>
                    <a:latin typeface="Arial" panose="020B0604020202020204" pitchFamily="34" charset="0"/>
                    <a:ea typeface="Yu Gothic"/>
                    <a:cs typeface="Arial" panose="020B0604020202020204" pitchFamily="34" charset="0"/>
                  </a:defRPr>
                </a:pPr>
                <a:r>
                  <a:rPr lang="ja-JP" altLang="en-US" sz="1000" b="0" i="0" u="none" strike="noStrike" baseline="0">
                    <a:solidFill>
                      <a:srgbClr val="000000"/>
                    </a:solidFill>
                    <a:latin typeface="Arial" panose="020B0604020202020204" pitchFamily="34" charset="0"/>
                    <a:ea typeface="ＭＳ Ｐゴシック"/>
                    <a:cs typeface="Arial" panose="020B0604020202020204" pitchFamily="34" charset="0"/>
                  </a:rPr>
                  <a:t>人口(人）</a:t>
                </a:r>
              </a:p>
            </c:rich>
          </c:tx>
          <c:layout>
            <c:manualLayout>
              <c:xMode val="edge"/>
              <c:yMode val="edge"/>
              <c:x val="6.9444444444444441E-3"/>
              <c:y val="0.39077669902912621"/>
            </c:manualLayout>
          </c:layout>
          <c:overlay val="0"/>
          <c:spPr>
            <a:noFill/>
            <a:ln w="25400">
              <a:noFill/>
            </a:ln>
          </c:spPr>
        </c:title>
        <c:numFmt formatCode="#,##0_);[Red]\(#,##0\)" sourceLinked="1"/>
        <c:majorTickMark val="in"/>
        <c:minorTickMark val="none"/>
        <c:tickLblPos val="nextTo"/>
        <c:spPr>
          <a:ln w="3175">
            <a:solidFill>
              <a:srgbClr val="000000"/>
            </a:solidFill>
            <a:prstDash val="solid"/>
          </a:ln>
        </c:spPr>
        <c:txPr>
          <a:bodyPr rot="0" vert="horz"/>
          <a:lstStyle/>
          <a:p>
            <a:pPr>
              <a:defRPr sz="1050" b="0" i="0" u="none" strike="noStrike" baseline="0">
                <a:solidFill>
                  <a:srgbClr val="000000"/>
                </a:solidFill>
                <a:latin typeface="Arial" panose="020B0604020202020204" pitchFamily="34" charset="0"/>
                <a:ea typeface="ＭＳ Ｐゴシック"/>
                <a:cs typeface="Arial" panose="020B0604020202020204" pitchFamily="34" charset="0"/>
              </a:defRPr>
            </a:pPr>
            <a:endParaRPr lang="ja-JP"/>
          </a:p>
        </c:txPr>
        <c:crossAx val="344650496"/>
        <c:crosses val="autoZero"/>
        <c:crossBetween val="between"/>
      </c:valAx>
      <c:catAx>
        <c:axId val="345086208"/>
        <c:scaling>
          <c:orientation val="minMax"/>
        </c:scaling>
        <c:delete val="1"/>
        <c:axPos val="b"/>
        <c:numFmt formatCode="General" sourceLinked="1"/>
        <c:majorTickMark val="out"/>
        <c:minorTickMark val="none"/>
        <c:tickLblPos val="nextTo"/>
        <c:crossAx val="345264512"/>
        <c:crosses val="autoZero"/>
        <c:auto val="0"/>
        <c:lblAlgn val="ctr"/>
        <c:lblOffset val="100"/>
        <c:noMultiLvlLbl val="0"/>
      </c:catAx>
      <c:valAx>
        <c:axId val="345264512"/>
        <c:scaling>
          <c:orientation val="minMax"/>
        </c:scaling>
        <c:delete val="0"/>
        <c:axPos val="r"/>
        <c:title>
          <c:tx>
            <c:rich>
              <a:bodyPr rot="0" vert="horz"/>
              <a:lstStyle/>
              <a:p>
                <a:pPr algn="ctr">
                  <a:defRPr sz="1000" b="0" i="0" u="none" strike="noStrike" baseline="0">
                    <a:solidFill>
                      <a:srgbClr val="000000"/>
                    </a:solidFill>
                    <a:latin typeface="Arial" panose="020B0604020202020204" pitchFamily="34" charset="0"/>
                    <a:ea typeface="ＭＳ Ｐゴシック"/>
                    <a:cs typeface="Arial" panose="020B0604020202020204" pitchFamily="34" charset="0"/>
                  </a:defRPr>
                </a:pPr>
                <a:r>
                  <a:rPr lang="ja-JP" altLang="en-US" sz="1000">
                    <a:latin typeface="Arial" panose="020B0604020202020204" pitchFamily="34" charset="0"/>
                    <a:cs typeface="Arial" panose="020B0604020202020204" pitchFamily="34" charset="0"/>
                  </a:rPr>
                  <a:t>件数（件）</a:t>
                </a:r>
              </a:p>
            </c:rich>
          </c:tx>
          <c:layout>
            <c:manualLayout>
              <c:xMode val="edge"/>
              <c:yMode val="edge"/>
              <c:x val="0.90092592592592591"/>
              <c:y val="0.39482200647249188"/>
            </c:manualLayout>
          </c:layout>
          <c:overlay val="0"/>
          <c:spPr>
            <a:noFill/>
            <a:ln w="25400">
              <a:noFill/>
            </a:ln>
          </c:spPr>
        </c:title>
        <c:numFmt formatCode="#,##0_);[Red]\(#,##0\)" sourceLinked="1"/>
        <c:majorTickMark val="in"/>
        <c:minorTickMark val="none"/>
        <c:tickLblPos val="nextTo"/>
        <c:spPr>
          <a:ln w="3175">
            <a:solidFill>
              <a:srgbClr val="000000"/>
            </a:solidFill>
            <a:prstDash val="solid"/>
          </a:ln>
        </c:spPr>
        <c:txPr>
          <a:bodyPr rot="0" vert="horz"/>
          <a:lstStyle/>
          <a:p>
            <a:pPr>
              <a:defRPr sz="1050" b="0" i="0" u="none" strike="noStrike" baseline="0">
                <a:solidFill>
                  <a:srgbClr val="000000"/>
                </a:solidFill>
                <a:latin typeface="Arial" panose="020B0604020202020204" pitchFamily="34" charset="0"/>
                <a:ea typeface="ＭＳ Ｐゴシック"/>
                <a:cs typeface="Arial" panose="020B0604020202020204" pitchFamily="34" charset="0"/>
              </a:defRPr>
            </a:pPr>
            <a:endParaRPr lang="ja-JP"/>
          </a:p>
        </c:txPr>
        <c:crossAx val="345086208"/>
        <c:crosses val="max"/>
        <c:crossBetween val="between"/>
      </c:valAx>
      <c:spPr>
        <a:solidFill>
          <a:srgbClr val="FFFFFF"/>
        </a:solidFill>
        <a:ln w="25400">
          <a:noFill/>
        </a:ln>
      </c:spPr>
    </c:plotArea>
    <c:legend>
      <c:legendPos val="r"/>
      <c:layout>
        <c:manualLayout>
          <c:xMode val="edge"/>
          <c:yMode val="edge"/>
          <c:x val="0.41018518518518521"/>
          <c:y val="0.92475728155339809"/>
          <c:w val="0.19305555555555554"/>
          <c:h val="5.8252427184465994E-2"/>
        </c:manualLayout>
      </c:layout>
      <c:overlay val="0"/>
      <c:spPr>
        <a:solidFill>
          <a:srgbClr val="FFFFFF"/>
        </a:solidFill>
        <a:ln w="3175">
          <a:solidFill>
            <a:srgbClr val="000000"/>
          </a:solidFill>
          <a:prstDash val="solid"/>
        </a:ln>
      </c:spPr>
      <c:txPr>
        <a:bodyPr/>
        <a:lstStyle/>
        <a:p>
          <a:pPr>
            <a:defRPr sz="925" b="0" i="0" u="none" strike="noStrike" baseline="0">
              <a:solidFill>
                <a:srgbClr val="000000"/>
              </a:solidFill>
              <a:latin typeface="ＭＳ Ｐゴシック"/>
              <a:ea typeface="ＭＳ Ｐゴシック"/>
              <a:cs typeface="ＭＳ Ｐゴシック"/>
            </a:defRPr>
          </a:pPr>
          <a:endParaRPr lang="ja-JP"/>
        </a:p>
      </c:txPr>
    </c:legend>
    <c:plotVisOnly val="0"/>
    <c:dispBlanksAs val="gap"/>
    <c:showDLblsOverMax val="0"/>
  </c:chart>
  <c:spPr>
    <a:solidFill>
      <a:srgbClr val="FFFFFF"/>
    </a:solidFill>
    <a:ln w="3175">
      <a:solidFill>
        <a:srgbClr val="000000"/>
      </a:solidFill>
      <a:prstDash val="solid"/>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Footer>&amp;C-6-
</c:oddFooter>
    </c:headerFooter>
    <c:pageMargins b="0.98399999999999999" l="0.78700000000000003" r="0.78700000000000003" t="0.98399999999999999" header="0.5" footer="0.5"/>
    <c:pageSetup paperSize="9" firstPageNumber="0" orientation="landscape" horizontalDpi="300"/>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9747832027429554E-2"/>
          <c:y val="0.13369040605214508"/>
          <c:w val="0.85404065561675679"/>
          <c:h val="0.74773434131263583"/>
        </c:manualLayout>
      </c:layout>
      <c:lineChart>
        <c:grouping val="standard"/>
        <c:varyColors val="0"/>
        <c:ser>
          <c:idx val="1"/>
          <c:order val="1"/>
          <c:tx>
            <c:strRef>
              <c:f>'３３ページ自転車対自転車'!$A$4</c:f>
              <c:strCache>
                <c:ptCount val="1"/>
                <c:pt idx="0">
                  <c:v>自転車対自転車</c:v>
                </c:pt>
              </c:strCache>
            </c:strRef>
          </c:tx>
          <c:spPr>
            <a:ln w="28575" cap="rnd">
              <a:solidFill>
                <a:srgbClr val="FF0000"/>
              </a:solidFill>
              <a:prstDash val="sysDash"/>
              <a:round/>
            </a:ln>
            <a:effectLst/>
          </c:spPr>
          <c:marker>
            <c:symbol val="none"/>
          </c:marker>
          <c:cat>
            <c:strRef>
              <c:f>'３３ページ自転車対自転車'!$A$7:$A$26</c:f>
              <c:strCache>
                <c:ptCount val="20"/>
                <c:pt idx="0">
                  <c:v>H18</c:v>
                </c:pt>
                <c:pt idx="1">
                  <c:v>H19</c:v>
                </c:pt>
                <c:pt idx="2">
                  <c:v>H20</c:v>
                </c:pt>
                <c:pt idx="3">
                  <c:v>H21</c:v>
                </c:pt>
                <c:pt idx="4">
                  <c:v>H22</c:v>
                </c:pt>
                <c:pt idx="5">
                  <c:v>H23</c:v>
                </c:pt>
                <c:pt idx="6">
                  <c:v>H24</c:v>
                </c:pt>
                <c:pt idx="7">
                  <c:v>H25</c:v>
                </c:pt>
                <c:pt idx="8">
                  <c:v>H26</c:v>
                </c:pt>
                <c:pt idx="9">
                  <c:v>H27</c:v>
                </c:pt>
                <c:pt idx="10">
                  <c:v>H28</c:v>
                </c:pt>
                <c:pt idx="11">
                  <c:v>H29</c:v>
                </c:pt>
                <c:pt idx="12">
                  <c:v>H30</c:v>
                </c:pt>
                <c:pt idx="13">
                  <c:v>R1</c:v>
                </c:pt>
                <c:pt idx="14">
                  <c:v>R2</c:v>
                </c:pt>
                <c:pt idx="15">
                  <c:v>R3</c:v>
                </c:pt>
                <c:pt idx="16">
                  <c:v>R4</c:v>
                </c:pt>
                <c:pt idx="17">
                  <c:v>R5</c:v>
                </c:pt>
                <c:pt idx="18">
                  <c:v>R6</c:v>
                </c:pt>
                <c:pt idx="19">
                  <c:v>R7</c:v>
                </c:pt>
              </c:strCache>
            </c:strRef>
          </c:cat>
          <c:val>
            <c:numRef>
              <c:f>'３３ページ自転車対自転車'!$C$7:$C$26</c:f>
              <c:numCache>
                <c:formatCode>#,##0_ </c:formatCode>
                <c:ptCount val="20"/>
                <c:pt idx="0">
                  <c:v>151</c:v>
                </c:pt>
                <c:pt idx="1">
                  <c:v>179</c:v>
                </c:pt>
                <c:pt idx="2">
                  <c:v>215</c:v>
                </c:pt>
                <c:pt idx="3">
                  <c:v>235</c:v>
                </c:pt>
                <c:pt idx="4">
                  <c:v>249</c:v>
                </c:pt>
                <c:pt idx="5">
                  <c:v>264</c:v>
                </c:pt>
                <c:pt idx="6">
                  <c:v>248</c:v>
                </c:pt>
                <c:pt idx="7">
                  <c:v>254</c:v>
                </c:pt>
                <c:pt idx="8">
                  <c:v>261</c:v>
                </c:pt>
                <c:pt idx="9">
                  <c:v>315</c:v>
                </c:pt>
                <c:pt idx="10">
                  <c:v>319</c:v>
                </c:pt>
                <c:pt idx="11">
                  <c:v>279</c:v>
                </c:pt>
                <c:pt idx="12">
                  <c:v>365</c:v>
                </c:pt>
                <c:pt idx="13">
                  <c:v>331</c:v>
                </c:pt>
                <c:pt idx="14">
                  <c:v>276</c:v>
                </c:pt>
                <c:pt idx="15">
                  <c:v>296</c:v>
                </c:pt>
                <c:pt idx="16">
                  <c:v>302</c:v>
                </c:pt>
                <c:pt idx="17">
                  <c:v>279</c:v>
                </c:pt>
                <c:pt idx="18">
                  <c:v>314</c:v>
                </c:pt>
                <c:pt idx="19">
                  <c:v>325</c:v>
                </c:pt>
              </c:numCache>
            </c:numRef>
          </c:val>
          <c:smooth val="0"/>
          <c:extLst>
            <c:ext xmlns:c16="http://schemas.microsoft.com/office/drawing/2014/chart" uri="{C3380CC4-5D6E-409C-BE32-E72D297353CC}">
              <c16:uniqueId val="{00000000-48D1-46E8-848A-11BD5AA27281}"/>
            </c:ext>
          </c:extLst>
        </c:ser>
        <c:ser>
          <c:idx val="2"/>
          <c:order val="2"/>
          <c:tx>
            <c:strRef>
              <c:f>'３３ページ自転車対自転車'!$H$4</c:f>
              <c:strCache>
                <c:ptCount val="1"/>
                <c:pt idx="0">
                  <c:v>自転車対歩行者</c:v>
                </c:pt>
              </c:strCache>
            </c:strRef>
          </c:tx>
          <c:spPr>
            <a:ln w="28575" cap="rnd">
              <a:solidFill>
                <a:schemeClr val="tx2"/>
              </a:solidFill>
              <a:round/>
            </a:ln>
            <a:effectLst/>
          </c:spPr>
          <c:marker>
            <c:symbol val="none"/>
          </c:marker>
          <c:cat>
            <c:strRef>
              <c:f>'３３ページ自転車対自転車'!$A$7:$A$26</c:f>
              <c:strCache>
                <c:ptCount val="20"/>
                <c:pt idx="0">
                  <c:v>H18</c:v>
                </c:pt>
                <c:pt idx="1">
                  <c:v>H19</c:v>
                </c:pt>
                <c:pt idx="2">
                  <c:v>H20</c:v>
                </c:pt>
                <c:pt idx="3">
                  <c:v>H21</c:v>
                </c:pt>
                <c:pt idx="4">
                  <c:v>H22</c:v>
                </c:pt>
                <c:pt idx="5">
                  <c:v>H23</c:v>
                </c:pt>
                <c:pt idx="6">
                  <c:v>H24</c:v>
                </c:pt>
                <c:pt idx="7">
                  <c:v>H25</c:v>
                </c:pt>
                <c:pt idx="8">
                  <c:v>H26</c:v>
                </c:pt>
                <c:pt idx="9">
                  <c:v>H27</c:v>
                </c:pt>
                <c:pt idx="10">
                  <c:v>H28</c:v>
                </c:pt>
                <c:pt idx="11">
                  <c:v>H29</c:v>
                </c:pt>
                <c:pt idx="12">
                  <c:v>H30</c:v>
                </c:pt>
                <c:pt idx="13">
                  <c:v>R1</c:v>
                </c:pt>
                <c:pt idx="14">
                  <c:v>R2</c:v>
                </c:pt>
                <c:pt idx="15">
                  <c:v>R3</c:v>
                </c:pt>
                <c:pt idx="16">
                  <c:v>R4</c:v>
                </c:pt>
                <c:pt idx="17">
                  <c:v>R5</c:v>
                </c:pt>
                <c:pt idx="18">
                  <c:v>R6</c:v>
                </c:pt>
                <c:pt idx="19">
                  <c:v>R7</c:v>
                </c:pt>
              </c:strCache>
            </c:strRef>
          </c:cat>
          <c:val>
            <c:numRef>
              <c:f>'３３ページ自転車対自転車'!$J$7:$J$26</c:f>
              <c:numCache>
                <c:formatCode>#,##0_ </c:formatCode>
                <c:ptCount val="20"/>
                <c:pt idx="0">
                  <c:v>81</c:v>
                </c:pt>
                <c:pt idx="1">
                  <c:v>101</c:v>
                </c:pt>
                <c:pt idx="2">
                  <c:v>102</c:v>
                </c:pt>
                <c:pt idx="3">
                  <c:v>136</c:v>
                </c:pt>
                <c:pt idx="4">
                  <c:v>121</c:v>
                </c:pt>
                <c:pt idx="5">
                  <c:v>134</c:v>
                </c:pt>
                <c:pt idx="6">
                  <c:v>147</c:v>
                </c:pt>
                <c:pt idx="7">
                  <c:v>125</c:v>
                </c:pt>
                <c:pt idx="8">
                  <c:v>155</c:v>
                </c:pt>
                <c:pt idx="9">
                  <c:v>159</c:v>
                </c:pt>
                <c:pt idx="10">
                  <c:v>151</c:v>
                </c:pt>
                <c:pt idx="11">
                  <c:v>169</c:v>
                </c:pt>
                <c:pt idx="12">
                  <c:v>212</c:v>
                </c:pt>
                <c:pt idx="13">
                  <c:v>203</c:v>
                </c:pt>
                <c:pt idx="14">
                  <c:v>180</c:v>
                </c:pt>
                <c:pt idx="15">
                  <c:v>165</c:v>
                </c:pt>
                <c:pt idx="16">
                  <c:v>188</c:v>
                </c:pt>
                <c:pt idx="17">
                  <c:v>178</c:v>
                </c:pt>
                <c:pt idx="18">
                  <c:v>191</c:v>
                </c:pt>
                <c:pt idx="19">
                  <c:v>205</c:v>
                </c:pt>
              </c:numCache>
            </c:numRef>
          </c:val>
          <c:smooth val="0"/>
          <c:extLst>
            <c:ext xmlns:c16="http://schemas.microsoft.com/office/drawing/2014/chart" uri="{C3380CC4-5D6E-409C-BE32-E72D297353CC}">
              <c16:uniqueId val="{00000001-48D1-46E8-848A-11BD5AA27281}"/>
            </c:ext>
          </c:extLst>
        </c:ser>
        <c:dLbls>
          <c:showLegendKey val="0"/>
          <c:showVal val="0"/>
          <c:showCatName val="0"/>
          <c:showSerName val="0"/>
          <c:showPercent val="0"/>
          <c:showBubbleSize val="0"/>
        </c:dLbls>
        <c:smooth val="0"/>
        <c:axId val="415263160"/>
        <c:axId val="415261848"/>
        <c:extLst>
          <c:ext xmlns:c15="http://schemas.microsoft.com/office/drawing/2012/chart" uri="{02D57815-91ED-43cb-92C2-25804820EDAC}">
            <c15:filteredLineSeries>
              <c15:ser>
                <c:idx val="0"/>
                <c:order val="0"/>
                <c:spPr>
                  <a:ln w="28575" cap="rnd">
                    <a:solidFill>
                      <a:schemeClr val="accent1"/>
                    </a:solidFill>
                    <a:round/>
                  </a:ln>
                  <a:effectLst/>
                </c:spPr>
                <c:marker>
                  <c:symbol val="none"/>
                </c:marker>
                <c:cat>
                  <c:strRef>
                    <c:extLst>
                      <c:ext uri="{02D57815-91ED-43cb-92C2-25804820EDAC}">
                        <c15:formulaRef>
                          <c15:sqref>'３３ページ自転車対自転車'!$A$7:$A$26</c15:sqref>
                        </c15:formulaRef>
                      </c:ext>
                    </c:extLst>
                    <c:strCache>
                      <c:ptCount val="20"/>
                      <c:pt idx="0">
                        <c:v>H18</c:v>
                      </c:pt>
                      <c:pt idx="1">
                        <c:v>H19</c:v>
                      </c:pt>
                      <c:pt idx="2">
                        <c:v>H20</c:v>
                      </c:pt>
                      <c:pt idx="3">
                        <c:v>H21</c:v>
                      </c:pt>
                      <c:pt idx="4">
                        <c:v>H22</c:v>
                      </c:pt>
                      <c:pt idx="5">
                        <c:v>H23</c:v>
                      </c:pt>
                      <c:pt idx="6">
                        <c:v>H24</c:v>
                      </c:pt>
                      <c:pt idx="7">
                        <c:v>H25</c:v>
                      </c:pt>
                      <c:pt idx="8">
                        <c:v>H26</c:v>
                      </c:pt>
                      <c:pt idx="9">
                        <c:v>H27</c:v>
                      </c:pt>
                      <c:pt idx="10">
                        <c:v>H28</c:v>
                      </c:pt>
                      <c:pt idx="11">
                        <c:v>H29</c:v>
                      </c:pt>
                      <c:pt idx="12">
                        <c:v>H30</c:v>
                      </c:pt>
                      <c:pt idx="13">
                        <c:v>R1</c:v>
                      </c:pt>
                      <c:pt idx="14">
                        <c:v>R2</c:v>
                      </c:pt>
                      <c:pt idx="15">
                        <c:v>R3</c:v>
                      </c:pt>
                      <c:pt idx="16">
                        <c:v>R4</c:v>
                      </c:pt>
                      <c:pt idx="17">
                        <c:v>R5</c:v>
                      </c:pt>
                      <c:pt idx="18">
                        <c:v>R6</c:v>
                      </c:pt>
                      <c:pt idx="19">
                        <c:v>R7</c:v>
                      </c:pt>
                    </c:strCache>
                  </c:strRef>
                </c:cat>
                <c:val>
                  <c:numRef>
                    <c:extLst>
                      <c:ext uri="{02D57815-91ED-43cb-92C2-25804820EDAC}">
                        <c15:formulaRef>
                          <c15:sqref>'３３ページ自転車対自転車'!$B$7:$B$22</c15:sqref>
                        </c15:formulaRef>
                      </c:ext>
                    </c:extLst>
                    <c:numCache>
                      <c:formatCode>General</c:formatCode>
                      <c:ptCount val="16"/>
                    </c:numCache>
                  </c:numRef>
                </c:val>
                <c:smooth val="0"/>
                <c:extLst>
                  <c:ext xmlns:c16="http://schemas.microsoft.com/office/drawing/2014/chart" uri="{C3380CC4-5D6E-409C-BE32-E72D297353CC}">
                    <c16:uniqueId val="{00000002-48D1-46E8-848A-11BD5AA27281}"/>
                  </c:ext>
                </c:extLst>
              </c15:ser>
            </c15:filteredLineSeries>
          </c:ext>
        </c:extLst>
      </c:lineChart>
      <c:catAx>
        <c:axId val="415263160"/>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ja-JP"/>
          </a:p>
        </c:txPr>
        <c:crossAx val="415261848"/>
        <c:crosses val="autoZero"/>
        <c:auto val="1"/>
        <c:lblAlgn val="ctr"/>
        <c:lblOffset val="100"/>
        <c:noMultiLvlLbl val="0"/>
      </c:catAx>
      <c:valAx>
        <c:axId val="415261848"/>
        <c:scaling>
          <c:orientation val="minMax"/>
          <c:max val="500"/>
        </c:scaling>
        <c:delete val="0"/>
        <c:axPos val="l"/>
        <c:majorGridlines>
          <c:spPr>
            <a:ln w="9525" cap="flat" cmpd="sng" algn="ctr">
              <a:solidFill>
                <a:schemeClr val="tx1">
                  <a:lumMod val="15000"/>
                  <a:lumOff val="85000"/>
                </a:schemeClr>
              </a:solidFill>
              <a:round/>
            </a:ln>
            <a:effectLst/>
          </c:spPr>
        </c:majorGridlines>
        <c:numFmt formatCode="#,##0_ "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ja-JP"/>
          </a:p>
        </c:txPr>
        <c:crossAx val="415263160"/>
        <c:crosses val="autoZero"/>
        <c:crossBetween val="between"/>
      </c:valAx>
      <c:spPr>
        <a:solidFill>
          <a:srgbClr val="FFFFFF"/>
        </a:solidFill>
        <a:ln>
          <a:solidFill>
            <a:schemeClr val="tx1"/>
          </a:solidFill>
        </a:ln>
        <a:effectLst/>
      </c:spPr>
    </c:plotArea>
    <c:legend>
      <c:legendPos val="b"/>
      <c:layout>
        <c:manualLayout>
          <c:xMode val="edge"/>
          <c:yMode val="edge"/>
          <c:x val="0.49176440630475737"/>
          <c:y val="0.15058291814490823"/>
          <c:w val="0.39226954699755695"/>
          <c:h val="9.3657009533323926E-2"/>
        </c:manualLayout>
      </c:layout>
      <c:overlay val="0"/>
      <c:spPr>
        <a:solidFill>
          <a:srgbClr val="FFFFFF"/>
        </a:solidFill>
        <a:ln>
          <a:no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orientation="portrait"/>
  </c:printSettings>
  <c:userShapes r:id="rId3"/>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42509125092824"/>
          <c:y val="6.7964130703485615E-2"/>
          <c:w val="0.61014927807674091"/>
          <c:h val="0.86407173859302877"/>
        </c:manualLayout>
      </c:layout>
      <c:radarChart>
        <c:radarStyle val="marker"/>
        <c:varyColors val="0"/>
        <c:ser>
          <c:idx val="0"/>
          <c:order val="0"/>
          <c:tx>
            <c:v>件数</c:v>
          </c:tx>
          <c:spPr>
            <a:ln cmpd="dbl">
              <a:solidFill>
                <a:schemeClr val="tx1"/>
              </a:solidFill>
            </a:ln>
          </c:spPr>
          <c:marker>
            <c:symbol val="none"/>
          </c:marker>
          <c:cat>
            <c:numRef>
              <c:f>'３６ぺージ自転車(時間別･類型）'!$B$7:$B$30</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'３６ぺージ自転車(時間別･類型）'!$C$7:$C$30</c:f>
              <c:numCache>
                <c:formatCode>0_);[Red]\(0\)</c:formatCode>
                <c:ptCount val="24"/>
                <c:pt idx="0">
                  <c:v>49</c:v>
                </c:pt>
                <c:pt idx="1">
                  <c:v>22</c:v>
                </c:pt>
                <c:pt idx="2">
                  <c:v>14</c:v>
                </c:pt>
                <c:pt idx="3">
                  <c:v>12</c:v>
                </c:pt>
                <c:pt idx="4">
                  <c:v>10</c:v>
                </c:pt>
                <c:pt idx="5">
                  <c:v>27</c:v>
                </c:pt>
                <c:pt idx="6">
                  <c:v>56</c:v>
                </c:pt>
                <c:pt idx="7">
                  <c:v>157</c:v>
                </c:pt>
                <c:pt idx="8">
                  <c:v>337</c:v>
                </c:pt>
                <c:pt idx="9">
                  <c:v>300</c:v>
                </c:pt>
                <c:pt idx="10">
                  <c:v>225</c:v>
                </c:pt>
                <c:pt idx="11">
                  <c:v>196</c:v>
                </c:pt>
                <c:pt idx="12">
                  <c:v>193</c:v>
                </c:pt>
                <c:pt idx="13">
                  <c:v>164</c:v>
                </c:pt>
                <c:pt idx="14">
                  <c:v>189</c:v>
                </c:pt>
                <c:pt idx="15">
                  <c:v>217</c:v>
                </c:pt>
                <c:pt idx="16">
                  <c:v>215</c:v>
                </c:pt>
                <c:pt idx="17">
                  <c:v>228</c:v>
                </c:pt>
                <c:pt idx="18">
                  <c:v>252</c:v>
                </c:pt>
                <c:pt idx="19">
                  <c:v>154</c:v>
                </c:pt>
                <c:pt idx="20">
                  <c:v>77</c:v>
                </c:pt>
                <c:pt idx="21">
                  <c:v>47</c:v>
                </c:pt>
                <c:pt idx="22">
                  <c:v>53</c:v>
                </c:pt>
                <c:pt idx="23">
                  <c:v>38</c:v>
                </c:pt>
              </c:numCache>
            </c:numRef>
          </c:val>
          <c:extLst>
            <c:ext xmlns:c16="http://schemas.microsoft.com/office/drawing/2014/chart" uri="{C3380CC4-5D6E-409C-BE32-E72D297353CC}">
              <c16:uniqueId val="{00000000-85FB-4EF4-84C9-8376B132FEAF}"/>
            </c:ext>
          </c:extLst>
        </c:ser>
        <c:ser>
          <c:idx val="1"/>
          <c:order val="1"/>
          <c:tx>
            <c:v>負傷者数</c:v>
          </c:tx>
          <c:spPr>
            <a:ln w="19050">
              <a:solidFill>
                <a:srgbClr val="FF0000"/>
              </a:solidFill>
            </a:ln>
          </c:spPr>
          <c:marker>
            <c:symbol val="none"/>
          </c:marker>
          <c:cat>
            <c:numRef>
              <c:f>'３６ぺージ自転車(時間別･類型）'!$B$7:$B$30</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'３６ぺージ自転車(時間別･類型）'!$K$7:$K$30</c:f>
              <c:numCache>
                <c:formatCode>0_);[Red]\(0\)</c:formatCode>
                <c:ptCount val="24"/>
                <c:pt idx="0">
                  <c:v>49</c:v>
                </c:pt>
                <c:pt idx="1">
                  <c:v>21</c:v>
                </c:pt>
                <c:pt idx="2">
                  <c:v>13</c:v>
                </c:pt>
                <c:pt idx="3">
                  <c:v>12</c:v>
                </c:pt>
                <c:pt idx="4">
                  <c:v>10</c:v>
                </c:pt>
                <c:pt idx="5">
                  <c:v>28</c:v>
                </c:pt>
                <c:pt idx="6">
                  <c:v>58</c:v>
                </c:pt>
                <c:pt idx="7">
                  <c:v>163</c:v>
                </c:pt>
                <c:pt idx="8">
                  <c:v>350</c:v>
                </c:pt>
                <c:pt idx="9">
                  <c:v>312</c:v>
                </c:pt>
                <c:pt idx="10">
                  <c:v>231</c:v>
                </c:pt>
                <c:pt idx="11">
                  <c:v>198</c:v>
                </c:pt>
                <c:pt idx="12">
                  <c:v>201</c:v>
                </c:pt>
                <c:pt idx="13">
                  <c:v>165</c:v>
                </c:pt>
                <c:pt idx="14">
                  <c:v>194</c:v>
                </c:pt>
                <c:pt idx="15">
                  <c:v>222</c:v>
                </c:pt>
                <c:pt idx="16">
                  <c:v>227</c:v>
                </c:pt>
                <c:pt idx="17">
                  <c:v>234</c:v>
                </c:pt>
                <c:pt idx="18">
                  <c:v>261</c:v>
                </c:pt>
                <c:pt idx="19">
                  <c:v>158</c:v>
                </c:pt>
                <c:pt idx="20">
                  <c:v>80</c:v>
                </c:pt>
                <c:pt idx="21">
                  <c:v>48</c:v>
                </c:pt>
                <c:pt idx="22">
                  <c:v>54</c:v>
                </c:pt>
                <c:pt idx="23">
                  <c:v>39</c:v>
                </c:pt>
              </c:numCache>
            </c:numRef>
          </c:val>
          <c:extLst>
            <c:ext xmlns:c16="http://schemas.microsoft.com/office/drawing/2014/chart" uri="{C3380CC4-5D6E-409C-BE32-E72D297353CC}">
              <c16:uniqueId val="{00000001-85FB-4EF4-84C9-8376B132FEAF}"/>
            </c:ext>
          </c:extLst>
        </c:ser>
        <c:dLbls>
          <c:showLegendKey val="0"/>
          <c:showVal val="0"/>
          <c:showCatName val="0"/>
          <c:showSerName val="0"/>
          <c:showPercent val="0"/>
          <c:showBubbleSize val="0"/>
        </c:dLbls>
        <c:axId val="344702976"/>
        <c:axId val="344704512"/>
      </c:radarChart>
      <c:catAx>
        <c:axId val="344702976"/>
        <c:scaling>
          <c:orientation val="minMax"/>
        </c:scaling>
        <c:delete val="0"/>
        <c:axPos val="b"/>
        <c:majorGridlines/>
        <c:numFmt formatCode="General" sourceLinked="1"/>
        <c:majorTickMark val="out"/>
        <c:minorTickMark val="none"/>
        <c:tickLblPos val="nextTo"/>
        <c:crossAx val="344704512"/>
        <c:crosses val="autoZero"/>
        <c:auto val="0"/>
        <c:lblAlgn val="ctr"/>
        <c:lblOffset val="100"/>
        <c:noMultiLvlLbl val="0"/>
      </c:catAx>
      <c:valAx>
        <c:axId val="344704512"/>
        <c:scaling>
          <c:orientation val="minMax"/>
        </c:scaling>
        <c:delete val="0"/>
        <c:axPos val="l"/>
        <c:majorGridlines/>
        <c:numFmt formatCode="0_);[Red]\(0\)" sourceLinked="1"/>
        <c:majorTickMark val="cross"/>
        <c:minorTickMark val="none"/>
        <c:tickLblPos val="nextTo"/>
        <c:txPr>
          <a:bodyPr/>
          <a:lstStyle/>
          <a:p>
            <a:pPr>
              <a:defRPr sz="800" baseline="0"/>
            </a:pPr>
            <a:endParaRPr lang="ja-JP"/>
          </a:p>
        </c:txPr>
        <c:crossAx val="344702976"/>
        <c:crosses val="autoZero"/>
        <c:crossBetween val="between"/>
      </c:valAx>
    </c:plotArea>
    <c:legend>
      <c:legendPos val="r"/>
      <c:layout>
        <c:manualLayout>
          <c:xMode val="edge"/>
          <c:yMode val="edge"/>
          <c:x val="0.78644224399303475"/>
          <c:y val="0.75432251018271779"/>
          <c:w val="0.21081539807524063"/>
          <c:h val="0.18631634587343249"/>
        </c:manualLayout>
      </c:layout>
      <c:overlay val="0"/>
    </c:legend>
    <c:plotVisOnly val="1"/>
    <c:dispBlanksAs val="gap"/>
    <c:showDLblsOverMax val="0"/>
  </c:chart>
  <c:spPr>
    <a:noFill/>
    <a:ln>
      <a:noFill/>
    </a:ln>
  </c:spPr>
  <c:printSettings>
    <c:headerFooter/>
    <c:pageMargins b="0.75" l="0.7" r="0.7" t="0.75" header="0.3" footer="0.3"/>
    <c:pageSetup paperSize="9" orientation="landscape"/>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ＭＳ Ｐゴシック"/>
                <a:ea typeface="ＭＳ Ｐゴシック"/>
                <a:cs typeface="ＭＳ Ｐゴシック"/>
              </a:defRPr>
            </a:pPr>
            <a:r>
              <a:rPr lang="ja-JP" altLang="en-US" b="1"/>
              <a:t>自動二輪車の月別交通事故発生件数</a:t>
            </a:r>
          </a:p>
        </c:rich>
      </c:tx>
      <c:layout>
        <c:manualLayout>
          <c:xMode val="edge"/>
          <c:yMode val="edge"/>
          <c:x val="0.35584034806443443"/>
          <c:y val="0.10885193846681972"/>
        </c:manualLayout>
      </c:layout>
      <c:overlay val="0"/>
      <c:spPr>
        <a:noFill/>
        <a:ln w="25400">
          <a:noFill/>
        </a:ln>
      </c:spPr>
    </c:title>
    <c:autoTitleDeleted val="0"/>
    <c:plotArea>
      <c:layout>
        <c:manualLayout>
          <c:layoutTarget val="inner"/>
          <c:xMode val="edge"/>
          <c:yMode val="edge"/>
          <c:x val="0.16612092473141832"/>
          <c:y val="0.22665064687077602"/>
          <c:w val="0.77750525962322592"/>
          <c:h val="0.56850307880452278"/>
        </c:manualLayout>
      </c:layout>
      <c:lineChart>
        <c:grouping val="standard"/>
        <c:varyColors val="0"/>
        <c:ser>
          <c:idx val="0"/>
          <c:order val="0"/>
          <c:tx>
            <c:v>件数</c:v>
          </c:tx>
          <c:spPr>
            <a:ln w="12700">
              <a:solidFill>
                <a:srgbClr val="000080"/>
              </a:solidFill>
              <a:prstDash val="solid"/>
            </a:ln>
          </c:spPr>
          <c:marker>
            <c:symbol val="diamond"/>
            <c:size val="5"/>
            <c:spPr>
              <a:solidFill>
                <a:srgbClr val="000080"/>
              </a:solidFill>
              <a:ln>
                <a:solidFill>
                  <a:srgbClr val="000080"/>
                </a:solidFill>
                <a:prstDash val="solid"/>
              </a:ln>
            </c:spPr>
          </c:marker>
          <c:val>
            <c:numRef>
              <c:f>'37ページ自動二輪(推移）'!$C$20:$N$20</c:f>
              <c:numCache>
                <c:formatCode>0_);[Red]\(0\)</c:formatCode>
                <c:ptCount val="12"/>
                <c:pt idx="0">
                  <c:v>90</c:v>
                </c:pt>
                <c:pt idx="1">
                  <c:v>68</c:v>
                </c:pt>
                <c:pt idx="2">
                  <c:v>85</c:v>
                </c:pt>
                <c:pt idx="3">
                  <c:v>56</c:v>
                </c:pt>
                <c:pt idx="4">
                  <c:v>86</c:v>
                </c:pt>
                <c:pt idx="5">
                  <c:v>74</c:v>
                </c:pt>
                <c:pt idx="6">
                  <c:v>103</c:v>
                </c:pt>
                <c:pt idx="7">
                  <c:v>73</c:v>
                </c:pt>
                <c:pt idx="8">
                  <c:v>74</c:v>
                </c:pt>
                <c:pt idx="9">
                  <c:v>83</c:v>
                </c:pt>
                <c:pt idx="10">
                  <c:v>91</c:v>
                </c:pt>
                <c:pt idx="11">
                  <c:v>99</c:v>
                </c:pt>
              </c:numCache>
            </c:numRef>
          </c:val>
          <c:smooth val="0"/>
          <c:extLst>
            <c:ext xmlns:c16="http://schemas.microsoft.com/office/drawing/2014/chart" uri="{C3380CC4-5D6E-409C-BE32-E72D297353CC}">
              <c16:uniqueId val="{00000000-6EEF-49BE-AC06-FCB5187B334D}"/>
            </c:ext>
          </c:extLst>
        </c:ser>
        <c:dLbls>
          <c:showLegendKey val="0"/>
          <c:showVal val="0"/>
          <c:showCatName val="0"/>
          <c:showSerName val="0"/>
          <c:showPercent val="0"/>
          <c:showBubbleSize val="0"/>
        </c:dLbls>
        <c:marker val="1"/>
        <c:smooth val="0"/>
        <c:axId val="501267680"/>
        <c:axId val="1"/>
      </c:lineChart>
      <c:catAx>
        <c:axId val="501267680"/>
        <c:scaling>
          <c:orientation val="minMax"/>
        </c:scaling>
        <c:delete val="0"/>
        <c:axPos val="b"/>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sz="1100"/>
                  <a:t>月</a:t>
                </a:r>
              </a:p>
            </c:rich>
          </c:tx>
          <c:layout>
            <c:manualLayout>
              <c:xMode val="edge"/>
              <c:yMode val="edge"/>
              <c:x val="0.53001552681608755"/>
              <c:y val="0.90029264734278791"/>
            </c:manualLayout>
          </c:layout>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title>
          <c:tx>
            <c:rich>
              <a:bodyPr rot="0" vert="horz"/>
              <a:lstStyle/>
              <a:p>
                <a:pPr algn="ctr">
                  <a:defRPr sz="1000" b="0" i="0" u="none" strike="noStrike" baseline="0">
                    <a:solidFill>
                      <a:srgbClr val="000000"/>
                    </a:solidFill>
                    <a:latin typeface="ＭＳ Ｐゴシック"/>
                    <a:ea typeface="ＭＳ Ｐゴシック"/>
                    <a:cs typeface="ＭＳ Ｐゴシック"/>
                  </a:defRPr>
                </a:pPr>
                <a:r>
                  <a:rPr lang="ja-JP" altLang="en-US" sz="1000" baseline="0"/>
                  <a:t>件数</a:t>
                </a:r>
                <a:r>
                  <a:rPr lang="ja-JP" altLang="en-US" sz="1000"/>
                  <a:t>（件）</a:t>
                </a:r>
              </a:p>
            </c:rich>
          </c:tx>
          <c:layout>
            <c:manualLayout>
              <c:xMode val="edge"/>
              <c:yMode val="edge"/>
              <c:x val="9.2189031201387037E-2"/>
              <c:y val="0.10371301679933062"/>
            </c:manualLayout>
          </c:layout>
          <c:overlay val="0"/>
          <c:spPr>
            <a:noFill/>
            <a:ln w="25400">
              <a:noFill/>
            </a:ln>
          </c:spPr>
        </c:title>
        <c:numFmt formatCode="0_);[Red]\(0\)" sourceLinked="1"/>
        <c:majorTickMark val="in"/>
        <c:minorTickMark val="none"/>
        <c:tickLblPos val="nextTo"/>
        <c:spPr>
          <a:ln w="3175">
            <a:solidFill>
              <a:srgbClr val="000000"/>
            </a:solidFill>
            <a:prstDash val="solid"/>
          </a:ln>
        </c:spPr>
        <c:txPr>
          <a:bodyPr rot="0" vert="horz"/>
          <a:lstStyle/>
          <a:p>
            <a:pPr>
              <a:defRPr sz="850" b="0" i="0" u="none" strike="noStrike" baseline="0">
                <a:solidFill>
                  <a:srgbClr val="000000"/>
                </a:solidFill>
                <a:latin typeface="ＭＳ Ｐゴシック"/>
                <a:ea typeface="ＭＳ Ｐゴシック"/>
                <a:cs typeface="ＭＳ Ｐゴシック"/>
              </a:defRPr>
            </a:pPr>
            <a:endParaRPr lang="ja-JP"/>
          </a:p>
        </c:txPr>
        <c:crossAx val="501267680"/>
        <c:crosses val="autoZero"/>
        <c:crossBetween val="between"/>
      </c:valAx>
      <c:spPr>
        <a:solidFill>
          <a:srgbClr val="FFFFFF"/>
        </a:solidFill>
        <a:ln w="12700">
          <a:solidFill>
            <a:srgbClr val="808080"/>
          </a:solidFill>
          <a:prstDash val="solid"/>
        </a:ln>
      </c:spPr>
    </c:plotArea>
    <c:plotVisOnly val="1"/>
    <c:dispBlanksAs val="gap"/>
    <c:showDLblsOverMax val="0"/>
  </c:chart>
  <c:spPr>
    <a:noFill/>
    <a:ln w="3175">
      <a:noFill/>
      <a:prstDash val="solid"/>
    </a:ln>
  </c:spPr>
  <c:txPr>
    <a:bodyPr/>
    <a:lstStyle/>
    <a:p>
      <a:pPr>
        <a:defRPr sz="8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ＭＳ Ｐゴシック"/>
                <a:ea typeface="ＭＳ Ｐゴシック"/>
                <a:cs typeface="ＭＳ Ｐゴシック"/>
              </a:defRPr>
            </a:pPr>
            <a:r>
              <a:rPr lang="ja-JP" altLang="en-US" b="1"/>
              <a:t>自動二輪車の月別交通事故死者数・負傷者数</a:t>
            </a:r>
          </a:p>
        </c:rich>
      </c:tx>
      <c:layout>
        <c:manualLayout>
          <c:xMode val="edge"/>
          <c:yMode val="edge"/>
          <c:x val="0.34409939462892875"/>
          <c:y val="7.4475585422677723E-2"/>
        </c:manualLayout>
      </c:layout>
      <c:overlay val="0"/>
      <c:spPr>
        <a:noFill/>
        <a:ln w="25400">
          <a:noFill/>
        </a:ln>
      </c:spPr>
    </c:title>
    <c:autoTitleDeleted val="0"/>
    <c:plotArea>
      <c:layout>
        <c:manualLayout>
          <c:layoutTarget val="inner"/>
          <c:xMode val="edge"/>
          <c:yMode val="edge"/>
          <c:x val="0.16335832176206666"/>
          <c:y val="0.16948666749805852"/>
          <c:w val="0.78166284116446227"/>
          <c:h val="0.64507386160726932"/>
        </c:manualLayout>
      </c:layout>
      <c:barChart>
        <c:barDir val="col"/>
        <c:grouping val="clustered"/>
        <c:varyColors val="0"/>
        <c:ser>
          <c:idx val="1"/>
          <c:order val="0"/>
          <c:tx>
            <c:v>負傷者数</c:v>
          </c:tx>
          <c:spPr>
            <a:solidFill>
              <a:srgbClr val="808080"/>
            </a:solidFill>
            <a:ln w="12700">
              <a:solidFill>
                <a:srgbClr val="000000"/>
              </a:solidFill>
              <a:prstDash val="solid"/>
            </a:ln>
          </c:spPr>
          <c:invertIfNegative val="0"/>
          <c:val>
            <c:numRef>
              <c:f>'37ページ自動二輪(推移）'!$C$22:$N$22</c:f>
              <c:numCache>
                <c:formatCode>0_);[Red]\(0\)</c:formatCode>
                <c:ptCount val="12"/>
                <c:pt idx="0">
                  <c:v>94</c:v>
                </c:pt>
                <c:pt idx="1">
                  <c:v>70</c:v>
                </c:pt>
                <c:pt idx="2">
                  <c:v>93</c:v>
                </c:pt>
                <c:pt idx="3">
                  <c:v>62</c:v>
                </c:pt>
                <c:pt idx="4">
                  <c:v>96</c:v>
                </c:pt>
                <c:pt idx="5">
                  <c:v>81</c:v>
                </c:pt>
                <c:pt idx="6">
                  <c:v>112</c:v>
                </c:pt>
                <c:pt idx="7">
                  <c:v>78</c:v>
                </c:pt>
                <c:pt idx="8">
                  <c:v>83</c:v>
                </c:pt>
                <c:pt idx="9">
                  <c:v>86</c:v>
                </c:pt>
                <c:pt idx="10">
                  <c:v>96</c:v>
                </c:pt>
                <c:pt idx="11">
                  <c:v>103</c:v>
                </c:pt>
              </c:numCache>
            </c:numRef>
          </c:val>
          <c:extLst>
            <c:ext xmlns:c16="http://schemas.microsoft.com/office/drawing/2014/chart" uri="{C3380CC4-5D6E-409C-BE32-E72D297353CC}">
              <c16:uniqueId val="{00000000-E63A-4434-96F1-3DACB3C9C909}"/>
            </c:ext>
          </c:extLst>
        </c:ser>
        <c:dLbls>
          <c:showLegendKey val="0"/>
          <c:showVal val="0"/>
          <c:showCatName val="0"/>
          <c:showSerName val="0"/>
          <c:showPercent val="0"/>
          <c:showBubbleSize val="0"/>
        </c:dLbls>
        <c:gapWidth val="150"/>
        <c:axId val="501268008"/>
        <c:axId val="1"/>
      </c:barChart>
      <c:lineChart>
        <c:grouping val="standard"/>
        <c:varyColors val="0"/>
        <c:ser>
          <c:idx val="0"/>
          <c:order val="1"/>
          <c:tx>
            <c:v>死者数</c:v>
          </c:tx>
          <c:spPr>
            <a:ln w="12700">
              <a:solidFill>
                <a:srgbClr val="000080"/>
              </a:solidFill>
              <a:prstDash val="solid"/>
            </a:ln>
          </c:spPr>
          <c:marker>
            <c:symbol val="diamond"/>
            <c:size val="5"/>
            <c:spPr>
              <a:solidFill>
                <a:srgbClr val="000080"/>
              </a:solidFill>
              <a:ln>
                <a:solidFill>
                  <a:srgbClr val="000080"/>
                </a:solidFill>
                <a:prstDash val="solid"/>
              </a:ln>
            </c:spPr>
          </c:marker>
          <c:val>
            <c:numRef>
              <c:f>'37ページ自動二輪(推移）'!$C$21:$N$21</c:f>
              <c:numCache>
                <c:formatCode>0_);[Red]\(0\)</c:formatCode>
                <c:ptCount val="12"/>
                <c:pt idx="0">
                  <c:v>0</c:v>
                </c:pt>
                <c:pt idx="1">
                  <c:v>1</c:v>
                </c:pt>
                <c:pt idx="2">
                  <c:v>1</c:v>
                </c:pt>
                <c:pt idx="3">
                  <c:v>0</c:v>
                </c:pt>
                <c:pt idx="4">
                  <c:v>1</c:v>
                </c:pt>
                <c:pt idx="5">
                  <c:v>0</c:v>
                </c:pt>
                <c:pt idx="6">
                  <c:v>0</c:v>
                </c:pt>
                <c:pt idx="7">
                  <c:v>1</c:v>
                </c:pt>
                <c:pt idx="8">
                  <c:v>0</c:v>
                </c:pt>
                <c:pt idx="9">
                  <c:v>2</c:v>
                </c:pt>
                <c:pt idx="10">
                  <c:v>4</c:v>
                </c:pt>
                <c:pt idx="11">
                  <c:v>2</c:v>
                </c:pt>
              </c:numCache>
            </c:numRef>
          </c:val>
          <c:smooth val="0"/>
          <c:extLst>
            <c:ext xmlns:c16="http://schemas.microsoft.com/office/drawing/2014/chart" uri="{C3380CC4-5D6E-409C-BE32-E72D297353CC}">
              <c16:uniqueId val="{00000001-E63A-4434-96F1-3DACB3C9C909}"/>
            </c:ext>
          </c:extLst>
        </c:ser>
        <c:dLbls>
          <c:showLegendKey val="0"/>
          <c:showVal val="0"/>
          <c:showCatName val="0"/>
          <c:showSerName val="0"/>
          <c:showPercent val="0"/>
          <c:showBubbleSize val="0"/>
        </c:dLbls>
        <c:marker val="1"/>
        <c:smooth val="0"/>
        <c:axId val="3"/>
        <c:axId val="4"/>
      </c:lineChart>
      <c:catAx>
        <c:axId val="501268008"/>
        <c:scaling>
          <c:orientation val="minMax"/>
        </c:scaling>
        <c:delete val="0"/>
        <c:axPos val="b"/>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a:t>月</a:t>
                </a:r>
              </a:p>
            </c:rich>
          </c:tx>
          <c:layout>
            <c:manualLayout>
              <c:xMode val="edge"/>
              <c:yMode val="edge"/>
              <c:x val="0.53596155979867777"/>
              <c:y val="0.90769318523221343"/>
            </c:manualLayout>
          </c:layout>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1"/>
        <c:crosses val="autoZero"/>
        <c:auto val="0"/>
        <c:lblAlgn val="ctr"/>
        <c:lblOffset val="100"/>
        <c:tickLblSkip val="1"/>
        <c:tickMarkSkip val="1"/>
        <c:noMultiLvlLbl val="0"/>
      </c:catAx>
      <c:valAx>
        <c:axId val="1"/>
        <c:scaling>
          <c:orientation val="minMax"/>
          <c:max val="150"/>
          <c:min val="0"/>
        </c:scaling>
        <c:delete val="0"/>
        <c:axPos val="l"/>
        <c:title>
          <c:tx>
            <c:rich>
              <a:bodyPr rot="0" vert="horz"/>
              <a:lstStyle/>
              <a:p>
                <a:pPr algn="ctr">
                  <a:defRPr sz="1000" b="0" i="0" u="none" strike="noStrike" baseline="0">
                    <a:solidFill>
                      <a:srgbClr val="000000"/>
                    </a:solidFill>
                    <a:latin typeface="ＭＳ Ｐゴシック"/>
                    <a:ea typeface="ＭＳ Ｐゴシック"/>
                    <a:cs typeface="ＭＳ Ｐゴシック"/>
                  </a:defRPr>
                </a:pPr>
                <a:r>
                  <a:rPr lang="ja-JP" altLang="en-US" sz="1000"/>
                  <a:t>負傷者数（人）</a:t>
                </a:r>
              </a:p>
            </c:rich>
          </c:tx>
          <c:layout>
            <c:manualLayout>
              <c:xMode val="edge"/>
              <c:yMode val="edge"/>
              <c:x val="8.3028971869038834E-2"/>
              <c:y val="7.4831643151504174E-2"/>
            </c:manualLayout>
          </c:layout>
          <c:overlay val="0"/>
          <c:spPr>
            <a:noFill/>
            <a:ln w="25400">
              <a:noFill/>
            </a:ln>
          </c:spPr>
        </c:title>
        <c:numFmt formatCode="0_);[Red]\(0\)" sourceLinked="1"/>
        <c:majorTickMark val="in"/>
        <c:minorTickMark val="none"/>
        <c:tickLblPos val="nextTo"/>
        <c:spPr>
          <a:ln w="3175">
            <a:solidFill>
              <a:srgbClr val="000000"/>
            </a:solidFill>
            <a:prstDash val="solid"/>
          </a:ln>
        </c:spPr>
        <c:txPr>
          <a:bodyPr rot="0" vert="horz"/>
          <a:lstStyle/>
          <a:p>
            <a:pPr>
              <a:defRPr sz="850" b="0" i="0" u="none" strike="noStrike" baseline="0">
                <a:solidFill>
                  <a:srgbClr val="000000"/>
                </a:solidFill>
                <a:latin typeface="ＭＳ Ｐゴシック"/>
                <a:ea typeface="ＭＳ Ｐゴシック"/>
                <a:cs typeface="ＭＳ Ｐゴシック"/>
              </a:defRPr>
            </a:pPr>
            <a:endParaRPr lang="ja-JP"/>
          </a:p>
        </c:txPr>
        <c:crossAx val="501268008"/>
        <c:crosses val="autoZero"/>
        <c:crossBetween val="between"/>
      </c:valAx>
      <c:catAx>
        <c:axId val="3"/>
        <c:scaling>
          <c:orientation val="minMax"/>
        </c:scaling>
        <c:delete val="1"/>
        <c:axPos val="b"/>
        <c:majorTickMark val="out"/>
        <c:minorTickMark val="none"/>
        <c:tickLblPos val="nextTo"/>
        <c:crossAx val="4"/>
        <c:crosses val="autoZero"/>
        <c:auto val="0"/>
        <c:lblAlgn val="ctr"/>
        <c:lblOffset val="100"/>
        <c:noMultiLvlLbl val="0"/>
      </c:catAx>
      <c:valAx>
        <c:axId val="4"/>
        <c:scaling>
          <c:orientation val="minMax"/>
          <c:max val="5"/>
        </c:scaling>
        <c:delete val="0"/>
        <c:axPos val="r"/>
        <c:title>
          <c:tx>
            <c:rich>
              <a:bodyPr rot="0" vert="horz"/>
              <a:lstStyle/>
              <a:p>
                <a:pPr algn="ctr">
                  <a:defRPr sz="1000" b="0" i="0" u="none" strike="noStrike" baseline="0">
                    <a:solidFill>
                      <a:srgbClr val="000000"/>
                    </a:solidFill>
                    <a:latin typeface="ＭＳ Ｐゴシック"/>
                    <a:ea typeface="ＭＳ Ｐゴシック"/>
                    <a:cs typeface="ＭＳ Ｐゴシック"/>
                  </a:defRPr>
                </a:pPr>
                <a:r>
                  <a:rPr lang="ja-JP" altLang="en-US" sz="1000" baseline="0"/>
                  <a:t>死者数（人）</a:t>
                </a:r>
              </a:p>
            </c:rich>
          </c:tx>
          <c:layout>
            <c:manualLayout>
              <c:xMode val="edge"/>
              <c:yMode val="edge"/>
              <c:x val="0.88972968599980962"/>
              <c:y val="6.2840469131743487E-2"/>
            </c:manualLayout>
          </c:layout>
          <c:overlay val="0"/>
          <c:spPr>
            <a:noFill/>
            <a:ln w="25400">
              <a:noFill/>
            </a:ln>
          </c:spPr>
        </c:title>
        <c:numFmt formatCode="0_);[Red]\(0\)" sourceLinked="1"/>
        <c:majorTickMark val="in"/>
        <c:minorTickMark val="none"/>
        <c:tickLblPos val="nextTo"/>
        <c:spPr>
          <a:ln w="3175">
            <a:solidFill>
              <a:srgbClr val="000000"/>
            </a:solidFill>
            <a:prstDash val="solid"/>
          </a:ln>
        </c:spPr>
        <c:txPr>
          <a:bodyPr rot="0" vert="horz"/>
          <a:lstStyle/>
          <a:p>
            <a:pPr>
              <a:defRPr sz="850" b="0" i="0" u="none" strike="noStrike" baseline="0">
                <a:solidFill>
                  <a:srgbClr val="000000"/>
                </a:solidFill>
                <a:latin typeface="ＭＳ Ｐゴシック"/>
                <a:ea typeface="ＭＳ Ｐゴシック"/>
                <a:cs typeface="ＭＳ Ｐゴシック"/>
              </a:defRPr>
            </a:pPr>
            <a:endParaRPr lang="ja-JP"/>
          </a:p>
        </c:txPr>
        <c:crossAx val="3"/>
        <c:crosses val="max"/>
        <c:crossBetween val="between"/>
        <c:majorUnit val="1"/>
      </c:valAx>
      <c:spPr>
        <a:solidFill>
          <a:srgbClr val="FFFFFF"/>
        </a:solidFill>
        <a:ln w="12700">
          <a:solidFill>
            <a:srgbClr val="808080"/>
          </a:solidFill>
          <a:prstDash val="solid"/>
        </a:ln>
      </c:spPr>
    </c:plotArea>
    <c:legend>
      <c:legendPos val="b"/>
      <c:layout>
        <c:manualLayout>
          <c:xMode val="edge"/>
          <c:yMode val="edge"/>
          <c:x val="0.61141680819309352"/>
          <c:y val="0.16245018734659403"/>
          <c:w val="0.2408377198706515"/>
          <c:h val="0.10900572467811598"/>
        </c:manualLayout>
      </c:layout>
      <c:overlay val="0"/>
      <c:spPr>
        <a:noFill/>
        <a:ln w="3175">
          <a:noFill/>
          <a:prstDash val="solid"/>
        </a:ln>
      </c:spPr>
      <c:txPr>
        <a:bodyPr/>
        <a:lstStyle/>
        <a:p>
          <a:pPr>
            <a:defRPr sz="101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3175">
      <a:noFill/>
      <a:prstDash val="solid"/>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Header>&amp;A</c:oddHeader>
      <c:oddFooter>Page &amp;P</c:oddFooter>
    </c:headerFooter>
    <c:pageMargins b="0.98399999999999999" l="0.78700000000000003" r="0.78700000000000003" t="0.98399999999999999" header="0.5" footer="0.5"/>
    <c:pageSetup paperSize="9" orientation="landscape" horizontalDpi="300"/>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ＭＳ Ｐゴシック"/>
                <a:ea typeface="ＭＳ Ｐゴシック"/>
                <a:cs typeface="ＭＳ Ｐゴシック"/>
              </a:defRPr>
            </a:pPr>
            <a:r>
              <a:rPr lang="ja-JP" altLang="en-US" sz="1100" b="1"/>
              <a:t>一般原動機付自転車の月別交通事故発生件数</a:t>
            </a:r>
          </a:p>
        </c:rich>
      </c:tx>
      <c:layout>
        <c:manualLayout>
          <c:xMode val="edge"/>
          <c:yMode val="edge"/>
          <c:x val="0.29923211141919576"/>
          <c:y val="0.11742987642558915"/>
        </c:manualLayout>
      </c:layout>
      <c:overlay val="0"/>
      <c:spPr>
        <a:noFill/>
        <a:ln w="25400">
          <a:noFill/>
        </a:ln>
      </c:spPr>
    </c:title>
    <c:autoTitleDeleted val="0"/>
    <c:plotArea>
      <c:layout>
        <c:manualLayout>
          <c:layoutTarget val="inner"/>
          <c:xMode val="edge"/>
          <c:yMode val="edge"/>
          <c:x val="0.13330963898347756"/>
          <c:y val="0.21311252463548822"/>
          <c:w val="0.8285746890334359"/>
          <c:h val="0.6230956183857802"/>
        </c:manualLayout>
      </c:layout>
      <c:lineChart>
        <c:grouping val="standard"/>
        <c:varyColors val="0"/>
        <c:ser>
          <c:idx val="0"/>
          <c:order val="0"/>
          <c:tx>
            <c:v>件数</c:v>
          </c:tx>
          <c:spPr>
            <a:ln w="12700">
              <a:solidFill>
                <a:srgbClr val="000080"/>
              </a:solidFill>
              <a:prstDash val="solid"/>
            </a:ln>
          </c:spPr>
          <c:marker>
            <c:symbol val="diamond"/>
            <c:size val="5"/>
            <c:spPr>
              <a:solidFill>
                <a:srgbClr val="000080"/>
              </a:solidFill>
              <a:ln>
                <a:solidFill>
                  <a:srgbClr val="000080"/>
                </a:solidFill>
                <a:prstDash val="solid"/>
              </a:ln>
            </c:spPr>
          </c:marker>
          <c:val>
            <c:numRef>
              <c:f>'４１原付(推移）'!$C$18:$N$18</c:f>
              <c:numCache>
                <c:formatCode>General</c:formatCode>
                <c:ptCount val="12"/>
                <c:pt idx="0">
                  <c:v>43</c:v>
                </c:pt>
                <c:pt idx="1">
                  <c:v>28</c:v>
                </c:pt>
                <c:pt idx="2">
                  <c:v>36</c:v>
                </c:pt>
                <c:pt idx="3">
                  <c:v>36</c:v>
                </c:pt>
                <c:pt idx="4">
                  <c:v>29</c:v>
                </c:pt>
                <c:pt idx="5">
                  <c:v>38</c:v>
                </c:pt>
                <c:pt idx="6">
                  <c:v>39</c:v>
                </c:pt>
                <c:pt idx="7">
                  <c:v>34</c:v>
                </c:pt>
                <c:pt idx="8">
                  <c:v>47</c:v>
                </c:pt>
                <c:pt idx="9">
                  <c:v>34</c:v>
                </c:pt>
                <c:pt idx="10">
                  <c:v>32</c:v>
                </c:pt>
                <c:pt idx="11">
                  <c:v>51</c:v>
                </c:pt>
              </c:numCache>
            </c:numRef>
          </c:val>
          <c:smooth val="0"/>
          <c:extLst>
            <c:ext xmlns:c16="http://schemas.microsoft.com/office/drawing/2014/chart" uri="{C3380CC4-5D6E-409C-BE32-E72D297353CC}">
              <c16:uniqueId val="{00000000-A9ED-4FDF-A0B8-F22EE78ACAE4}"/>
            </c:ext>
          </c:extLst>
        </c:ser>
        <c:dLbls>
          <c:showLegendKey val="0"/>
          <c:showVal val="0"/>
          <c:showCatName val="0"/>
          <c:showSerName val="0"/>
          <c:showPercent val="0"/>
          <c:showBubbleSize val="0"/>
        </c:dLbls>
        <c:marker val="1"/>
        <c:smooth val="0"/>
        <c:axId val="501266368"/>
        <c:axId val="1"/>
      </c:lineChart>
      <c:catAx>
        <c:axId val="501266368"/>
        <c:scaling>
          <c:orientation val="minMax"/>
        </c:scaling>
        <c:delete val="0"/>
        <c:axPos val="b"/>
        <c:title>
          <c:tx>
            <c:rich>
              <a:bodyPr/>
              <a:lstStyle/>
              <a:p>
                <a:pPr>
                  <a:defRPr sz="975" b="0" i="0" u="none" strike="noStrike" baseline="0">
                    <a:solidFill>
                      <a:srgbClr val="000000"/>
                    </a:solidFill>
                    <a:latin typeface="ＭＳ Ｐゴシック"/>
                    <a:ea typeface="ＭＳ Ｐゴシック"/>
                    <a:cs typeface="ＭＳ Ｐゴシック"/>
                  </a:defRPr>
                </a:pPr>
                <a:r>
                  <a:rPr lang="ja-JP" altLang="en-US"/>
                  <a:t>月</a:t>
                </a:r>
              </a:p>
            </c:rich>
          </c:tx>
          <c:layout>
            <c:manualLayout>
              <c:xMode val="edge"/>
              <c:yMode val="edge"/>
              <c:x val="0.52979538360891076"/>
              <c:y val="0.92012067886531979"/>
            </c:manualLayout>
          </c:layout>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ＭＳ Ｐゴシック"/>
                <a:ea typeface="ＭＳ Ｐゴシック"/>
                <a:cs typeface="ＭＳ Ｐゴシック"/>
              </a:defRPr>
            </a:pPr>
            <a:endParaRPr lang="ja-JP"/>
          </a:p>
        </c:txPr>
        <c:crossAx val="1"/>
        <c:crosses val="autoZero"/>
        <c:auto val="1"/>
        <c:lblAlgn val="ctr"/>
        <c:lblOffset val="100"/>
        <c:tickLblSkip val="1"/>
        <c:tickMarkSkip val="1"/>
        <c:noMultiLvlLbl val="0"/>
      </c:catAx>
      <c:valAx>
        <c:axId val="1"/>
        <c:scaling>
          <c:orientation val="minMax"/>
        </c:scaling>
        <c:delete val="0"/>
        <c:axPos val="l"/>
        <c:majorGridlines>
          <c:spPr>
            <a:ln w="3175">
              <a:solidFill>
                <a:srgbClr val="000000"/>
              </a:solidFill>
              <a:prstDash val="solid"/>
            </a:ln>
          </c:spPr>
        </c:majorGridlines>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sz="900"/>
                  <a:t>件数（件）</a:t>
                </a:r>
              </a:p>
            </c:rich>
          </c:tx>
          <c:layout>
            <c:manualLayout>
              <c:xMode val="edge"/>
              <c:yMode val="edge"/>
              <c:x val="7.9855708378304691E-2"/>
              <c:y val="9.9842830527013107E-2"/>
            </c:manualLayout>
          </c:layout>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ＭＳ Ｐゴシック"/>
                <a:ea typeface="ＭＳ Ｐゴシック"/>
                <a:cs typeface="ＭＳ Ｐゴシック"/>
              </a:defRPr>
            </a:pPr>
            <a:endParaRPr lang="ja-JP"/>
          </a:p>
        </c:txPr>
        <c:crossAx val="501266368"/>
        <c:crosses val="autoZero"/>
        <c:crossBetween val="between"/>
      </c:valAx>
      <c:spPr>
        <a:solidFill>
          <a:srgbClr val="FFFFFF"/>
        </a:solidFill>
        <a:ln w="12700">
          <a:solidFill>
            <a:srgbClr val="808080"/>
          </a:solidFill>
          <a:prstDash val="solid"/>
        </a:ln>
      </c:spPr>
    </c:plotArea>
    <c:plotVisOnly val="1"/>
    <c:dispBlanksAs val="gap"/>
    <c:showDLblsOverMax val="0"/>
  </c:chart>
  <c:spPr>
    <a:noFill/>
    <a:ln w="3175">
      <a:noFill/>
      <a:prstDash val="solid"/>
    </a:ln>
  </c:spPr>
  <c:txPr>
    <a:bodyPr/>
    <a:lstStyle/>
    <a:p>
      <a:pPr>
        <a:defRPr sz="9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1" i="0" u="none" strike="noStrike" baseline="0">
                <a:solidFill>
                  <a:srgbClr val="000000"/>
                </a:solidFill>
                <a:latin typeface="ＭＳ Ｐゴシック"/>
                <a:ea typeface="ＭＳ Ｐゴシック"/>
                <a:cs typeface="ＭＳ Ｐゴシック"/>
              </a:defRPr>
            </a:pPr>
            <a:r>
              <a:rPr lang="ja-JP" altLang="en-US" b="1"/>
              <a:t>一般原動機付自転車の月別交通事故死者数・負傷者数</a:t>
            </a:r>
          </a:p>
        </c:rich>
      </c:tx>
      <c:layout>
        <c:manualLayout>
          <c:xMode val="edge"/>
          <c:yMode val="edge"/>
          <c:x val="0.25152436896185848"/>
          <c:y val="6.428396702301381E-2"/>
        </c:manualLayout>
      </c:layout>
      <c:overlay val="0"/>
      <c:spPr>
        <a:noFill/>
        <a:ln w="25400">
          <a:noFill/>
        </a:ln>
      </c:spPr>
    </c:title>
    <c:autoTitleDeleted val="0"/>
    <c:plotArea>
      <c:layout>
        <c:manualLayout>
          <c:layoutTarget val="inner"/>
          <c:xMode val="edge"/>
          <c:yMode val="edge"/>
          <c:x val="0.13224350114480374"/>
          <c:y val="0.19106111736032996"/>
          <c:w val="0.82564290500921422"/>
          <c:h val="0.64877560408041779"/>
        </c:manualLayout>
      </c:layout>
      <c:barChart>
        <c:barDir val="col"/>
        <c:grouping val="clustered"/>
        <c:varyColors val="0"/>
        <c:ser>
          <c:idx val="1"/>
          <c:order val="0"/>
          <c:tx>
            <c:v>負傷者数</c:v>
          </c:tx>
          <c:spPr>
            <a:solidFill>
              <a:schemeClr val="bg1">
                <a:lumMod val="50000"/>
              </a:schemeClr>
            </a:solidFill>
            <a:ln w="12700">
              <a:solidFill>
                <a:srgbClr val="000000"/>
              </a:solidFill>
              <a:prstDash val="solid"/>
            </a:ln>
          </c:spPr>
          <c:invertIfNegative val="0"/>
          <c:val>
            <c:numRef>
              <c:f>'４１原付(推移）'!$C$20:$N$20</c:f>
              <c:numCache>
                <c:formatCode>#,##0_ ;[Red]\-#,##0\ </c:formatCode>
                <c:ptCount val="12"/>
                <c:pt idx="0">
                  <c:v>44</c:v>
                </c:pt>
                <c:pt idx="1">
                  <c:v>30</c:v>
                </c:pt>
                <c:pt idx="2">
                  <c:v>39</c:v>
                </c:pt>
                <c:pt idx="3">
                  <c:v>41</c:v>
                </c:pt>
                <c:pt idx="4">
                  <c:v>31</c:v>
                </c:pt>
                <c:pt idx="5">
                  <c:v>40</c:v>
                </c:pt>
                <c:pt idx="6">
                  <c:v>42</c:v>
                </c:pt>
                <c:pt idx="7">
                  <c:v>37</c:v>
                </c:pt>
                <c:pt idx="8">
                  <c:v>48</c:v>
                </c:pt>
                <c:pt idx="9">
                  <c:v>39</c:v>
                </c:pt>
                <c:pt idx="10">
                  <c:v>33</c:v>
                </c:pt>
                <c:pt idx="11">
                  <c:v>51</c:v>
                </c:pt>
              </c:numCache>
            </c:numRef>
          </c:val>
          <c:extLst>
            <c:ext xmlns:c16="http://schemas.microsoft.com/office/drawing/2014/chart" uri="{C3380CC4-5D6E-409C-BE32-E72D297353CC}">
              <c16:uniqueId val="{00000000-54B1-4FA7-8F5F-757D2ED95160}"/>
            </c:ext>
          </c:extLst>
        </c:ser>
        <c:dLbls>
          <c:showLegendKey val="0"/>
          <c:showVal val="0"/>
          <c:showCatName val="0"/>
          <c:showSerName val="0"/>
          <c:showPercent val="0"/>
          <c:showBubbleSize val="0"/>
        </c:dLbls>
        <c:gapWidth val="150"/>
        <c:axId val="501260464"/>
        <c:axId val="1"/>
      </c:barChart>
      <c:lineChart>
        <c:grouping val="standard"/>
        <c:varyColors val="0"/>
        <c:ser>
          <c:idx val="0"/>
          <c:order val="1"/>
          <c:tx>
            <c:v>死者数</c:v>
          </c:tx>
          <c:spPr>
            <a:ln w="12700">
              <a:solidFill>
                <a:srgbClr val="002060"/>
              </a:solidFill>
              <a:prstDash val="solid"/>
            </a:ln>
          </c:spPr>
          <c:marker>
            <c:symbol val="diamond"/>
            <c:size val="5"/>
            <c:spPr>
              <a:solidFill>
                <a:srgbClr val="000080"/>
              </a:solidFill>
              <a:ln>
                <a:solidFill>
                  <a:srgbClr val="000080"/>
                </a:solidFill>
                <a:prstDash val="solid"/>
              </a:ln>
            </c:spPr>
          </c:marker>
          <c:val>
            <c:numRef>
              <c:f>'４１原付(推移）'!$C$19:$N$19</c:f>
              <c:numCache>
                <c:formatCode>#,##0_ ;[Red]\-#,##0\ </c:formatCode>
                <c:ptCount val="12"/>
                <c:pt idx="0">
                  <c:v>0</c:v>
                </c:pt>
                <c:pt idx="1">
                  <c:v>0</c:v>
                </c:pt>
                <c:pt idx="2">
                  <c:v>0</c:v>
                </c:pt>
                <c:pt idx="3">
                  <c:v>1</c:v>
                </c:pt>
                <c:pt idx="4">
                  <c:v>0</c:v>
                </c:pt>
                <c:pt idx="5">
                  <c:v>0</c:v>
                </c:pt>
                <c:pt idx="6">
                  <c:v>0</c:v>
                </c:pt>
                <c:pt idx="7">
                  <c:v>0</c:v>
                </c:pt>
                <c:pt idx="8">
                  <c:v>1</c:v>
                </c:pt>
                <c:pt idx="9">
                  <c:v>0</c:v>
                </c:pt>
                <c:pt idx="10">
                  <c:v>1</c:v>
                </c:pt>
                <c:pt idx="11">
                  <c:v>1</c:v>
                </c:pt>
              </c:numCache>
            </c:numRef>
          </c:val>
          <c:smooth val="0"/>
          <c:extLst>
            <c:ext xmlns:c16="http://schemas.microsoft.com/office/drawing/2014/chart" uri="{C3380CC4-5D6E-409C-BE32-E72D297353CC}">
              <c16:uniqueId val="{00000001-54B1-4FA7-8F5F-757D2ED95160}"/>
            </c:ext>
          </c:extLst>
        </c:ser>
        <c:dLbls>
          <c:showLegendKey val="0"/>
          <c:showVal val="0"/>
          <c:showCatName val="0"/>
          <c:showSerName val="0"/>
          <c:showPercent val="0"/>
          <c:showBubbleSize val="0"/>
        </c:dLbls>
        <c:marker val="1"/>
        <c:smooth val="0"/>
        <c:axId val="3"/>
        <c:axId val="4"/>
      </c:lineChart>
      <c:catAx>
        <c:axId val="501260464"/>
        <c:scaling>
          <c:orientation val="minMax"/>
        </c:scaling>
        <c:delete val="0"/>
        <c:axPos val="b"/>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a:t>月</a:t>
                </a:r>
              </a:p>
            </c:rich>
          </c:tx>
          <c:layout>
            <c:manualLayout>
              <c:xMode val="edge"/>
              <c:yMode val="edge"/>
              <c:x val="0.51662775032110353"/>
              <c:y val="0.91646147324367955"/>
            </c:manualLayout>
          </c:layout>
          <c:overlay val="0"/>
          <c:spPr>
            <a:noFill/>
            <a:ln w="25400">
              <a:noFill/>
            </a:ln>
          </c:spPr>
        </c:title>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
        <c:crosses val="autoZero"/>
        <c:auto val="0"/>
        <c:lblAlgn val="ctr"/>
        <c:lblOffset val="100"/>
        <c:tickLblSkip val="1"/>
        <c:tickMarkSkip val="1"/>
        <c:noMultiLvlLbl val="0"/>
      </c:catAx>
      <c:valAx>
        <c:axId val="1"/>
        <c:scaling>
          <c:orientation val="minMax"/>
          <c:max val="70"/>
        </c:scaling>
        <c:delete val="0"/>
        <c:axPos val="l"/>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sz="900"/>
                  <a:t>負傷者数（人）</a:t>
                </a:r>
              </a:p>
            </c:rich>
          </c:tx>
          <c:layout>
            <c:manualLayout>
              <c:xMode val="edge"/>
              <c:yMode val="edge"/>
              <c:x val="5.0046245881498856E-2"/>
              <c:y val="6.7497181409024901E-2"/>
            </c:manualLayout>
          </c:layout>
          <c:overlay val="0"/>
          <c:spPr>
            <a:noFill/>
            <a:ln w="25400">
              <a:noFill/>
            </a:ln>
          </c:spPr>
        </c:title>
        <c:numFmt formatCode="#,##0_ ;[Red]\-#,##0\ "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1260464"/>
        <c:crosses val="autoZero"/>
        <c:crossBetween val="between"/>
      </c:valAx>
      <c:catAx>
        <c:axId val="3"/>
        <c:scaling>
          <c:orientation val="minMax"/>
        </c:scaling>
        <c:delete val="1"/>
        <c:axPos val="b"/>
        <c:majorTickMark val="out"/>
        <c:minorTickMark val="none"/>
        <c:tickLblPos val="nextTo"/>
        <c:crossAx val="4"/>
        <c:crosses val="autoZero"/>
        <c:auto val="0"/>
        <c:lblAlgn val="ctr"/>
        <c:lblOffset val="100"/>
        <c:noMultiLvlLbl val="0"/>
      </c:catAx>
      <c:valAx>
        <c:axId val="4"/>
        <c:scaling>
          <c:orientation val="minMax"/>
          <c:max val="2"/>
        </c:scaling>
        <c:delete val="0"/>
        <c:axPos val="r"/>
        <c:title>
          <c:tx>
            <c:rich>
              <a:bodyPr rot="0" vert="horz"/>
              <a:lstStyle/>
              <a:p>
                <a:pPr algn="ctr">
                  <a:defRPr sz="900" b="0" i="0" u="none" strike="noStrike" baseline="0">
                    <a:solidFill>
                      <a:srgbClr val="000000"/>
                    </a:solidFill>
                    <a:latin typeface="ＭＳ Ｐゴシック"/>
                    <a:ea typeface="ＭＳ Ｐゴシック"/>
                    <a:cs typeface="ＭＳ Ｐゴシック"/>
                  </a:defRPr>
                </a:pPr>
                <a:r>
                  <a:rPr lang="ja-JP" altLang="en-US" sz="900"/>
                  <a:t>死者数（人）</a:t>
                </a:r>
              </a:p>
            </c:rich>
          </c:tx>
          <c:layout>
            <c:manualLayout>
              <c:xMode val="edge"/>
              <c:yMode val="edge"/>
              <c:x val="0.88031914893617025"/>
              <c:y val="8.9163442198591167E-2"/>
            </c:manualLayout>
          </c:layout>
          <c:overlay val="0"/>
          <c:spPr>
            <a:noFill/>
            <a:ln w="25400">
              <a:noFill/>
            </a:ln>
          </c:spPr>
        </c:title>
        <c:numFmt formatCode="#,##0_ ;[Red]\-#,##0\ " sourceLinked="1"/>
        <c:majorTickMark val="in"/>
        <c:minorTickMark val="none"/>
        <c:tickLblPos val="nextTo"/>
        <c:spPr>
          <a:ln w="3175">
            <a:solidFill>
              <a:srgbClr val="000000"/>
            </a:solidFill>
            <a:prstDash val="solid"/>
          </a:ln>
        </c:spPr>
        <c:txPr>
          <a:bodyPr rot="0" vert="horz"/>
          <a:lstStyle/>
          <a:p>
            <a:pPr>
              <a:defRPr sz="1100" b="0" i="0" u="none" strike="noStrike" baseline="0">
                <a:solidFill>
                  <a:srgbClr val="000000"/>
                </a:solidFill>
                <a:latin typeface="ＭＳ Ｐゴシック"/>
                <a:ea typeface="ＭＳ Ｐゴシック"/>
                <a:cs typeface="ＭＳ Ｐゴシック"/>
              </a:defRPr>
            </a:pPr>
            <a:endParaRPr lang="ja-JP"/>
          </a:p>
        </c:txPr>
        <c:crossAx val="3"/>
        <c:crosses val="max"/>
        <c:crossBetween val="between"/>
        <c:majorUnit val="1"/>
      </c:valAx>
      <c:spPr>
        <a:solidFill>
          <a:srgbClr val="FFFFFF"/>
        </a:solidFill>
        <a:ln w="12700">
          <a:solidFill>
            <a:srgbClr val="808080"/>
          </a:solidFill>
          <a:prstDash val="solid"/>
        </a:ln>
      </c:spPr>
    </c:plotArea>
    <c:legend>
      <c:legendPos val="b"/>
      <c:layout>
        <c:manualLayout>
          <c:xMode val="edge"/>
          <c:yMode val="edge"/>
          <c:x val="0.61796190037415533"/>
          <c:y val="0.19396402883267913"/>
          <c:w val="0.28048784224552575"/>
          <c:h val="0.11219583089303919"/>
        </c:manualLayout>
      </c:layout>
      <c:overlay val="0"/>
      <c:spPr>
        <a:noFill/>
        <a:ln w="3175">
          <a:noFill/>
          <a:prstDash val="solid"/>
        </a:ln>
      </c:spPr>
      <c:txPr>
        <a:bodyPr/>
        <a:lstStyle/>
        <a:p>
          <a:pPr>
            <a:defRPr sz="90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3175">
      <a:noFill/>
      <a:prstDash val="solid"/>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Header>&amp;A</c:oddHeader>
      <c:oddFooter>Page &amp;P</c:oddFooter>
    </c:headerFooter>
    <c:pageMargins b="0.98399999999999999" l="0.78700000000000003" r="0.78700000000000003" t="0.98399999999999999" header="0.5" footer="0.5"/>
    <c:pageSetup paperSize="9" orientation="landscape" horizontalDpi="300"/>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109907186532053"/>
          <c:y val="0.18689507207425171"/>
          <c:w val="0.50153924679579565"/>
          <c:h val="0.74706851660797846"/>
        </c:manualLayout>
      </c:layout>
      <c:radarChart>
        <c:radarStyle val="marker"/>
        <c:varyColors val="0"/>
        <c:ser>
          <c:idx val="0"/>
          <c:order val="0"/>
          <c:tx>
            <c:strRef>
              <c:f>'４５ページ（飲酒運転）'!$D$27</c:f>
              <c:strCache>
                <c:ptCount val="1"/>
                <c:pt idx="0">
                  <c:v>件数</c:v>
                </c:pt>
              </c:strCache>
            </c:strRef>
          </c:tx>
          <c:spPr>
            <a:ln w="28575" cap="rnd">
              <a:solidFill>
                <a:schemeClr val="accent1"/>
              </a:solidFill>
              <a:round/>
            </a:ln>
            <a:effectLst/>
          </c:spPr>
          <c:marker>
            <c:symbol val="none"/>
          </c:marker>
          <c:cat>
            <c:numRef>
              <c:f>'４５ページ（飲酒運転）'!$C$29:$C$52</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'４５ページ（飲酒運転）'!$D$29:$D$52</c:f>
              <c:numCache>
                <c:formatCode>#,##0_ </c:formatCode>
                <c:ptCount val="24"/>
                <c:pt idx="0">
                  <c:v>7</c:v>
                </c:pt>
                <c:pt idx="1">
                  <c:v>0</c:v>
                </c:pt>
                <c:pt idx="2">
                  <c:v>3</c:v>
                </c:pt>
                <c:pt idx="3">
                  <c:v>3</c:v>
                </c:pt>
                <c:pt idx="4">
                  <c:v>5</c:v>
                </c:pt>
                <c:pt idx="5">
                  <c:v>2</c:v>
                </c:pt>
                <c:pt idx="6">
                  <c:v>7</c:v>
                </c:pt>
                <c:pt idx="7">
                  <c:v>2</c:v>
                </c:pt>
                <c:pt idx="8">
                  <c:v>4</c:v>
                </c:pt>
                <c:pt idx="9">
                  <c:v>0</c:v>
                </c:pt>
                <c:pt idx="10">
                  <c:v>0</c:v>
                </c:pt>
                <c:pt idx="11">
                  <c:v>0</c:v>
                </c:pt>
                <c:pt idx="12">
                  <c:v>1</c:v>
                </c:pt>
                <c:pt idx="13">
                  <c:v>0</c:v>
                </c:pt>
                <c:pt idx="14">
                  <c:v>1</c:v>
                </c:pt>
                <c:pt idx="15">
                  <c:v>1</c:v>
                </c:pt>
                <c:pt idx="16">
                  <c:v>0</c:v>
                </c:pt>
                <c:pt idx="17">
                  <c:v>2</c:v>
                </c:pt>
                <c:pt idx="18">
                  <c:v>1</c:v>
                </c:pt>
                <c:pt idx="19">
                  <c:v>2</c:v>
                </c:pt>
                <c:pt idx="20">
                  <c:v>1</c:v>
                </c:pt>
                <c:pt idx="21">
                  <c:v>1</c:v>
                </c:pt>
                <c:pt idx="22">
                  <c:v>2</c:v>
                </c:pt>
                <c:pt idx="23">
                  <c:v>4</c:v>
                </c:pt>
              </c:numCache>
            </c:numRef>
          </c:val>
          <c:extLst>
            <c:ext xmlns:c16="http://schemas.microsoft.com/office/drawing/2014/chart" uri="{C3380CC4-5D6E-409C-BE32-E72D297353CC}">
              <c16:uniqueId val="{00000000-BAC3-43E1-A0F1-ACF319468BB0}"/>
            </c:ext>
          </c:extLst>
        </c:ser>
        <c:ser>
          <c:idx val="1"/>
          <c:order val="1"/>
          <c:tx>
            <c:strRef>
              <c:f>'４５ページ（飲酒運転）'!$H$27:$I$27</c:f>
              <c:strCache>
                <c:ptCount val="1"/>
                <c:pt idx="0">
                  <c:v>負傷者数</c:v>
                </c:pt>
              </c:strCache>
            </c:strRef>
          </c:tx>
          <c:spPr>
            <a:ln w="28575" cap="rnd">
              <a:solidFill>
                <a:schemeClr val="accent2"/>
              </a:solidFill>
              <a:round/>
            </a:ln>
            <a:effectLst/>
          </c:spPr>
          <c:marker>
            <c:symbol val="none"/>
          </c:marker>
          <c:cat>
            <c:numRef>
              <c:f>'４５ページ（飲酒運転）'!$C$29:$C$52</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'４５ページ（飲酒運転）'!$H$29:$H$52</c:f>
              <c:numCache>
                <c:formatCode>#,##0_ </c:formatCode>
                <c:ptCount val="24"/>
                <c:pt idx="0">
                  <c:v>6</c:v>
                </c:pt>
                <c:pt idx="1">
                  <c:v>0</c:v>
                </c:pt>
                <c:pt idx="2">
                  <c:v>5</c:v>
                </c:pt>
                <c:pt idx="3">
                  <c:v>4</c:v>
                </c:pt>
                <c:pt idx="4">
                  <c:v>7</c:v>
                </c:pt>
                <c:pt idx="5">
                  <c:v>1</c:v>
                </c:pt>
                <c:pt idx="6">
                  <c:v>9</c:v>
                </c:pt>
                <c:pt idx="7">
                  <c:v>3</c:v>
                </c:pt>
                <c:pt idx="8">
                  <c:v>6</c:v>
                </c:pt>
                <c:pt idx="9">
                  <c:v>0</c:v>
                </c:pt>
                <c:pt idx="10">
                  <c:v>0</c:v>
                </c:pt>
                <c:pt idx="11">
                  <c:v>0</c:v>
                </c:pt>
                <c:pt idx="12">
                  <c:v>5</c:v>
                </c:pt>
                <c:pt idx="13">
                  <c:v>0</c:v>
                </c:pt>
                <c:pt idx="14">
                  <c:v>2</c:v>
                </c:pt>
                <c:pt idx="15">
                  <c:v>1</c:v>
                </c:pt>
                <c:pt idx="16">
                  <c:v>0</c:v>
                </c:pt>
                <c:pt idx="17">
                  <c:v>2</c:v>
                </c:pt>
                <c:pt idx="18">
                  <c:v>1</c:v>
                </c:pt>
                <c:pt idx="19">
                  <c:v>2</c:v>
                </c:pt>
                <c:pt idx="20">
                  <c:v>1</c:v>
                </c:pt>
                <c:pt idx="21">
                  <c:v>1</c:v>
                </c:pt>
                <c:pt idx="22">
                  <c:v>2</c:v>
                </c:pt>
                <c:pt idx="23">
                  <c:v>7</c:v>
                </c:pt>
              </c:numCache>
            </c:numRef>
          </c:val>
          <c:extLst>
            <c:ext xmlns:c16="http://schemas.microsoft.com/office/drawing/2014/chart" uri="{C3380CC4-5D6E-409C-BE32-E72D297353CC}">
              <c16:uniqueId val="{00000001-BAC3-43E1-A0F1-ACF319468BB0}"/>
            </c:ext>
          </c:extLst>
        </c:ser>
        <c:dLbls>
          <c:showLegendKey val="0"/>
          <c:showVal val="0"/>
          <c:showCatName val="0"/>
          <c:showSerName val="0"/>
          <c:showPercent val="0"/>
          <c:showBubbleSize val="0"/>
        </c:dLbls>
        <c:axId val="501269648"/>
        <c:axId val="1"/>
      </c:radarChart>
      <c:catAx>
        <c:axId val="501269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1"/>
        <c:crosses val="autoZero"/>
        <c:auto val="0"/>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0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01269648"/>
        <c:crosses val="autoZero"/>
        <c:crossBetween val="between"/>
      </c:valAx>
      <c:spPr>
        <a:noFill/>
        <a:ln>
          <a:noFill/>
        </a:ln>
        <a:effectLst/>
      </c:spPr>
    </c:plotArea>
    <c:legend>
      <c:legendPos val="t"/>
      <c:layout>
        <c:manualLayout>
          <c:xMode val="edge"/>
          <c:yMode val="edge"/>
          <c:x val="0.67047431776399369"/>
          <c:y val="0.17114422497144985"/>
          <c:w val="0.32705417702684675"/>
          <c:h val="6.716462814600128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noFill/>
    <a:ln w="9525" cap="flat" cmpd="sng" algn="ctr">
      <a:noFill/>
      <a:round/>
    </a:ln>
    <a:effectLst/>
  </c:spPr>
  <c:txPr>
    <a:bodyPr/>
    <a:lstStyle/>
    <a:p>
      <a:pPr>
        <a:defRPr/>
      </a:pPr>
      <a:endParaRPr lang="ja-JP"/>
    </a:p>
  </c:txPr>
  <c:printSettings>
    <c:headerFooter/>
    <c:pageMargins b="0.75" l="0.7" r="0.7" t="0.75" header="0.3" footer="0.3"/>
    <c:pageSetup paperSize="9" orientation="landscape"/>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a:t>道路種別交通事故 発生件数</a:t>
            </a:r>
          </a:p>
        </c:rich>
      </c:tx>
      <c:layout>
        <c:manualLayout>
          <c:xMode val="edge"/>
          <c:yMode val="edge"/>
          <c:x val="0.36018237082066867"/>
          <c:y val="4.6632124352331605E-2"/>
        </c:manualLayout>
      </c:layout>
      <c:overlay val="0"/>
      <c:spPr>
        <a:noFill/>
        <a:ln w="25400">
          <a:noFill/>
        </a:ln>
      </c:spPr>
    </c:title>
    <c:autoTitleDeleted val="0"/>
    <c:plotArea>
      <c:layout>
        <c:manualLayout>
          <c:layoutTarget val="inner"/>
          <c:xMode val="edge"/>
          <c:yMode val="edge"/>
          <c:x val="7.729194775403754E-2"/>
          <c:y val="0.21243514773419281"/>
          <c:w val="0.89040721677696"/>
          <c:h val="0.59067357512953367"/>
        </c:manualLayout>
      </c:layout>
      <c:barChart>
        <c:barDir val="bar"/>
        <c:grouping val="stacked"/>
        <c:varyColors val="0"/>
        <c:ser>
          <c:idx val="0"/>
          <c:order val="0"/>
          <c:tx>
            <c:v>一般国道</c:v>
          </c:tx>
          <c:spPr>
            <a:blipFill dpi="0" rotWithShape="0">
              <a:blip xmlns:r="http://schemas.openxmlformats.org/officeDocument/2006/relationships" r:embed="rId1"/>
              <a:srcRect/>
              <a:tile tx="0" ty="0" sx="100000" sy="100000" flip="none" algn="tl"/>
            </a:blipFill>
            <a:ln w="12700">
              <a:solidFill>
                <a:srgbClr val="000000"/>
              </a:solidFill>
              <a:prstDash val="solid"/>
            </a:ln>
          </c:spPr>
          <c:invertIfNegative val="0"/>
          <c:val>
            <c:numRef>
              <c:f>'７ページ（道路種別）'!$B$7:$C$7</c:f>
              <c:numCache>
                <c:formatCode>#,##0_);[Red]\(#,##0\)</c:formatCode>
                <c:ptCount val="2"/>
                <c:pt idx="0">
                  <c:v>1694</c:v>
                </c:pt>
                <c:pt idx="1">
                  <c:v>1651</c:v>
                </c:pt>
              </c:numCache>
            </c:numRef>
          </c:val>
          <c:extLst>
            <c:ext xmlns:c16="http://schemas.microsoft.com/office/drawing/2014/chart" uri="{C3380CC4-5D6E-409C-BE32-E72D297353CC}">
              <c16:uniqueId val="{00000000-B92E-4D76-9CFA-929085945DE0}"/>
            </c:ext>
          </c:extLst>
        </c:ser>
        <c:ser>
          <c:idx val="1"/>
          <c:order val="1"/>
          <c:tx>
            <c:v>主要地方道</c:v>
          </c:tx>
          <c:spPr>
            <a:blipFill dpi="0" rotWithShape="0">
              <a:blip xmlns:r="http://schemas.openxmlformats.org/officeDocument/2006/relationships" r:embed="rId2"/>
              <a:srcRect/>
              <a:tile tx="0" ty="0" sx="100000" sy="100000" flip="none" algn="tl"/>
            </a:blipFill>
            <a:ln w="12700">
              <a:solidFill>
                <a:srgbClr val="000000"/>
              </a:solidFill>
              <a:prstDash val="solid"/>
            </a:ln>
          </c:spPr>
          <c:invertIfNegative val="0"/>
          <c:val>
            <c:numRef>
              <c:f>'７ページ（道路種別）'!$B$8:$C$8</c:f>
              <c:numCache>
                <c:formatCode>#,##0_);[Red]\(#,##0\)</c:formatCode>
                <c:ptCount val="2"/>
                <c:pt idx="0">
                  <c:v>2173</c:v>
                </c:pt>
                <c:pt idx="1">
                  <c:v>2168</c:v>
                </c:pt>
              </c:numCache>
            </c:numRef>
          </c:val>
          <c:extLst>
            <c:ext xmlns:c16="http://schemas.microsoft.com/office/drawing/2014/chart" uri="{C3380CC4-5D6E-409C-BE32-E72D297353CC}">
              <c16:uniqueId val="{00000001-B92E-4D76-9CFA-929085945DE0}"/>
            </c:ext>
          </c:extLst>
        </c:ser>
        <c:ser>
          <c:idx val="2"/>
          <c:order val="2"/>
          <c:tx>
            <c:v>一般府道</c:v>
          </c:tx>
          <c:spPr>
            <a:blipFill dpi="0" rotWithShape="0">
              <a:blip xmlns:r="http://schemas.openxmlformats.org/officeDocument/2006/relationships" r:embed="rId3"/>
              <a:srcRect/>
              <a:tile tx="0" ty="0" sx="100000" sy="100000" flip="none" algn="tl"/>
            </a:blipFill>
            <a:ln w="12700">
              <a:solidFill>
                <a:srgbClr val="000000"/>
              </a:solidFill>
              <a:prstDash val="solid"/>
            </a:ln>
          </c:spPr>
          <c:invertIfNegative val="0"/>
          <c:dPt>
            <c:idx val="1"/>
            <c:invertIfNegative val="0"/>
            <c:bubble3D val="0"/>
            <c:extLst>
              <c:ext xmlns:c16="http://schemas.microsoft.com/office/drawing/2014/chart" uri="{C3380CC4-5D6E-409C-BE32-E72D297353CC}">
                <c16:uniqueId val="{00000002-B92E-4D76-9CFA-929085945DE0}"/>
              </c:ext>
            </c:extLst>
          </c:dPt>
          <c:val>
            <c:numRef>
              <c:f>'７ページ（道路種別）'!$B$9:$C$9</c:f>
              <c:numCache>
                <c:formatCode>#,##0_);[Red]\(#,##0\)</c:formatCode>
                <c:ptCount val="2"/>
                <c:pt idx="0">
                  <c:v>383</c:v>
                </c:pt>
                <c:pt idx="1">
                  <c:v>429</c:v>
                </c:pt>
              </c:numCache>
            </c:numRef>
          </c:val>
          <c:extLst>
            <c:ext xmlns:c16="http://schemas.microsoft.com/office/drawing/2014/chart" uri="{C3380CC4-5D6E-409C-BE32-E72D297353CC}">
              <c16:uniqueId val="{00000003-B92E-4D76-9CFA-929085945DE0}"/>
            </c:ext>
          </c:extLst>
        </c:ser>
        <c:ser>
          <c:idx val="3"/>
          <c:order val="3"/>
          <c:tx>
            <c:v>大阪市道</c:v>
          </c:tx>
          <c:spPr>
            <a:blipFill dpi="0" rotWithShape="0">
              <a:blip xmlns:r="http://schemas.openxmlformats.org/officeDocument/2006/relationships" r:embed="rId4"/>
              <a:srcRect/>
              <a:tile tx="0" ty="0" sx="100000" sy="100000" flip="none" algn="tl"/>
            </a:blipFill>
            <a:ln w="12700">
              <a:solidFill>
                <a:srgbClr val="000000"/>
              </a:solidFill>
              <a:prstDash val="solid"/>
            </a:ln>
          </c:spPr>
          <c:invertIfNegative val="0"/>
          <c:val>
            <c:numRef>
              <c:f>'７ページ（道路種別）'!$B$10:$C$10</c:f>
              <c:numCache>
                <c:formatCode>#,##0_);[Red]\(#,##0\)</c:formatCode>
                <c:ptCount val="2"/>
                <c:pt idx="0">
                  <c:v>449</c:v>
                </c:pt>
                <c:pt idx="1">
                  <c:v>367</c:v>
                </c:pt>
              </c:numCache>
            </c:numRef>
          </c:val>
          <c:extLst>
            <c:ext xmlns:c16="http://schemas.microsoft.com/office/drawing/2014/chart" uri="{C3380CC4-5D6E-409C-BE32-E72D297353CC}">
              <c16:uniqueId val="{00000004-B92E-4D76-9CFA-929085945DE0}"/>
            </c:ext>
          </c:extLst>
        </c:ser>
        <c:ser>
          <c:idx val="4"/>
          <c:order val="4"/>
          <c:tx>
            <c:v>その他</c:v>
          </c:tx>
          <c:spPr>
            <a:blipFill dpi="0" rotWithShape="0">
              <a:blip xmlns:r="http://schemas.openxmlformats.org/officeDocument/2006/relationships" r:embed="rId5"/>
              <a:srcRect/>
              <a:tile tx="0" ty="0" sx="100000" sy="100000" flip="none" algn="tl"/>
            </a:blipFill>
            <a:ln w="12700">
              <a:solidFill>
                <a:srgbClr val="000000"/>
              </a:solidFill>
              <a:prstDash val="solid"/>
            </a:ln>
          </c:spPr>
          <c:invertIfNegative val="0"/>
          <c:val>
            <c:numRef>
              <c:f>'７ページ（道路種別）'!$B$11:$C$11</c:f>
              <c:numCache>
                <c:formatCode>#,##0_);[Red]\(#,##0\)</c:formatCode>
                <c:ptCount val="2"/>
                <c:pt idx="0">
                  <c:v>3150</c:v>
                </c:pt>
                <c:pt idx="1">
                  <c:v>3073</c:v>
                </c:pt>
              </c:numCache>
            </c:numRef>
          </c:val>
          <c:extLst>
            <c:ext xmlns:c16="http://schemas.microsoft.com/office/drawing/2014/chart" uri="{C3380CC4-5D6E-409C-BE32-E72D297353CC}">
              <c16:uniqueId val="{00000005-B92E-4D76-9CFA-929085945DE0}"/>
            </c:ext>
          </c:extLst>
        </c:ser>
        <c:dLbls>
          <c:showLegendKey val="0"/>
          <c:showVal val="0"/>
          <c:showCatName val="0"/>
          <c:showSerName val="0"/>
          <c:showPercent val="0"/>
          <c:showBubbleSize val="0"/>
        </c:dLbls>
        <c:gapWidth val="150"/>
        <c:overlap val="100"/>
        <c:axId val="222498816"/>
        <c:axId val="222500352"/>
      </c:barChart>
      <c:catAx>
        <c:axId val="222498816"/>
        <c:scaling>
          <c:orientation val="minMax"/>
        </c:scaling>
        <c:delete val="1"/>
        <c:axPos val="l"/>
        <c:majorTickMark val="out"/>
        <c:minorTickMark val="none"/>
        <c:tickLblPos val="nextTo"/>
        <c:crossAx val="222500352"/>
        <c:crosses val="autoZero"/>
        <c:auto val="0"/>
        <c:lblAlgn val="ctr"/>
        <c:lblOffset val="100"/>
        <c:noMultiLvlLbl val="0"/>
      </c:catAx>
      <c:valAx>
        <c:axId val="222500352"/>
        <c:scaling>
          <c:orientation val="minMax"/>
        </c:scaling>
        <c:delete val="0"/>
        <c:axPos val="b"/>
        <c:majorGridlines>
          <c:spPr>
            <a:ln w="3175">
              <a:solidFill>
                <a:srgbClr val="000000"/>
              </a:solidFill>
              <a:prstDash val="solid"/>
            </a:ln>
          </c:spPr>
        </c:majorGridlines>
        <c:numFmt formatCode="#,##0_);[Red]\(#,##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2498816"/>
        <c:crosses val="autoZero"/>
        <c:crossBetween val="between"/>
      </c:valAx>
      <c:spPr>
        <a:solidFill>
          <a:srgbClr val="FFFFFF"/>
        </a:solidFill>
        <a:ln w="12700">
          <a:solidFill>
            <a:srgbClr val="808080"/>
          </a:solidFill>
          <a:prstDash val="solid"/>
        </a:ln>
      </c:spPr>
    </c:plotArea>
    <c:plotVisOnly val="0"/>
    <c:dispBlanksAs val="gap"/>
    <c:showDLblsOverMax val="0"/>
  </c:chart>
  <c:spPr>
    <a:noFill/>
    <a:ln w="3175">
      <a:noFill/>
      <a:prstDash val="solid"/>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firstPageNumber="0" orientation="portrait"/>
  </c:printSettings>
  <c:userShapes r:id="rId6"/>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a:t>道路種別交通事故 死者数</a:t>
            </a:r>
          </a:p>
        </c:rich>
      </c:tx>
      <c:layout>
        <c:manualLayout>
          <c:xMode val="edge"/>
          <c:yMode val="edge"/>
          <c:x val="0.37329286798179057"/>
          <c:y val="4.2253521126760563E-2"/>
        </c:manualLayout>
      </c:layout>
      <c:overlay val="0"/>
      <c:spPr>
        <a:noFill/>
        <a:ln w="25400">
          <a:noFill/>
        </a:ln>
      </c:spPr>
    </c:title>
    <c:autoTitleDeleted val="0"/>
    <c:plotArea>
      <c:layout>
        <c:manualLayout>
          <c:layoutTarget val="inner"/>
          <c:xMode val="edge"/>
          <c:yMode val="edge"/>
          <c:x val="0.11151350576459612"/>
          <c:y val="0.20187800216433002"/>
          <c:w val="0.83900651251879188"/>
          <c:h val="0.61971830985915488"/>
        </c:manualLayout>
      </c:layout>
      <c:barChart>
        <c:barDir val="bar"/>
        <c:grouping val="stacked"/>
        <c:varyColors val="0"/>
        <c:ser>
          <c:idx val="0"/>
          <c:order val="0"/>
          <c:tx>
            <c:v>一般国道</c:v>
          </c:tx>
          <c:spPr>
            <a:blipFill dpi="0" rotWithShape="0">
              <a:blip xmlns:r="http://schemas.openxmlformats.org/officeDocument/2006/relationships" r:embed="rId1"/>
              <a:srcRect/>
              <a:tile tx="0" ty="0" sx="100000" sy="100000" flip="none" algn="tl"/>
            </a:blipFill>
            <a:ln w="12700">
              <a:solidFill>
                <a:srgbClr val="000000"/>
              </a:solidFill>
              <a:prstDash val="solid"/>
            </a:ln>
          </c:spPr>
          <c:invertIfNegative val="0"/>
          <c:val>
            <c:numRef>
              <c:f>'７ページ（道路種別）'!$D$7:$E$7</c:f>
              <c:numCache>
                <c:formatCode>#,##0_);[Red]\(#,##0\)</c:formatCode>
                <c:ptCount val="2"/>
                <c:pt idx="0">
                  <c:v>10</c:v>
                </c:pt>
                <c:pt idx="1">
                  <c:v>13</c:v>
                </c:pt>
              </c:numCache>
            </c:numRef>
          </c:val>
          <c:extLst>
            <c:ext xmlns:c16="http://schemas.microsoft.com/office/drawing/2014/chart" uri="{C3380CC4-5D6E-409C-BE32-E72D297353CC}">
              <c16:uniqueId val="{00000000-EF9D-472F-B5DE-E667892E7505}"/>
            </c:ext>
          </c:extLst>
        </c:ser>
        <c:ser>
          <c:idx val="1"/>
          <c:order val="1"/>
          <c:tx>
            <c:v>主要地方道</c:v>
          </c:tx>
          <c:spPr>
            <a:blipFill dpi="0" rotWithShape="0">
              <a:blip xmlns:r="http://schemas.openxmlformats.org/officeDocument/2006/relationships" r:embed="rId2"/>
              <a:srcRect/>
              <a:tile tx="0" ty="0" sx="100000" sy="100000" flip="none" algn="tl"/>
            </a:blipFill>
            <a:ln w="12700">
              <a:solidFill>
                <a:srgbClr val="000000"/>
              </a:solidFill>
              <a:prstDash val="solid"/>
            </a:ln>
          </c:spPr>
          <c:invertIfNegative val="0"/>
          <c:val>
            <c:numRef>
              <c:f>'７ページ（道路種別）'!$D$8:$E$8</c:f>
              <c:numCache>
                <c:formatCode>#,##0_);[Red]\(#,##0\)</c:formatCode>
                <c:ptCount val="2"/>
                <c:pt idx="0">
                  <c:v>11</c:v>
                </c:pt>
                <c:pt idx="1">
                  <c:v>15</c:v>
                </c:pt>
              </c:numCache>
            </c:numRef>
          </c:val>
          <c:extLst>
            <c:ext xmlns:c16="http://schemas.microsoft.com/office/drawing/2014/chart" uri="{C3380CC4-5D6E-409C-BE32-E72D297353CC}">
              <c16:uniqueId val="{00000001-EF9D-472F-B5DE-E667892E7505}"/>
            </c:ext>
          </c:extLst>
        </c:ser>
        <c:ser>
          <c:idx val="2"/>
          <c:order val="2"/>
          <c:tx>
            <c:v>一般府道</c:v>
          </c:tx>
          <c:spPr>
            <a:blipFill dpi="0" rotWithShape="0">
              <a:blip xmlns:r="http://schemas.openxmlformats.org/officeDocument/2006/relationships" r:embed="rId3"/>
              <a:srcRect/>
              <a:tile tx="0" ty="0" sx="100000" sy="100000" flip="none" algn="tl"/>
            </a:blipFill>
            <a:ln w="12700">
              <a:solidFill>
                <a:srgbClr val="000000"/>
              </a:solidFill>
              <a:prstDash val="solid"/>
            </a:ln>
          </c:spPr>
          <c:invertIfNegative val="0"/>
          <c:val>
            <c:numRef>
              <c:f>'７ページ（道路種別）'!$D$9:$E$9</c:f>
              <c:numCache>
                <c:formatCode>#,##0_);[Red]\(#,##0\)</c:formatCode>
                <c:ptCount val="2"/>
                <c:pt idx="0">
                  <c:v>1</c:v>
                </c:pt>
                <c:pt idx="1">
                  <c:v>1</c:v>
                </c:pt>
              </c:numCache>
            </c:numRef>
          </c:val>
          <c:extLst>
            <c:ext xmlns:c16="http://schemas.microsoft.com/office/drawing/2014/chart" uri="{C3380CC4-5D6E-409C-BE32-E72D297353CC}">
              <c16:uniqueId val="{00000002-EF9D-472F-B5DE-E667892E7505}"/>
            </c:ext>
          </c:extLst>
        </c:ser>
        <c:ser>
          <c:idx val="3"/>
          <c:order val="3"/>
          <c:tx>
            <c:v>大阪市道</c:v>
          </c:tx>
          <c:spPr>
            <a:blipFill dpi="0" rotWithShape="0">
              <a:blip xmlns:r="http://schemas.openxmlformats.org/officeDocument/2006/relationships" r:embed="rId4"/>
              <a:srcRect/>
              <a:tile tx="0" ty="0" sx="100000" sy="100000" flip="none" algn="tl"/>
            </a:blipFill>
            <a:ln w="12700">
              <a:solidFill>
                <a:srgbClr val="000000"/>
              </a:solidFill>
              <a:prstDash val="solid"/>
            </a:ln>
          </c:spPr>
          <c:invertIfNegative val="0"/>
          <c:val>
            <c:numRef>
              <c:f>'７ページ（道路種別）'!$D$10:$E$10</c:f>
              <c:numCache>
                <c:formatCode>#,##0_);[Red]\(#,##0\)</c:formatCode>
                <c:ptCount val="2"/>
                <c:pt idx="0">
                  <c:v>1</c:v>
                </c:pt>
                <c:pt idx="1">
                  <c:v>2</c:v>
                </c:pt>
              </c:numCache>
            </c:numRef>
          </c:val>
          <c:extLst>
            <c:ext xmlns:c16="http://schemas.microsoft.com/office/drawing/2014/chart" uri="{C3380CC4-5D6E-409C-BE32-E72D297353CC}">
              <c16:uniqueId val="{00000003-EF9D-472F-B5DE-E667892E7505}"/>
            </c:ext>
          </c:extLst>
        </c:ser>
        <c:ser>
          <c:idx val="4"/>
          <c:order val="4"/>
          <c:tx>
            <c:v>その他</c:v>
          </c:tx>
          <c:spPr>
            <a:blipFill dpi="0" rotWithShape="0">
              <a:blip xmlns:r="http://schemas.openxmlformats.org/officeDocument/2006/relationships" r:embed="rId5"/>
              <a:srcRect/>
              <a:tile tx="0" ty="0" sx="100000" sy="100000" flip="none" algn="tl"/>
            </a:blipFill>
            <a:ln w="12700">
              <a:solidFill>
                <a:srgbClr val="000000"/>
              </a:solidFill>
              <a:prstDash val="solid"/>
            </a:ln>
          </c:spPr>
          <c:invertIfNegative val="0"/>
          <c:val>
            <c:numRef>
              <c:f>'７ページ（道路種別）'!$D$11:$E$11</c:f>
              <c:numCache>
                <c:formatCode>#,##0_);[Red]\(#,##0\)</c:formatCode>
                <c:ptCount val="2"/>
                <c:pt idx="0">
                  <c:v>20</c:v>
                </c:pt>
                <c:pt idx="1">
                  <c:v>12</c:v>
                </c:pt>
              </c:numCache>
            </c:numRef>
          </c:val>
          <c:extLst>
            <c:ext xmlns:c16="http://schemas.microsoft.com/office/drawing/2014/chart" uri="{C3380CC4-5D6E-409C-BE32-E72D297353CC}">
              <c16:uniqueId val="{00000004-EF9D-472F-B5DE-E667892E7505}"/>
            </c:ext>
          </c:extLst>
        </c:ser>
        <c:dLbls>
          <c:showLegendKey val="0"/>
          <c:showVal val="0"/>
          <c:showCatName val="0"/>
          <c:showSerName val="0"/>
          <c:showPercent val="0"/>
          <c:showBubbleSize val="0"/>
        </c:dLbls>
        <c:gapWidth val="150"/>
        <c:overlap val="100"/>
        <c:axId val="222513792"/>
        <c:axId val="222515584"/>
      </c:barChart>
      <c:catAx>
        <c:axId val="222513792"/>
        <c:scaling>
          <c:orientation val="minMax"/>
        </c:scaling>
        <c:delete val="1"/>
        <c:axPos val="l"/>
        <c:majorTickMark val="out"/>
        <c:minorTickMark val="none"/>
        <c:tickLblPos val="nextTo"/>
        <c:crossAx val="222515584"/>
        <c:crosses val="autoZero"/>
        <c:auto val="0"/>
        <c:lblAlgn val="ctr"/>
        <c:lblOffset val="100"/>
        <c:noMultiLvlLbl val="0"/>
      </c:catAx>
      <c:valAx>
        <c:axId val="222515584"/>
        <c:scaling>
          <c:orientation val="minMax"/>
        </c:scaling>
        <c:delete val="0"/>
        <c:axPos val="b"/>
        <c:majorGridlines>
          <c:spPr>
            <a:ln w="3175">
              <a:solidFill>
                <a:srgbClr val="000000"/>
              </a:solidFill>
              <a:prstDash val="solid"/>
            </a:ln>
          </c:spPr>
        </c:majorGridlines>
        <c:numFmt formatCode="#,##0_);[Red]\(#,##0\)" sourceLinked="1"/>
        <c:majorTickMark val="in"/>
        <c:minorTickMark val="none"/>
        <c:tickLblPos val="nextTo"/>
        <c:spPr>
          <a:ln w="3175">
            <a:solidFill>
              <a:srgbClr val="000000"/>
            </a:solidFill>
            <a:prstDash val="solid"/>
          </a:ln>
        </c:spPr>
        <c:txPr>
          <a:bodyPr rot="0" vert="horz"/>
          <a:lstStyle/>
          <a:p>
            <a:pPr>
              <a:defRPr sz="850" b="0" i="0" u="none" strike="noStrike" baseline="0">
                <a:solidFill>
                  <a:srgbClr val="000000"/>
                </a:solidFill>
                <a:latin typeface="ＭＳ Ｐゴシック"/>
                <a:ea typeface="ＭＳ Ｐゴシック"/>
                <a:cs typeface="ＭＳ Ｐゴシック"/>
              </a:defRPr>
            </a:pPr>
            <a:endParaRPr lang="ja-JP"/>
          </a:p>
        </c:txPr>
        <c:crossAx val="222513792"/>
        <c:crosses val="autoZero"/>
        <c:crossBetween val="between"/>
      </c:valAx>
      <c:spPr>
        <a:solidFill>
          <a:srgbClr val="FFFFFF"/>
        </a:solidFill>
        <a:ln w="12700">
          <a:solidFill>
            <a:srgbClr val="808080"/>
          </a:solidFill>
          <a:prstDash val="solid"/>
        </a:ln>
      </c:spPr>
    </c:plotArea>
    <c:plotVisOnly val="0"/>
    <c:dispBlanksAs val="gap"/>
    <c:showDLblsOverMax val="0"/>
  </c:chart>
  <c:spPr>
    <a:noFill/>
    <a:ln w="3175">
      <a:noFill/>
      <a:prstDash val="solid"/>
    </a:ln>
  </c:spPr>
  <c:txPr>
    <a:bodyPr/>
    <a:lstStyle/>
    <a:p>
      <a:pPr>
        <a:defRPr sz="8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firstPageNumber="0" orientation="landscape"/>
  </c:printSettings>
  <c:userShapes r:id="rId6"/>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a:t>道路種別交通事故 負傷者数</a:t>
            </a:r>
          </a:p>
        </c:rich>
      </c:tx>
      <c:layout>
        <c:manualLayout>
          <c:xMode val="edge"/>
          <c:yMode val="edge"/>
          <c:x val="0.36102730298956531"/>
          <c:y val="4.4554381921771975E-2"/>
        </c:manualLayout>
      </c:layout>
      <c:overlay val="0"/>
      <c:spPr>
        <a:noFill/>
        <a:ln w="25400">
          <a:noFill/>
        </a:ln>
      </c:spPr>
    </c:title>
    <c:autoTitleDeleted val="0"/>
    <c:plotArea>
      <c:layout>
        <c:manualLayout>
          <c:layoutTarget val="inner"/>
          <c:xMode val="edge"/>
          <c:yMode val="edge"/>
          <c:x val="0.10825414578859459"/>
          <c:y val="0.21782169778920898"/>
          <c:w val="0.83242454068241467"/>
          <c:h val="0.59405940594059403"/>
        </c:manualLayout>
      </c:layout>
      <c:barChart>
        <c:barDir val="bar"/>
        <c:grouping val="stacked"/>
        <c:varyColors val="0"/>
        <c:ser>
          <c:idx val="0"/>
          <c:order val="0"/>
          <c:tx>
            <c:v>一般国道</c:v>
          </c:tx>
          <c:spPr>
            <a:blipFill dpi="0" rotWithShape="0">
              <a:blip xmlns:r="http://schemas.openxmlformats.org/officeDocument/2006/relationships" r:embed="rId1"/>
              <a:srcRect/>
              <a:tile tx="0" ty="0" sx="100000" sy="100000" flip="none" algn="tl"/>
            </a:blipFill>
            <a:ln w="12700">
              <a:solidFill>
                <a:srgbClr val="000000"/>
              </a:solidFill>
              <a:prstDash val="solid"/>
            </a:ln>
          </c:spPr>
          <c:invertIfNegative val="0"/>
          <c:val>
            <c:numRef>
              <c:f>'７ページ（道路種別）'!$F$7:$G$7</c:f>
              <c:numCache>
                <c:formatCode>#,##0_);[Red]\(#,##0\)</c:formatCode>
                <c:ptCount val="2"/>
                <c:pt idx="0">
                  <c:v>2017</c:v>
                </c:pt>
                <c:pt idx="1">
                  <c:v>1944</c:v>
                </c:pt>
              </c:numCache>
            </c:numRef>
          </c:val>
          <c:extLst>
            <c:ext xmlns:c16="http://schemas.microsoft.com/office/drawing/2014/chart" uri="{C3380CC4-5D6E-409C-BE32-E72D297353CC}">
              <c16:uniqueId val="{00000000-0914-4B2A-9B12-8A8C77F7F456}"/>
            </c:ext>
          </c:extLst>
        </c:ser>
        <c:ser>
          <c:idx val="1"/>
          <c:order val="1"/>
          <c:tx>
            <c:v>主要地方道</c:v>
          </c:tx>
          <c:spPr>
            <a:blipFill dpi="0" rotWithShape="0">
              <a:blip xmlns:r="http://schemas.openxmlformats.org/officeDocument/2006/relationships" r:embed="rId2"/>
              <a:srcRect/>
              <a:tile tx="0" ty="0" sx="100000" sy="100000" flip="none" algn="tl"/>
            </a:blipFill>
            <a:ln w="12700">
              <a:solidFill>
                <a:srgbClr val="000000"/>
              </a:solidFill>
              <a:prstDash val="solid"/>
            </a:ln>
          </c:spPr>
          <c:invertIfNegative val="0"/>
          <c:val>
            <c:numRef>
              <c:f>'７ページ（道路種別）'!$F$8:$G$8</c:f>
              <c:numCache>
                <c:formatCode>#,##0_);[Red]\(#,##0\)</c:formatCode>
                <c:ptCount val="2"/>
                <c:pt idx="0">
                  <c:v>2538</c:v>
                </c:pt>
                <c:pt idx="1">
                  <c:v>2529</c:v>
                </c:pt>
              </c:numCache>
            </c:numRef>
          </c:val>
          <c:extLst>
            <c:ext xmlns:c16="http://schemas.microsoft.com/office/drawing/2014/chart" uri="{C3380CC4-5D6E-409C-BE32-E72D297353CC}">
              <c16:uniqueId val="{00000001-0914-4B2A-9B12-8A8C77F7F456}"/>
            </c:ext>
          </c:extLst>
        </c:ser>
        <c:ser>
          <c:idx val="2"/>
          <c:order val="2"/>
          <c:tx>
            <c:v>一般府道</c:v>
          </c:tx>
          <c:spPr>
            <a:blipFill dpi="0" rotWithShape="0">
              <a:blip xmlns:r="http://schemas.openxmlformats.org/officeDocument/2006/relationships" r:embed="rId3"/>
              <a:srcRect/>
              <a:tile tx="0" ty="0" sx="100000" sy="100000" flip="none" algn="tl"/>
            </a:blipFill>
            <a:ln w="12700">
              <a:solidFill>
                <a:srgbClr val="000000"/>
              </a:solidFill>
              <a:prstDash val="solid"/>
            </a:ln>
          </c:spPr>
          <c:invertIfNegative val="0"/>
          <c:val>
            <c:numRef>
              <c:f>'７ページ（道路種別）'!$F$9:$G$9</c:f>
              <c:numCache>
                <c:formatCode>#,##0_);[Red]\(#,##0\)</c:formatCode>
                <c:ptCount val="2"/>
                <c:pt idx="0">
                  <c:v>442</c:v>
                </c:pt>
                <c:pt idx="1">
                  <c:v>495</c:v>
                </c:pt>
              </c:numCache>
            </c:numRef>
          </c:val>
          <c:extLst>
            <c:ext xmlns:c16="http://schemas.microsoft.com/office/drawing/2014/chart" uri="{C3380CC4-5D6E-409C-BE32-E72D297353CC}">
              <c16:uniqueId val="{00000002-0914-4B2A-9B12-8A8C77F7F456}"/>
            </c:ext>
          </c:extLst>
        </c:ser>
        <c:ser>
          <c:idx val="3"/>
          <c:order val="3"/>
          <c:tx>
            <c:v>大阪市道</c:v>
          </c:tx>
          <c:spPr>
            <a:blipFill dpi="0" rotWithShape="0">
              <a:blip xmlns:r="http://schemas.openxmlformats.org/officeDocument/2006/relationships" r:embed="rId4"/>
              <a:srcRect/>
              <a:tile tx="0" ty="0" sx="100000" sy="100000" flip="none" algn="tl"/>
            </a:blipFill>
            <a:ln w="12700">
              <a:solidFill>
                <a:srgbClr val="000000"/>
              </a:solidFill>
              <a:prstDash val="solid"/>
            </a:ln>
          </c:spPr>
          <c:invertIfNegative val="0"/>
          <c:val>
            <c:numRef>
              <c:f>'７ページ（道路種別）'!$F$10:$G$10</c:f>
              <c:numCache>
                <c:formatCode>#,##0_);[Red]\(#,##0\)</c:formatCode>
                <c:ptCount val="2"/>
                <c:pt idx="0">
                  <c:v>518</c:v>
                </c:pt>
                <c:pt idx="1">
                  <c:v>433</c:v>
                </c:pt>
              </c:numCache>
            </c:numRef>
          </c:val>
          <c:extLst>
            <c:ext xmlns:c16="http://schemas.microsoft.com/office/drawing/2014/chart" uri="{C3380CC4-5D6E-409C-BE32-E72D297353CC}">
              <c16:uniqueId val="{00000003-0914-4B2A-9B12-8A8C77F7F456}"/>
            </c:ext>
          </c:extLst>
        </c:ser>
        <c:ser>
          <c:idx val="4"/>
          <c:order val="4"/>
          <c:tx>
            <c:v>その他</c:v>
          </c:tx>
          <c:spPr>
            <a:blipFill dpi="0" rotWithShape="0">
              <a:blip xmlns:r="http://schemas.openxmlformats.org/officeDocument/2006/relationships" r:embed="rId5"/>
              <a:srcRect/>
              <a:tile tx="0" ty="0" sx="100000" sy="100000" flip="none" algn="tl"/>
            </a:blipFill>
            <a:ln w="12700">
              <a:solidFill>
                <a:srgbClr val="000000"/>
              </a:solidFill>
              <a:prstDash val="solid"/>
            </a:ln>
          </c:spPr>
          <c:invertIfNegative val="0"/>
          <c:val>
            <c:numRef>
              <c:f>'７ページ（道路種別）'!$F$11:$G$11</c:f>
              <c:numCache>
                <c:formatCode>#,##0_);[Red]\(#,##0\)</c:formatCode>
                <c:ptCount val="2"/>
                <c:pt idx="0">
                  <c:v>3401</c:v>
                </c:pt>
                <c:pt idx="1">
                  <c:v>3321</c:v>
                </c:pt>
              </c:numCache>
            </c:numRef>
          </c:val>
          <c:extLst>
            <c:ext xmlns:c16="http://schemas.microsoft.com/office/drawing/2014/chart" uri="{C3380CC4-5D6E-409C-BE32-E72D297353CC}">
              <c16:uniqueId val="{00000004-0914-4B2A-9B12-8A8C77F7F456}"/>
            </c:ext>
          </c:extLst>
        </c:ser>
        <c:dLbls>
          <c:showLegendKey val="0"/>
          <c:showVal val="0"/>
          <c:showCatName val="0"/>
          <c:showSerName val="0"/>
          <c:showPercent val="0"/>
          <c:showBubbleSize val="0"/>
        </c:dLbls>
        <c:gapWidth val="150"/>
        <c:overlap val="100"/>
        <c:axId val="222529408"/>
        <c:axId val="222530944"/>
      </c:barChart>
      <c:catAx>
        <c:axId val="222529408"/>
        <c:scaling>
          <c:orientation val="minMax"/>
        </c:scaling>
        <c:delete val="1"/>
        <c:axPos val="l"/>
        <c:majorTickMark val="out"/>
        <c:minorTickMark val="none"/>
        <c:tickLblPos val="nextTo"/>
        <c:crossAx val="222530944"/>
        <c:crosses val="autoZero"/>
        <c:auto val="0"/>
        <c:lblAlgn val="ctr"/>
        <c:lblOffset val="100"/>
        <c:noMultiLvlLbl val="0"/>
      </c:catAx>
      <c:valAx>
        <c:axId val="222530944"/>
        <c:scaling>
          <c:orientation val="minMax"/>
          <c:max val="10000"/>
        </c:scaling>
        <c:delete val="0"/>
        <c:axPos val="b"/>
        <c:majorGridlines>
          <c:spPr>
            <a:ln w="3175">
              <a:solidFill>
                <a:srgbClr val="000000"/>
              </a:solidFill>
              <a:prstDash val="solid"/>
            </a:ln>
          </c:spPr>
        </c:majorGridlines>
        <c:numFmt formatCode="#,##0_);[Red]\(#,##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2529408"/>
        <c:crosses val="autoZero"/>
        <c:crossBetween val="between"/>
      </c:valAx>
      <c:spPr>
        <a:solidFill>
          <a:srgbClr val="FFFFFF"/>
        </a:solidFill>
        <a:ln w="12700">
          <a:solidFill>
            <a:srgbClr val="808080"/>
          </a:solidFill>
          <a:prstDash val="solid"/>
        </a:ln>
      </c:spPr>
    </c:plotArea>
    <c:plotVisOnly val="0"/>
    <c:dispBlanksAs val="gap"/>
    <c:showDLblsOverMax val="0"/>
  </c:chart>
  <c:spPr>
    <a:noFill/>
    <a:ln w="3175">
      <a:noFill/>
      <a:prstDash val="solid"/>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paperSize="9" firstPageNumber="0" orientation="landscape"/>
  </c:printSettings>
  <c:userShapes r:id="rId6"/>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a:t>昼夜別交通事故件数</a:t>
            </a:r>
          </a:p>
        </c:rich>
      </c:tx>
      <c:layout>
        <c:manualLayout>
          <c:xMode val="edge"/>
          <c:yMode val="edge"/>
          <c:x val="0.39874031007751937"/>
          <c:y val="5.3333333333333337E-2"/>
        </c:manualLayout>
      </c:layout>
      <c:overlay val="0"/>
      <c:spPr>
        <a:noFill/>
        <a:ln w="25400">
          <a:noFill/>
        </a:ln>
      </c:spPr>
    </c:title>
    <c:autoTitleDeleted val="0"/>
    <c:plotArea>
      <c:layout>
        <c:manualLayout>
          <c:layoutTarget val="inner"/>
          <c:xMode val="edge"/>
          <c:yMode val="edge"/>
          <c:x val="0.12645348837209303"/>
          <c:y val="0.21714285714285714"/>
          <c:w val="0.73401162790697672"/>
          <c:h val="0.56571428571428573"/>
        </c:manualLayout>
      </c:layout>
      <c:barChart>
        <c:barDir val="bar"/>
        <c:grouping val="stacked"/>
        <c:varyColors val="0"/>
        <c:ser>
          <c:idx val="0"/>
          <c:order val="0"/>
          <c:tx>
            <c:v>昼間</c:v>
          </c:tx>
          <c:spPr>
            <a:blipFill dpi="0" rotWithShape="0">
              <a:blip xmlns:r="http://schemas.openxmlformats.org/officeDocument/2006/relationships" r:embed="rId1"/>
              <a:srcRect/>
              <a:tile tx="0" ty="0" sx="100000" sy="100000" flip="none" algn="tl"/>
            </a:blipFill>
            <a:ln w="12700">
              <a:solidFill>
                <a:srgbClr val="000000"/>
              </a:solidFill>
              <a:prstDash val="solid"/>
            </a:ln>
          </c:spPr>
          <c:invertIfNegative val="0"/>
          <c:val>
            <c:numRef>
              <c:f>('11ページ（時間別）'!$F$6,'11ページ（時間別）'!$F$7)</c:f>
              <c:numCache>
                <c:formatCode>#,##0_);[Red]\(#,##0\)</c:formatCode>
                <c:ptCount val="2"/>
                <c:pt idx="0">
                  <c:v>5505</c:v>
                </c:pt>
                <c:pt idx="1">
                  <c:v>5380</c:v>
                </c:pt>
              </c:numCache>
            </c:numRef>
          </c:val>
          <c:extLst>
            <c:ext xmlns:c16="http://schemas.microsoft.com/office/drawing/2014/chart" uri="{C3380CC4-5D6E-409C-BE32-E72D297353CC}">
              <c16:uniqueId val="{00000000-56E5-4498-B7FA-F9C7AA0AD313}"/>
            </c:ext>
          </c:extLst>
        </c:ser>
        <c:ser>
          <c:idx val="1"/>
          <c:order val="1"/>
          <c:tx>
            <c:v>夜間</c:v>
          </c:tx>
          <c:spPr>
            <a:solidFill>
              <a:srgbClr val="7F7F7F"/>
            </a:solidFill>
            <a:ln w="12700">
              <a:solidFill>
                <a:srgbClr val="000000"/>
              </a:solidFill>
              <a:prstDash val="solid"/>
            </a:ln>
          </c:spPr>
          <c:invertIfNegative val="0"/>
          <c:val>
            <c:numRef>
              <c:f>('11ページ（時間別）'!$I$6,'11ページ（時間別）'!$I$7)</c:f>
              <c:numCache>
                <c:formatCode>#,##0_);[Red]\(#,##0\)</c:formatCode>
                <c:ptCount val="2"/>
                <c:pt idx="0">
                  <c:v>2344</c:v>
                </c:pt>
                <c:pt idx="1">
                  <c:v>2308</c:v>
                </c:pt>
              </c:numCache>
            </c:numRef>
          </c:val>
          <c:extLst>
            <c:ext xmlns:c16="http://schemas.microsoft.com/office/drawing/2014/chart" uri="{C3380CC4-5D6E-409C-BE32-E72D297353CC}">
              <c16:uniqueId val="{00000001-56E5-4498-B7FA-F9C7AA0AD313}"/>
            </c:ext>
          </c:extLst>
        </c:ser>
        <c:dLbls>
          <c:showLegendKey val="0"/>
          <c:showVal val="0"/>
          <c:showCatName val="0"/>
          <c:showSerName val="0"/>
          <c:showPercent val="0"/>
          <c:showBubbleSize val="0"/>
        </c:dLbls>
        <c:gapWidth val="150"/>
        <c:overlap val="100"/>
        <c:axId val="223297920"/>
        <c:axId val="223299456"/>
      </c:barChart>
      <c:catAx>
        <c:axId val="223297920"/>
        <c:scaling>
          <c:orientation val="minMax"/>
        </c:scaling>
        <c:delete val="1"/>
        <c:axPos val="l"/>
        <c:majorTickMark val="out"/>
        <c:minorTickMark val="none"/>
        <c:tickLblPos val="nextTo"/>
        <c:crossAx val="223299456"/>
        <c:crosses val="autoZero"/>
        <c:auto val="0"/>
        <c:lblAlgn val="ctr"/>
        <c:lblOffset val="100"/>
        <c:noMultiLvlLbl val="0"/>
      </c:catAx>
      <c:valAx>
        <c:axId val="223299456"/>
        <c:scaling>
          <c:orientation val="minMax"/>
          <c:max val="10000"/>
          <c:min val="0"/>
        </c:scaling>
        <c:delete val="0"/>
        <c:axPos val="b"/>
        <c:majorGridlines>
          <c:spPr>
            <a:ln w="3175">
              <a:solidFill>
                <a:srgbClr val="000000"/>
              </a:solidFill>
              <a:prstDash val="solid"/>
            </a:ln>
          </c:spPr>
        </c:majorGridlines>
        <c:numFmt formatCode="#,##0_);[Red]\(#,##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3297920"/>
        <c:crosses val="autoZero"/>
        <c:crossBetween val="between"/>
      </c:valAx>
      <c:spPr>
        <a:solidFill>
          <a:srgbClr val="FFFFFF"/>
        </a:solidFill>
        <a:ln w="12700">
          <a:solidFill>
            <a:srgbClr val="808080"/>
          </a:solidFill>
          <a:prstDash val="solid"/>
        </a:ln>
      </c:spPr>
    </c:plotArea>
    <c:legend>
      <c:legendPos val="r"/>
      <c:layout>
        <c:manualLayout>
          <c:xMode val="edge"/>
          <c:yMode val="edge"/>
          <c:x val="0.87936046511627908"/>
          <c:y val="0.38857142857142857"/>
          <c:w val="0.11191860465116277"/>
          <c:h val="0.24"/>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ＭＳ Ｐゴシック"/>
              <a:ea typeface="ＭＳ Ｐゴシック"/>
              <a:cs typeface="ＭＳ Ｐゴシック"/>
            </a:defRPr>
          </a:pPr>
          <a:endParaRPr lang="ja-JP"/>
        </a:p>
      </c:txPr>
    </c:legend>
    <c:plotVisOnly val="0"/>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25196850393704" l="0.98425196850393704" r="0.39370078740157483" t="0.98425196850393704" header="0.51181102362204722" footer="0.51181102362204722"/>
    <c:pageSetup paperSize="9" firstPageNumber="0" orientation="landscape"/>
  </c:printSettings>
  <c:userShapes r:id="rId2"/>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a:t>昼夜別交通事故死者数</a:t>
            </a:r>
          </a:p>
        </c:rich>
      </c:tx>
      <c:layout>
        <c:manualLayout>
          <c:xMode val="edge"/>
          <c:yMode val="edge"/>
          <c:x val="0.38896952104499272"/>
          <c:y val="4.9079754601226995E-2"/>
        </c:manualLayout>
      </c:layout>
      <c:overlay val="0"/>
      <c:spPr>
        <a:noFill/>
        <a:ln w="25400">
          <a:noFill/>
        </a:ln>
      </c:spPr>
    </c:title>
    <c:autoTitleDeleted val="0"/>
    <c:plotArea>
      <c:layout>
        <c:manualLayout>
          <c:layoutTarget val="inner"/>
          <c:xMode val="edge"/>
          <c:yMode val="edge"/>
          <c:x val="0.12336719883889695"/>
          <c:y val="0.2392638036809816"/>
          <c:w val="0.72859216255442671"/>
          <c:h val="0.52760736196319014"/>
        </c:manualLayout>
      </c:layout>
      <c:barChart>
        <c:barDir val="bar"/>
        <c:grouping val="stacked"/>
        <c:varyColors val="0"/>
        <c:ser>
          <c:idx val="0"/>
          <c:order val="0"/>
          <c:tx>
            <c:v>昼間</c:v>
          </c:tx>
          <c:spPr>
            <a:blipFill dpi="0" rotWithShape="0">
              <a:blip xmlns:r="http://schemas.openxmlformats.org/officeDocument/2006/relationships" r:embed="rId1"/>
              <a:srcRect/>
              <a:tile tx="0" ty="0" sx="100000" sy="100000" flip="none" algn="tl"/>
            </a:blipFill>
            <a:ln w="12700">
              <a:solidFill>
                <a:srgbClr val="000000"/>
              </a:solidFill>
              <a:prstDash val="solid"/>
            </a:ln>
          </c:spPr>
          <c:invertIfNegative val="0"/>
          <c:val>
            <c:numRef>
              <c:f>'11ページ（時間別）'!$F$8:$F$9</c:f>
              <c:numCache>
                <c:formatCode>#,##0_);[Red]\(#,##0\)</c:formatCode>
                <c:ptCount val="2"/>
                <c:pt idx="0">
                  <c:v>22</c:v>
                </c:pt>
                <c:pt idx="1">
                  <c:v>21</c:v>
                </c:pt>
              </c:numCache>
            </c:numRef>
          </c:val>
          <c:extLst>
            <c:ext xmlns:c16="http://schemas.microsoft.com/office/drawing/2014/chart" uri="{C3380CC4-5D6E-409C-BE32-E72D297353CC}">
              <c16:uniqueId val="{00000000-4687-4210-83C0-556707F1C56D}"/>
            </c:ext>
          </c:extLst>
        </c:ser>
        <c:ser>
          <c:idx val="1"/>
          <c:order val="1"/>
          <c:tx>
            <c:v>夜間</c:v>
          </c:tx>
          <c:spPr>
            <a:solidFill>
              <a:srgbClr val="7F7F7F"/>
            </a:solidFill>
            <a:ln w="12700">
              <a:solidFill>
                <a:srgbClr val="000000"/>
              </a:solidFill>
              <a:prstDash val="solid"/>
            </a:ln>
          </c:spPr>
          <c:invertIfNegative val="0"/>
          <c:val>
            <c:numRef>
              <c:f>'11ページ（時間別）'!$I$8:$I$9</c:f>
              <c:numCache>
                <c:formatCode>#,##0_);[Red]\(#,##0\)</c:formatCode>
                <c:ptCount val="2"/>
                <c:pt idx="0">
                  <c:v>21</c:v>
                </c:pt>
                <c:pt idx="1">
                  <c:v>22</c:v>
                </c:pt>
              </c:numCache>
            </c:numRef>
          </c:val>
          <c:extLst>
            <c:ext xmlns:c16="http://schemas.microsoft.com/office/drawing/2014/chart" uri="{C3380CC4-5D6E-409C-BE32-E72D297353CC}">
              <c16:uniqueId val="{00000001-4687-4210-83C0-556707F1C56D}"/>
            </c:ext>
          </c:extLst>
        </c:ser>
        <c:dLbls>
          <c:showLegendKey val="0"/>
          <c:showVal val="0"/>
          <c:showCatName val="0"/>
          <c:showSerName val="0"/>
          <c:showPercent val="0"/>
          <c:showBubbleSize val="0"/>
        </c:dLbls>
        <c:gapWidth val="150"/>
        <c:overlap val="100"/>
        <c:axId val="223326976"/>
        <c:axId val="223328512"/>
      </c:barChart>
      <c:catAx>
        <c:axId val="223326976"/>
        <c:scaling>
          <c:orientation val="minMax"/>
        </c:scaling>
        <c:delete val="1"/>
        <c:axPos val="l"/>
        <c:majorTickMark val="out"/>
        <c:minorTickMark val="none"/>
        <c:tickLblPos val="nextTo"/>
        <c:crossAx val="223328512"/>
        <c:crosses val="autoZero"/>
        <c:auto val="0"/>
        <c:lblAlgn val="ctr"/>
        <c:lblOffset val="100"/>
        <c:noMultiLvlLbl val="0"/>
      </c:catAx>
      <c:valAx>
        <c:axId val="223328512"/>
        <c:scaling>
          <c:orientation val="minMax"/>
        </c:scaling>
        <c:delete val="0"/>
        <c:axPos val="b"/>
        <c:majorGridlines>
          <c:spPr>
            <a:ln w="3175">
              <a:solidFill>
                <a:srgbClr val="000000"/>
              </a:solidFill>
              <a:prstDash val="solid"/>
            </a:ln>
          </c:spPr>
        </c:majorGridlines>
        <c:numFmt formatCode="#,##0_);[Red]\(#,##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3326976"/>
        <c:crosses val="autoZero"/>
        <c:crossBetween val="between"/>
      </c:valAx>
      <c:spPr>
        <a:solidFill>
          <a:srgbClr val="FFFFFF"/>
        </a:solidFill>
        <a:ln w="12700">
          <a:solidFill>
            <a:srgbClr val="808080"/>
          </a:solidFill>
          <a:prstDash val="solid"/>
        </a:ln>
      </c:spPr>
    </c:plotArea>
    <c:legend>
      <c:legendPos val="r"/>
      <c:layout>
        <c:manualLayout>
          <c:xMode val="edge"/>
          <c:yMode val="edge"/>
          <c:x val="0.87808417997097243"/>
          <c:y val="0.34355828220858897"/>
          <c:w val="0.11175616835994195"/>
          <c:h val="0.29447852760736204"/>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ＭＳ Ｐゴシック"/>
              <a:ea typeface="ＭＳ Ｐゴシック"/>
              <a:cs typeface="ＭＳ Ｐゴシック"/>
            </a:defRPr>
          </a:pPr>
          <a:endParaRPr lang="ja-JP"/>
        </a:p>
      </c:txPr>
    </c:legend>
    <c:plotVisOnly val="0"/>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paperSize="9" firstPageNumber="0" orientation="landscape"/>
  </c:printSettings>
  <c:userShapes r:id="rId2"/>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a:t>昼夜別交通事故負傷者数</a:t>
            </a:r>
          </a:p>
        </c:rich>
      </c:tx>
      <c:layout>
        <c:manualLayout>
          <c:xMode val="edge"/>
          <c:yMode val="edge"/>
          <c:x val="0.37755102040816324"/>
          <c:y val="4.5977011494252873E-2"/>
        </c:manualLayout>
      </c:layout>
      <c:overlay val="0"/>
      <c:spPr>
        <a:noFill/>
        <a:ln w="25400">
          <a:noFill/>
        </a:ln>
      </c:spPr>
    </c:title>
    <c:autoTitleDeleted val="0"/>
    <c:plotArea>
      <c:layout>
        <c:manualLayout>
          <c:layoutTarget val="inner"/>
          <c:xMode val="edge"/>
          <c:yMode val="edge"/>
          <c:x val="0.1282798833819242"/>
          <c:y val="0.21839080459770116"/>
          <c:w val="0.72448979591836737"/>
          <c:h val="0.56321839080459768"/>
        </c:manualLayout>
      </c:layout>
      <c:barChart>
        <c:barDir val="bar"/>
        <c:grouping val="stacked"/>
        <c:varyColors val="0"/>
        <c:ser>
          <c:idx val="0"/>
          <c:order val="0"/>
          <c:tx>
            <c:v>昼間</c:v>
          </c:tx>
          <c:spPr>
            <a:blipFill dpi="0" rotWithShape="0">
              <a:blip xmlns:r="http://schemas.openxmlformats.org/officeDocument/2006/relationships" r:embed="rId1"/>
              <a:srcRect/>
              <a:tile tx="0" ty="0" sx="100000" sy="100000" flip="none" algn="tl"/>
            </a:blipFill>
            <a:ln w="12700">
              <a:solidFill>
                <a:srgbClr val="000000"/>
              </a:solidFill>
              <a:prstDash val="solid"/>
            </a:ln>
          </c:spPr>
          <c:invertIfNegative val="0"/>
          <c:val>
            <c:numRef>
              <c:f>'11ページ（時間別）'!$F$10:$F$11</c:f>
              <c:numCache>
                <c:formatCode>#,##0_);[Red]\(#,##0\)</c:formatCode>
                <c:ptCount val="2"/>
                <c:pt idx="0">
                  <c:v>6236</c:v>
                </c:pt>
                <c:pt idx="1">
                  <c:v>6081</c:v>
                </c:pt>
              </c:numCache>
            </c:numRef>
          </c:val>
          <c:extLst>
            <c:ext xmlns:c16="http://schemas.microsoft.com/office/drawing/2014/chart" uri="{C3380CC4-5D6E-409C-BE32-E72D297353CC}">
              <c16:uniqueId val="{00000000-94C2-4949-89AD-C35462F6EF3B}"/>
            </c:ext>
          </c:extLst>
        </c:ser>
        <c:ser>
          <c:idx val="1"/>
          <c:order val="1"/>
          <c:tx>
            <c:v>夜間</c:v>
          </c:tx>
          <c:spPr>
            <a:solidFill>
              <a:srgbClr val="7F7F7F"/>
            </a:solidFill>
            <a:ln w="12700">
              <a:solidFill>
                <a:srgbClr val="000000"/>
              </a:solidFill>
              <a:prstDash val="solid"/>
            </a:ln>
          </c:spPr>
          <c:invertIfNegative val="0"/>
          <c:val>
            <c:numRef>
              <c:f>'11ページ（時間別）'!$I$10:$I$11</c:f>
              <c:numCache>
                <c:formatCode>#,##0_);[Red]\(#,##0\)</c:formatCode>
                <c:ptCount val="2"/>
                <c:pt idx="0">
                  <c:v>2680</c:v>
                </c:pt>
                <c:pt idx="1">
                  <c:v>2641</c:v>
                </c:pt>
              </c:numCache>
            </c:numRef>
          </c:val>
          <c:extLst>
            <c:ext xmlns:c16="http://schemas.microsoft.com/office/drawing/2014/chart" uri="{C3380CC4-5D6E-409C-BE32-E72D297353CC}">
              <c16:uniqueId val="{00000001-94C2-4949-89AD-C35462F6EF3B}"/>
            </c:ext>
          </c:extLst>
        </c:ser>
        <c:dLbls>
          <c:showLegendKey val="0"/>
          <c:showVal val="0"/>
          <c:showCatName val="0"/>
          <c:showSerName val="0"/>
          <c:showPercent val="0"/>
          <c:showBubbleSize val="0"/>
        </c:dLbls>
        <c:gapWidth val="150"/>
        <c:overlap val="100"/>
        <c:axId val="263033600"/>
        <c:axId val="263035136"/>
      </c:barChart>
      <c:catAx>
        <c:axId val="263033600"/>
        <c:scaling>
          <c:orientation val="minMax"/>
        </c:scaling>
        <c:delete val="1"/>
        <c:axPos val="l"/>
        <c:majorTickMark val="out"/>
        <c:minorTickMark val="none"/>
        <c:tickLblPos val="nextTo"/>
        <c:crossAx val="263035136"/>
        <c:crosses val="autoZero"/>
        <c:auto val="0"/>
        <c:lblAlgn val="ctr"/>
        <c:lblOffset val="100"/>
        <c:noMultiLvlLbl val="0"/>
      </c:catAx>
      <c:valAx>
        <c:axId val="263035136"/>
        <c:scaling>
          <c:orientation val="minMax"/>
          <c:max val="10000"/>
        </c:scaling>
        <c:delete val="0"/>
        <c:axPos val="b"/>
        <c:majorGridlines>
          <c:spPr>
            <a:ln w="3175">
              <a:solidFill>
                <a:srgbClr val="000000"/>
              </a:solidFill>
              <a:prstDash val="solid"/>
            </a:ln>
          </c:spPr>
        </c:majorGridlines>
        <c:numFmt formatCode="#,##0_);[Red]\(#,##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63033600"/>
        <c:crosses val="autoZero"/>
        <c:crossBetween val="between"/>
      </c:valAx>
      <c:spPr>
        <a:solidFill>
          <a:srgbClr val="FFFFFF"/>
        </a:solidFill>
        <a:ln w="12700">
          <a:solidFill>
            <a:srgbClr val="808080"/>
          </a:solidFill>
          <a:prstDash val="solid"/>
        </a:ln>
      </c:spPr>
    </c:plotArea>
    <c:legend>
      <c:legendPos val="r"/>
      <c:layout>
        <c:manualLayout>
          <c:xMode val="edge"/>
          <c:yMode val="edge"/>
          <c:x val="0.88629737609329451"/>
          <c:y val="0.38505747126436779"/>
          <c:w val="0.10495626822157433"/>
          <c:h val="0.26436781609195398"/>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ＭＳ Ｐゴシック"/>
              <a:ea typeface="ＭＳ Ｐゴシック"/>
              <a:cs typeface="ＭＳ Ｐゴシック"/>
            </a:defRPr>
          </a:pPr>
          <a:endParaRPr lang="ja-JP"/>
        </a:p>
      </c:txPr>
    </c:legend>
    <c:plotVisOnly val="0"/>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Footer>&amp;C－１０－</c:oddFooter>
    </c:headerFooter>
    <c:pageMargins b="0.98399999999999999" l="0.78700000000000003" r="0.78700000000000003" t="0.98399999999999999" header="0.51200000000000001" footer="0.51200000000000001"/>
    <c:pageSetup paperSize="9" firstPageNumber="0" orientation="landscape" horizontalDpi="300"/>
  </c:printSettings>
  <c:userShapes r:id="rId2"/>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208333333333332"/>
          <c:y val="9.7222222222222224E-2"/>
          <c:w val="0.48125000000000001"/>
          <c:h val="0.80208333333333337"/>
        </c:manualLayout>
      </c:layout>
      <c:radarChart>
        <c:radarStyle val="marker"/>
        <c:varyColors val="0"/>
        <c:ser>
          <c:idx val="0"/>
          <c:order val="0"/>
          <c:tx>
            <c:v>件数</c:v>
          </c:tx>
          <c:spPr>
            <a:ln w="25400">
              <a:solidFill>
                <a:srgbClr val="000000"/>
              </a:solidFill>
              <a:prstDash val="solid"/>
            </a:ln>
          </c:spPr>
          <c:marker>
            <c:symbol val="none"/>
          </c:marker>
          <c:cat>
            <c:numRef>
              <c:f>'12ページ（時間道路別）'!$B$6:$B$29</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'12ページ（時間道路別）'!$C$6:$C$29</c:f>
              <c:numCache>
                <c:formatCode>#,##0_);[Red]\(#,##0\)</c:formatCode>
                <c:ptCount val="24"/>
                <c:pt idx="0">
                  <c:v>174</c:v>
                </c:pt>
                <c:pt idx="1">
                  <c:v>122</c:v>
                </c:pt>
                <c:pt idx="2">
                  <c:v>94</c:v>
                </c:pt>
                <c:pt idx="3">
                  <c:v>67</c:v>
                </c:pt>
                <c:pt idx="4">
                  <c:v>82</c:v>
                </c:pt>
                <c:pt idx="5">
                  <c:v>96</c:v>
                </c:pt>
                <c:pt idx="6">
                  <c:v>188</c:v>
                </c:pt>
                <c:pt idx="7">
                  <c:v>381</c:v>
                </c:pt>
                <c:pt idx="8">
                  <c:v>602</c:v>
                </c:pt>
                <c:pt idx="9">
                  <c:v>552</c:v>
                </c:pt>
                <c:pt idx="10">
                  <c:v>513</c:v>
                </c:pt>
                <c:pt idx="11">
                  <c:v>436</c:v>
                </c:pt>
                <c:pt idx="12">
                  <c:v>435</c:v>
                </c:pt>
                <c:pt idx="13">
                  <c:v>400</c:v>
                </c:pt>
                <c:pt idx="14">
                  <c:v>438</c:v>
                </c:pt>
                <c:pt idx="15">
                  <c:v>513</c:v>
                </c:pt>
                <c:pt idx="16">
                  <c:v>495</c:v>
                </c:pt>
                <c:pt idx="17">
                  <c:v>552</c:v>
                </c:pt>
                <c:pt idx="18">
                  <c:v>570</c:v>
                </c:pt>
                <c:pt idx="19">
                  <c:v>383</c:v>
                </c:pt>
                <c:pt idx="20">
                  <c:v>243</c:v>
                </c:pt>
                <c:pt idx="21">
                  <c:v>194</c:v>
                </c:pt>
                <c:pt idx="22">
                  <c:v>162</c:v>
                </c:pt>
                <c:pt idx="23">
                  <c:v>157</c:v>
                </c:pt>
              </c:numCache>
            </c:numRef>
          </c:val>
          <c:extLst>
            <c:ext xmlns:c16="http://schemas.microsoft.com/office/drawing/2014/chart" uri="{C3380CC4-5D6E-409C-BE32-E72D297353CC}">
              <c16:uniqueId val="{00000000-1505-4BC6-97E9-C10BDBE0E379}"/>
            </c:ext>
          </c:extLst>
        </c:ser>
        <c:ser>
          <c:idx val="1"/>
          <c:order val="1"/>
          <c:tx>
            <c:v>負傷者数</c:v>
          </c:tx>
          <c:spPr>
            <a:ln w="12700">
              <a:solidFill>
                <a:srgbClr val="FF0000"/>
              </a:solidFill>
              <a:prstDash val="solid"/>
            </a:ln>
          </c:spPr>
          <c:marker>
            <c:symbol val="none"/>
          </c:marker>
          <c:cat>
            <c:numRef>
              <c:f>'12ページ（時間道路別）'!$B$6:$B$29</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'12ページ（時間道路別）'!$I$6:$I$29</c:f>
              <c:numCache>
                <c:formatCode>#,##0_);[Red]\(#,##0\)</c:formatCode>
                <c:ptCount val="24"/>
                <c:pt idx="0">
                  <c:v>186</c:v>
                </c:pt>
                <c:pt idx="1">
                  <c:v>154</c:v>
                </c:pt>
                <c:pt idx="2">
                  <c:v>109</c:v>
                </c:pt>
                <c:pt idx="3">
                  <c:v>78</c:v>
                </c:pt>
                <c:pt idx="4">
                  <c:v>95</c:v>
                </c:pt>
                <c:pt idx="5">
                  <c:v>98</c:v>
                </c:pt>
                <c:pt idx="6">
                  <c:v>206</c:v>
                </c:pt>
                <c:pt idx="7">
                  <c:v>408</c:v>
                </c:pt>
                <c:pt idx="8">
                  <c:v>659</c:v>
                </c:pt>
                <c:pt idx="9">
                  <c:v>606</c:v>
                </c:pt>
                <c:pt idx="10">
                  <c:v>577</c:v>
                </c:pt>
                <c:pt idx="11">
                  <c:v>487</c:v>
                </c:pt>
                <c:pt idx="12">
                  <c:v>494</c:v>
                </c:pt>
                <c:pt idx="13">
                  <c:v>457</c:v>
                </c:pt>
                <c:pt idx="14">
                  <c:v>512</c:v>
                </c:pt>
                <c:pt idx="15">
                  <c:v>610</c:v>
                </c:pt>
                <c:pt idx="16">
                  <c:v>578</c:v>
                </c:pt>
                <c:pt idx="17">
                  <c:v>642</c:v>
                </c:pt>
                <c:pt idx="18">
                  <c:v>655</c:v>
                </c:pt>
                <c:pt idx="19">
                  <c:v>419</c:v>
                </c:pt>
                <c:pt idx="20">
                  <c:v>285</c:v>
                </c:pt>
                <c:pt idx="21">
                  <c:v>218</c:v>
                </c:pt>
                <c:pt idx="22">
                  <c:v>186</c:v>
                </c:pt>
                <c:pt idx="23">
                  <c:v>197</c:v>
                </c:pt>
              </c:numCache>
            </c:numRef>
          </c:val>
          <c:extLst>
            <c:ext xmlns:c16="http://schemas.microsoft.com/office/drawing/2014/chart" uri="{C3380CC4-5D6E-409C-BE32-E72D297353CC}">
              <c16:uniqueId val="{00000001-1505-4BC6-97E9-C10BDBE0E379}"/>
            </c:ext>
          </c:extLst>
        </c:ser>
        <c:dLbls>
          <c:showLegendKey val="0"/>
          <c:showVal val="0"/>
          <c:showCatName val="0"/>
          <c:showSerName val="0"/>
          <c:showPercent val="0"/>
          <c:showBubbleSize val="0"/>
        </c:dLbls>
        <c:axId val="263346432"/>
        <c:axId val="263348224"/>
      </c:radarChart>
      <c:catAx>
        <c:axId val="263346432"/>
        <c:scaling>
          <c:orientation val="minMax"/>
        </c:scaling>
        <c:delete val="0"/>
        <c:axPos val="b"/>
        <c:majorGridlines>
          <c:spPr>
            <a:ln w="3175">
              <a:solidFill>
                <a:srgbClr val="808080"/>
              </a:solidFill>
              <a:prstDash val="solid"/>
            </a:ln>
          </c:spPr>
        </c:majorGridlines>
        <c:numFmt formatCode="General" sourceLinked="1"/>
        <c:majorTickMark val="out"/>
        <c:minorTickMark val="none"/>
        <c:tickLblPos val="nextTo"/>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3348224"/>
        <c:crosses val="autoZero"/>
        <c:auto val="0"/>
        <c:lblAlgn val="ctr"/>
        <c:lblOffset val="100"/>
        <c:noMultiLvlLbl val="0"/>
      </c:catAx>
      <c:valAx>
        <c:axId val="263348224"/>
        <c:scaling>
          <c:orientation val="minMax"/>
        </c:scaling>
        <c:delete val="0"/>
        <c:axPos val="l"/>
        <c:majorGridlines>
          <c:spPr>
            <a:ln w="3175">
              <a:solidFill>
                <a:srgbClr val="808080"/>
              </a:solidFill>
              <a:prstDash val="solid"/>
            </a:ln>
          </c:spPr>
        </c:majorGridlines>
        <c:numFmt formatCode="#,##0_);[Red]\(#,##0\)" sourceLinked="1"/>
        <c:majorTickMark val="cross"/>
        <c:minorTickMark val="none"/>
        <c:tickLblPos val="nextTo"/>
        <c:spPr>
          <a:ln w="3175">
            <a:solidFill>
              <a:srgbClr val="80808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63346432"/>
        <c:crosses val="autoZero"/>
        <c:crossBetween val="between"/>
      </c:valAx>
      <c:spPr>
        <a:solidFill>
          <a:srgbClr val="FFFFFF"/>
        </a:solidFill>
        <a:ln w="25400">
          <a:noFill/>
        </a:ln>
      </c:spPr>
    </c:plotArea>
    <c:legend>
      <c:legendPos val="r"/>
      <c:layout>
        <c:manualLayout>
          <c:xMode val="edge"/>
          <c:yMode val="edge"/>
          <c:x val="0.71250002259106537"/>
          <c:y val="0.3541665796994245"/>
          <c:w val="0.21245442971360937"/>
          <c:h val="0.16188972998967244"/>
        </c:manualLayout>
      </c:layout>
      <c:overlay val="0"/>
      <c:spPr>
        <a:noFill/>
        <a:ln w="25400">
          <a:noFill/>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0"/>
    <c:dispBlanksAs val="gap"/>
    <c:showDLblsOverMax val="0"/>
  </c:chart>
  <c:spPr>
    <a:no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75" l="0.7" r="0.7" t="0.75" header="0.3" footer="0.3"/>
    <c:pageSetup paperSize="9" firstPageNumber="0"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9.xml"/></Relationships>
</file>

<file path=xl/drawings/_rels/drawing21.xml.rels><?xml version="1.0" encoding="UTF-8" standalone="yes"?>
<Relationships xmlns="http://schemas.openxmlformats.org/package/2006/relationships"><Relationship Id="rId2" Type="http://schemas.openxmlformats.org/officeDocument/2006/relationships/chart" Target="../charts/chart11.xml"/><Relationship Id="rId1" Type="http://schemas.openxmlformats.org/officeDocument/2006/relationships/chart" Target="../charts/chart10.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9.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4.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chart" Target="../charts/chart15.xml"/></Relationships>
</file>

<file path=xl/drawings/_rels/drawing36.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37.xml.rels><?xml version="1.0" encoding="UTF-8" standalone="yes"?>
<Relationships xmlns="http://schemas.openxmlformats.org/package/2006/relationships"><Relationship Id="rId2" Type="http://schemas.openxmlformats.org/officeDocument/2006/relationships/chart" Target="../charts/chart19.xml"/><Relationship Id="rId1" Type="http://schemas.openxmlformats.org/officeDocument/2006/relationships/chart" Target="../charts/chart18.xml"/></Relationships>
</file>

<file path=xl/drawings/_rels/drawing39.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43.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44.xml.rels><?xml version="1.0" encoding="UTF-8" standalone="yes"?>
<Relationships xmlns="http://schemas.openxmlformats.org/package/2006/relationships"><Relationship Id="rId2" Type="http://schemas.openxmlformats.org/officeDocument/2006/relationships/chart" Target="../charts/chart23.xml"/><Relationship Id="rId1" Type="http://schemas.openxmlformats.org/officeDocument/2006/relationships/chart" Target="../charts/chart22.xml"/></Relationships>
</file>

<file path=xl/drawings/_rels/drawing48.xml.rels><?xml version="1.0" encoding="UTF-8" standalone="yes"?>
<Relationships xmlns="http://schemas.openxmlformats.org/package/2006/relationships"><Relationship Id="rId2" Type="http://schemas.openxmlformats.org/officeDocument/2006/relationships/chart" Target="../charts/chart25.xml"/><Relationship Id="rId1" Type="http://schemas.openxmlformats.org/officeDocument/2006/relationships/chart" Target="../charts/chart24.xml"/></Relationships>
</file>

<file path=xl/drawings/_rels/drawing52.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0</xdr:col>
      <xdr:colOff>38100</xdr:colOff>
      <xdr:row>3</xdr:row>
      <xdr:rowOff>0</xdr:rowOff>
    </xdr:from>
    <xdr:to>
      <xdr:col>4</xdr:col>
      <xdr:colOff>19050</xdr:colOff>
      <xdr:row>5</xdr:row>
      <xdr:rowOff>0</xdr:rowOff>
    </xdr:to>
    <xdr:sp macro="" textlink="">
      <xdr:nvSpPr>
        <xdr:cNvPr id="2" name="Line 1">
          <a:extLst>
            <a:ext uri="{FF2B5EF4-FFF2-40B4-BE49-F238E27FC236}">
              <a16:creationId xmlns:a16="http://schemas.microsoft.com/office/drawing/2014/main" id="{55497650-6E7F-4E1D-90CB-FD3A29AEA418}"/>
            </a:ext>
          </a:extLst>
        </xdr:cNvPr>
        <xdr:cNvSpPr>
          <a:spLocks noChangeShapeType="1"/>
        </xdr:cNvSpPr>
      </xdr:nvSpPr>
      <xdr:spPr bwMode="auto">
        <a:xfrm>
          <a:off x="38100" y="781050"/>
          <a:ext cx="1285875" cy="4953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19050</xdr:colOff>
      <xdr:row>32</xdr:row>
      <xdr:rowOff>9525</xdr:rowOff>
    </xdr:from>
    <xdr:to>
      <xdr:col>5</xdr:col>
      <xdr:colOff>0</xdr:colOff>
      <xdr:row>33</xdr:row>
      <xdr:rowOff>161925</xdr:rowOff>
    </xdr:to>
    <xdr:sp macro="" textlink="">
      <xdr:nvSpPr>
        <xdr:cNvPr id="3" name="Line 2">
          <a:extLst>
            <a:ext uri="{FF2B5EF4-FFF2-40B4-BE49-F238E27FC236}">
              <a16:creationId xmlns:a16="http://schemas.microsoft.com/office/drawing/2014/main" id="{139F6CEB-6192-4323-A9C5-278C1484067B}"/>
            </a:ext>
          </a:extLst>
        </xdr:cNvPr>
        <xdr:cNvSpPr>
          <a:spLocks noChangeShapeType="1"/>
        </xdr:cNvSpPr>
      </xdr:nvSpPr>
      <xdr:spPr bwMode="auto">
        <a:xfrm>
          <a:off x="19050" y="7943850"/>
          <a:ext cx="2247900" cy="3333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0.xml><?xml version="1.0" encoding="utf-8"?>
<c:userShapes xmlns:c="http://schemas.openxmlformats.org/drawingml/2006/chart">
  <cdr:relSizeAnchor xmlns:cdr="http://schemas.openxmlformats.org/drawingml/2006/chartDrawing">
    <cdr:from>
      <cdr:x>0.00754</cdr:x>
      <cdr:y>0.31068</cdr:y>
    </cdr:from>
    <cdr:to>
      <cdr:x>0.12968</cdr:x>
      <cdr:y>0.44047</cdr:y>
    </cdr:to>
    <cdr:sp macro="" textlink="">
      <cdr:nvSpPr>
        <cdr:cNvPr id="53249" name="Text Box 1"/>
        <cdr:cNvSpPr txBox="1">
          <a:spLocks xmlns:a="http://schemas.openxmlformats.org/drawingml/2006/main" noChangeArrowheads="1"/>
        </cdr:cNvSpPr>
      </cdr:nvSpPr>
      <cdr:spPr bwMode="auto">
        <a:xfrm xmlns:a="http://schemas.openxmlformats.org/drawingml/2006/main">
          <a:off x="47544" y="597768"/>
          <a:ext cx="770160" cy="249722"/>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800" b="0" i="0" u="none" strike="noStrike" baseline="0">
              <a:solidFill>
                <a:srgbClr val="000000"/>
              </a:solidFill>
              <a:latin typeface="ＭＳ Ｐゴシック"/>
              <a:ea typeface="ＭＳ Ｐゴシック"/>
            </a:rPr>
            <a:t>令和５年</a:t>
          </a:r>
        </a:p>
      </cdr:txBody>
    </cdr:sp>
  </cdr:relSizeAnchor>
  <cdr:relSizeAnchor xmlns:cdr="http://schemas.openxmlformats.org/drawingml/2006/chartDrawing">
    <cdr:from>
      <cdr:x>0.02161</cdr:x>
      <cdr:y>0.61169</cdr:y>
    </cdr:from>
    <cdr:to>
      <cdr:x>0.11567</cdr:x>
      <cdr:y>0.71723</cdr:y>
    </cdr:to>
    <cdr:sp macro="" textlink="">
      <cdr:nvSpPr>
        <cdr:cNvPr id="53250" name="Text Box 2"/>
        <cdr:cNvSpPr txBox="1">
          <a:spLocks xmlns:a="http://schemas.openxmlformats.org/drawingml/2006/main" noChangeArrowheads="1"/>
        </cdr:cNvSpPr>
      </cdr:nvSpPr>
      <cdr:spPr bwMode="auto">
        <a:xfrm xmlns:a="http://schemas.openxmlformats.org/drawingml/2006/main">
          <a:off x="136267" y="1176930"/>
          <a:ext cx="593100" cy="20306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800" b="0" i="0" u="none" strike="noStrike" baseline="0">
              <a:solidFill>
                <a:sysClr val="windowText" lastClr="000000"/>
              </a:solidFill>
              <a:latin typeface="ＭＳ Ｐゴシック"/>
              <a:ea typeface="ＭＳ Ｐゴシック"/>
            </a:rPr>
            <a:t>令和６年</a:t>
          </a:r>
          <a:endParaRPr lang="ja-JP" altLang="en-US" sz="1100" b="0" i="0" u="none" strike="noStrike" baseline="0">
            <a:solidFill>
              <a:sysClr val="windowText" lastClr="000000"/>
            </a:solidFill>
            <a:latin typeface="ＭＳ Ｐゴシック"/>
            <a:ea typeface="ＭＳ Ｐゴシック"/>
          </a:endParaRPr>
        </a:p>
      </cdr:txBody>
    </cdr:sp>
  </cdr:relSizeAnchor>
</c:userShapes>
</file>

<file path=xl/drawings/drawing11.xml><?xml version="1.0" encoding="utf-8"?>
<xdr:wsDr xmlns:xdr="http://schemas.openxmlformats.org/drawingml/2006/spreadsheetDrawing" xmlns:a="http://schemas.openxmlformats.org/drawingml/2006/main">
  <xdr:twoCellAnchor>
    <xdr:from>
      <xdr:col>36</xdr:col>
      <xdr:colOff>148166</xdr:colOff>
      <xdr:row>23</xdr:row>
      <xdr:rowOff>42332</xdr:rowOff>
    </xdr:from>
    <xdr:to>
      <xdr:col>37</xdr:col>
      <xdr:colOff>148167</xdr:colOff>
      <xdr:row>64</xdr:row>
      <xdr:rowOff>10582</xdr:rowOff>
    </xdr:to>
    <xdr:sp macro="" textlink="">
      <xdr:nvSpPr>
        <xdr:cNvPr id="2" name="角丸四角形 1">
          <a:extLst>
            <a:ext uri="{FF2B5EF4-FFF2-40B4-BE49-F238E27FC236}">
              <a16:creationId xmlns:a16="http://schemas.microsoft.com/office/drawing/2014/main" id="{49B9B7AD-59A7-476A-86BF-F4939BD248D4}"/>
            </a:ext>
          </a:extLst>
        </xdr:cNvPr>
        <xdr:cNvSpPr>
          <a:spLocks noChangeAspect="1"/>
        </xdr:cNvSpPr>
      </xdr:nvSpPr>
      <xdr:spPr>
        <a:xfrm>
          <a:off x="6320366" y="4538132"/>
          <a:ext cx="171451" cy="7388225"/>
        </a:xfrm>
        <a:prstGeom prst="round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27</xdr:col>
      <xdr:colOff>15509</xdr:colOff>
      <xdr:row>53</xdr:row>
      <xdr:rowOff>49581</xdr:rowOff>
    </xdr:from>
    <xdr:to>
      <xdr:col>69</xdr:col>
      <xdr:colOff>38991</xdr:colOff>
      <xdr:row>54</xdr:row>
      <xdr:rowOff>46036</xdr:rowOff>
    </xdr:to>
    <xdr:sp macro="" textlink="">
      <xdr:nvSpPr>
        <xdr:cNvPr id="3" name="角丸四角形 2">
          <a:extLst>
            <a:ext uri="{FF2B5EF4-FFF2-40B4-BE49-F238E27FC236}">
              <a16:creationId xmlns:a16="http://schemas.microsoft.com/office/drawing/2014/main" id="{CCF3FF46-C0F6-4BF2-A9FE-419485077D9B}"/>
            </a:ext>
          </a:extLst>
        </xdr:cNvPr>
        <xdr:cNvSpPr>
          <a:spLocks noChangeAspect="1"/>
        </xdr:cNvSpPr>
      </xdr:nvSpPr>
      <xdr:spPr>
        <a:xfrm rot="7030523" flipH="1">
          <a:off x="8168135" y="6451155"/>
          <a:ext cx="177430" cy="7224382"/>
        </a:xfrm>
        <a:prstGeom prst="roundRect">
          <a:avLst>
            <a:gd name="adj" fmla="val 50000"/>
          </a:avLst>
        </a:prstGeom>
        <a:ln>
          <a:noFill/>
        </a:ln>
        <a:scene3d>
          <a:camera prst="orthographicFront">
            <a:rot lat="0"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xdr:col>
      <xdr:colOff>74083</xdr:colOff>
      <xdr:row>31</xdr:row>
      <xdr:rowOff>10585</xdr:rowOff>
    </xdr:from>
    <xdr:to>
      <xdr:col>58</xdr:col>
      <xdr:colOff>21167</xdr:colOff>
      <xdr:row>31</xdr:row>
      <xdr:rowOff>148167</xdr:rowOff>
    </xdr:to>
    <xdr:sp macro="" textlink="">
      <xdr:nvSpPr>
        <xdr:cNvPr id="4" name="角丸四角形 3">
          <a:extLst>
            <a:ext uri="{FF2B5EF4-FFF2-40B4-BE49-F238E27FC236}">
              <a16:creationId xmlns:a16="http://schemas.microsoft.com/office/drawing/2014/main" id="{34129DF6-36F9-42F7-B45C-9BF24654B8CA}"/>
            </a:ext>
          </a:extLst>
        </xdr:cNvPr>
        <xdr:cNvSpPr>
          <a:spLocks noChangeAspect="1"/>
        </xdr:cNvSpPr>
      </xdr:nvSpPr>
      <xdr:spPr>
        <a:xfrm>
          <a:off x="588433" y="5954185"/>
          <a:ext cx="9376834" cy="137582"/>
        </a:xfrm>
        <a:prstGeom prst="round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47</xdr:col>
      <xdr:colOff>21167</xdr:colOff>
      <xdr:row>6</xdr:row>
      <xdr:rowOff>10584</xdr:rowOff>
    </xdr:from>
    <xdr:to>
      <xdr:col>48</xdr:col>
      <xdr:colOff>10583</xdr:colOff>
      <xdr:row>64</xdr:row>
      <xdr:rowOff>63500</xdr:rowOff>
    </xdr:to>
    <xdr:sp macro="" textlink="">
      <xdr:nvSpPr>
        <xdr:cNvPr id="5" name="角丸四角形 4">
          <a:extLst>
            <a:ext uri="{FF2B5EF4-FFF2-40B4-BE49-F238E27FC236}">
              <a16:creationId xmlns:a16="http://schemas.microsoft.com/office/drawing/2014/main" id="{FCD3007F-2EA8-40E5-9797-7A1B82EB01B0}"/>
            </a:ext>
          </a:extLst>
        </xdr:cNvPr>
        <xdr:cNvSpPr>
          <a:spLocks noChangeAspect="1"/>
        </xdr:cNvSpPr>
      </xdr:nvSpPr>
      <xdr:spPr>
        <a:xfrm>
          <a:off x="8079317" y="1429809"/>
          <a:ext cx="160866" cy="10549466"/>
        </a:xfrm>
        <a:prstGeom prst="round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58</xdr:col>
      <xdr:colOff>0</xdr:colOff>
      <xdr:row>5</xdr:row>
      <xdr:rowOff>116416</xdr:rowOff>
    </xdr:from>
    <xdr:to>
      <xdr:col>58</xdr:col>
      <xdr:colOff>169333</xdr:colOff>
      <xdr:row>56</xdr:row>
      <xdr:rowOff>21167</xdr:rowOff>
    </xdr:to>
    <xdr:sp macro="" textlink="">
      <xdr:nvSpPr>
        <xdr:cNvPr id="6" name="角丸四角形 5">
          <a:extLst>
            <a:ext uri="{FF2B5EF4-FFF2-40B4-BE49-F238E27FC236}">
              <a16:creationId xmlns:a16="http://schemas.microsoft.com/office/drawing/2014/main" id="{8DBC211E-C991-4337-8AFB-D2AFD37F04ED}"/>
            </a:ext>
          </a:extLst>
        </xdr:cNvPr>
        <xdr:cNvSpPr>
          <a:spLocks noChangeAspect="1"/>
        </xdr:cNvSpPr>
      </xdr:nvSpPr>
      <xdr:spPr>
        <a:xfrm>
          <a:off x="9944100" y="1354666"/>
          <a:ext cx="169333" cy="9134476"/>
        </a:xfrm>
        <a:prstGeom prst="roundRect">
          <a:avLst/>
        </a:prstGeom>
        <a:noFill/>
        <a:ln>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29</xdr:col>
      <xdr:colOff>148166</xdr:colOff>
      <xdr:row>23</xdr:row>
      <xdr:rowOff>21167</xdr:rowOff>
    </xdr:from>
    <xdr:to>
      <xdr:col>30</xdr:col>
      <xdr:colOff>148167</xdr:colOff>
      <xdr:row>40</xdr:row>
      <xdr:rowOff>127000</xdr:rowOff>
    </xdr:to>
    <xdr:sp macro="" textlink="">
      <xdr:nvSpPr>
        <xdr:cNvPr id="7" name="角丸四角形 6">
          <a:extLst>
            <a:ext uri="{FF2B5EF4-FFF2-40B4-BE49-F238E27FC236}">
              <a16:creationId xmlns:a16="http://schemas.microsoft.com/office/drawing/2014/main" id="{86CE2205-4D1F-489F-99FC-08FC45A535B2}"/>
            </a:ext>
          </a:extLst>
        </xdr:cNvPr>
        <xdr:cNvSpPr>
          <a:spLocks noChangeAspect="1"/>
        </xdr:cNvSpPr>
      </xdr:nvSpPr>
      <xdr:spPr>
        <a:xfrm>
          <a:off x="5120216" y="4516967"/>
          <a:ext cx="171451" cy="3182408"/>
        </a:xfrm>
        <a:prstGeom prst="round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28</xdr:col>
      <xdr:colOff>137584</xdr:colOff>
      <xdr:row>40</xdr:row>
      <xdr:rowOff>74083</xdr:rowOff>
    </xdr:from>
    <xdr:to>
      <xdr:col>29</xdr:col>
      <xdr:colOff>137583</xdr:colOff>
      <xdr:row>63</xdr:row>
      <xdr:rowOff>148166</xdr:rowOff>
    </xdr:to>
    <xdr:sp macro="" textlink="">
      <xdr:nvSpPr>
        <xdr:cNvPr id="8" name="角丸四角形 7">
          <a:extLst>
            <a:ext uri="{FF2B5EF4-FFF2-40B4-BE49-F238E27FC236}">
              <a16:creationId xmlns:a16="http://schemas.microsoft.com/office/drawing/2014/main" id="{14CDC711-505F-4093-83E0-E170E888736E}"/>
            </a:ext>
          </a:extLst>
        </xdr:cNvPr>
        <xdr:cNvSpPr>
          <a:spLocks noChangeAspect="1"/>
        </xdr:cNvSpPr>
      </xdr:nvSpPr>
      <xdr:spPr>
        <a:xfrm>
          <a:off x="4938184" y="7646458"/>
          <a:ext cx="171449" cy="4236508"/>
        </a:xfrm>
        <a:prstGeom prst="round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29</xdr:col>
      <xdr:colOff>158749</xdr:colOff>
      <xdr:row>6</xdr:row>
      <xdr:rowOff>21167</xdr:rowOff>
    </xdr:from>
    <xdr:to>
      <xdr:col>30</xdr:col>
      <xdr:colOff>148167</xdr:colOff>
      <xdr:row>22</xdr:row>
      <xdr:rowOff>137583</xdr:rowOff>
    </xdr:to>
    <xdr:sp macro="" textlink="">
      <xdr:nvSpPr>
        <xdr:cNvPr id="9" name="角丸四角形 8">
          <a:extLst>
            <a:ext uri="{FF2B5EF4-FFF2-40B4-BE49-F238E27FC236}">
              <a16:creationId xmlns:a16="http://schemas.microsoft.com/office/drawing/2014/main" id="{F0B00888-2587-4A9E-B2DA-79CD541F4797}"/>
            </a:ext>
          </a:extLst>
        </xdr:cNvPr>
        <xdr:cNvSpPr>
          <a:spLocks noChangeAspect="1"/>
        </xdr:cNvSpPr>
      </xdr:nvSpPr>
      <xdr:spPr>
        <a:xfrm>
          <a:off x="5130799" y="1440392"/>
          <a:ext cx="160868" cy="3012016"/>
        </a:xfrm>
        <a:prstGeom prst="round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27</xdr:col>
      <xdr:colOff>158799</xdr:colOff>
      <xdr:row>23</xdr:row>
      <xdr:rowOff>136525</xdr:rowOff>
    </xdr:from>
    <xdr:to>
      <xdr:col>29</xdr:col>
      <xdr:colOff>142874</xdr:colOff>
      <xdr:row>30</xdr:row>
      <xdr:rowOff>99785</xdr:rowOff>
    </xdr:to>
    <xdr:sp macro="" textlink="">
      <xdr:nvSpPr>
        <xdr:cNvPr id="10" name="テキスト ボックス 9">
          <a:extLst>
            <a:ext uri="{FF2B5EF4-FFF2-40B4-BE49-F238E27FC236}">
              <a16:creationId xmlns:a16="http://schemas.microsoft.com/office/drawing/2014/main" id="{48171F39-8BF1-4CA0-9612-F8C02A9129EA}"/>
            </a:ext>
          </a:extLst>
        </xdr:cNvPr>
        <xdr:cNvSpPr txBox="1">
          <a:spLocks noChangeAspect="1"/>
        </xdr:cNvSpPr>
      </xdr:nvSpPr>
      <xdr:spPr>
        <a:xfrm>
          <a:off x="4730799" y="4613275"/>
          <a:ext cx="322742" cy="12226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vert="wordArtVertRtl" wrap="square" lIns="90000" tIns="0" bIns="0" rtlCol="0" anchor="ctr" anchorCtr="0"/>
        <a:lstStyle/>
        <a:p>
          <a:pPr algn="ctr"/>
          <a:r>
            <a:rPr kumimoji="1" lang="ja-JP" altLang="en-US" sz="1400" b="1">
              <a:latin typeface="Meiryo UI" panose="020B0604030504040204" pitchFamily="50" charset="-128"/>
              <a:ea typeface="Meiryo UI" panose="020B0604030504040204" pitchFamily="50" charset="-128"/>
            </a:rPr>
            <a:t>２５号線</a:t>
          </a:r>
        </a:p>
      </xdr:txBody>
    </xdr:sp>
    <xdr:clientData/>
  </xdr:twoCellAnchor>
  <xdr:twoCellAnchor>
    <xdr:from>
      <xdr:col>27</xdr:col>
      <xdr:colOff>106782</xdr:colOff>
      <xdr:row>7</xdr:row>
      <xdr:rowOff>148167</xdr:rowOff>
    </xdr:from>
    <xdr:to>
      <xdr:col>29</xdr:col>
      <xdr:colOff>78316</xdr:colOff>
      <xdr:row>16</xdr:row>
      <xdr:rowOff>40822</xdr:rowOff>
    </xdr:to>
    <xdr:sp macro="" textlink="">
      <xdr:nvSpPr>
        <xdr:cNvPr id="11" name="テキスト ボックス 10">
          <a:extLst>
            <a:ext uri="{FF2B5EF4-FFF2-40B4-BE49-F238E27FC236}">
              <a16:creationId xmlns:a16="http://schemas.microsoft.com/office/drawing/2014/main" id="{4472B5FA-04FC-4855-B788-E1ED3F443928}"/>
            </a:ext>
          </a:extLst>
        </xdr:cNvPr>
        <xdr:cNvSpPr txBox="1">
          <a:spLocks noChangeAspect="1"/>
        </xdr:cNvSpPr>
      </xdr:nvSpPr>
      <xdr:spPr>
        <a:xfrm>
          <a:off x="4735932" y="1748367"/>
          <a:ext cx="314434" cy="152143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vert="wordArtVertRtl" wrap="square" tIns="0" bIns="0" rtlCol="0" anchor="ctr" anchorCtr="0"/>
        <a:lstStyle/>
        <a:p>
          <a:pPr algn="ctr"/>
          <a:r>
            <a:rPr kumimoji="1" lang="ja-JP" altLang="en-US" sz="1400" b="1">
              <a:latin typeface="Meiryo UI" panose="020B0604030504040204" pitchFamily="50" charset="-128"/>
              <a:ea typeface="Meiryo UI" panose="020B0604030504040204" pitchFamily="50" charset="-128"/>
            </a:rPr>
            <a:t>４２３号線</a:t>
          </a:r>
        </a:p>
      </xdr:txBody>
    </xdr:sp>
    <xdr:clientData/>
  </xdr:twoCellAnchor>
  <xdr:twoCellAnchor>
    <xdr:from>
      <xdr:col>30</xdr:col>
      <xdr:colOff>116417</xdr:colOff>
      <xdr:row>35</xdr:row>
      <xdr:rowOff>84666</xdr:rowOff>
    </xdr:from>
    <xdr:to>
      <xdr:col>45</xdr:col>
      <xdr:colOff>95250</xdr:colOff>
      <xdr:row>36</xdr:row>
      <xdr:rowOff>74083</xdr:rowOff>
    </xdr:to>
    <xdr:sp macro="" textlink="">
      <xdr:nvSpPr>
        <xdr:cNvPr id="12" name="角丸四角形 11">
          <a:extLst>
            <a:ext uri="{FF2B5EF4-FFF2-40B4-BE49-F238E27FC236}">
              <a16:creationId xmlns:a16="http://schemas.microsoft.com/office/drawing/2014/main" id="{62FC9E1B-802A-4232-ABAA-AF49CF5B049F}"/>
            </a:ext>
          </a:extLst>
        </xdr:cNvPr>
        <xdr:cNvSpPr>
          <a:spLocks noChangeAspect="1"/>
        </xdr:cNvSpPr>
      </xdr:nvSpPr>
      <xdr:spPr>
        <a:xfrm>
          <a:off x="5196417" y="6720416"/>
          <a:ext cx="2518833" cy="169334"/>
        </a:xfrm>
        <a:prstGeom prst="round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30</xdr:col>
      <xdr:colOff>137583</xdr:colOff>
      <xdr:row>38</xdr:row>
      <xdr:rowOff>169334</xdr:rowOff>
    </xdr:from>
    <xdr:to>
      <xdr:col>43</xdr:col>
      <xdr:colOff>52917</xdr:colOff>
      <xdr:row>39</xdr:row>
      <xdr:rowOff>169334</xdr:rowOff>
    </xdr:to>
    <xdr:sp macro="" textlink="">
      <xdr:nvSpPr>
        <xdr:cNvPr id="13" name="角丸四角形 12">
          <a:extLst>
            <a:ext uri="{FF2B5EF4-FFF2-40B4-BE49-F238E27FC236}">
              <a16:creationId xmlns:a16="http://schemas.microsoft.com/office/drawing/2014/main" id="{A41D314A-FB91-4943-A5C5-422EB1B4184F}"/>
            </a:ext>
          </a:extLst>
        </xdr:cNvPr>
        <xdr:cNvSpPr>
          <a:spLocks noChangeAspect="1"/>
        </xdr:cNvSpPr>
      </xdr:nvSpPr>
      <xdr:spPr>
        <a:xfrm>
          <a:off x="5217583" y="7344834"/>
          <a:ext cx="2116667" cy="179917"/>
        </a:xfrm>
        <a:prstGeom prst="round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43</xdr:col>
      <xdr:colOff>21167</xdr:colOff>
      <xdr:row>35</xdr:row>
      <xdr:rowOff>105832</xdr:rowOff>
    </xdr:from>
    <xdr:to>
      <xdr:col>44</xdr:col>
      <xdr:colOff>21167</xdr:colOff>
      <xdr:row>40</xdr:row>
      <xdr:rowOff>0</xdr:rowOff>
    </xdr:to>
    <xdr:sp macro="" textlink="">
      <xdr:nvSpPr>
        <xdr:cNvPr id="14" name="角丸四角形 13">
          <a:extLst>
            <a:ext uri="{FF2B5EF4-FFF2-40B4-BE49-F238E27FC236}">
              <a16:creationId xmlns:a16="http://schemas.microsoft.com/office/drawing/2014/main" id="{050681E4-C30C-4917-AF7D-C3C12A63A555}"/>
            </a:ext>
          </a:extLst>
        </xdr:cNvPr>
        <xdr:cNvSpPr>
          <a:spLocks noChangeAspect="1"/>
        </xdr:cNvSpPr>
      </xdr:nvSpPr>
      <xdr:spPr>
        <a:xfrm>
          <a:off x="7393517" y="6773332"/>
          <a:ext cx="171450" cy="799043"/>
        </a:xfrm>
        <a:prstGeom prst="round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45</xdr:col>
      <xdr:colOff>31750</xdr:colOff>
      <xdr:row>31</xdr:row>
      <xdr:rowOff>116417</xdr:rowOff>
    </xdr:from>
    <xdr:to>
      <xdr:col>45</xdr:col>
      <xdr:colOff>158750</xdr:colOff>
      <xdr:row>36</xdr:row>
      <xdr:rowOff>63502</xdr:rowOff>
    </xdr:to>
    <xdr:sp macro="" textlink="">
      <xdr:nvSpPr>
        <xdr:cNvPr id="15" name="角丸四角形 14">
          <a:extLst>
            <a:ext uri="{FF2B5EF4-FFF2-40B4-BE49-F238E27FC236}">
              <a16:creationId xmlns:a16="http://schemas.microsoft.com/office/drawing/2014/main" id="{947E73B3-EE5A-4389-AFB5-1424A7934EA3}"/>
            </a:ext>
          </a:extLst>
        </xdr:cNvPr>
        <xdr:cNvSpPr>
          <a:spLocks noChangeAspect="1"/>
        </xdr:cNvSpPr>
      </xdr:nvSpPr>
      <xdr:spPr>
        <a:xfrm>
          <a:off x="7747000" y="6060017"/>
          <a:ext cx="127000" cy="851960"/>
        </a:xfrm>
        <a:prstGeom prst="round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50</xdr:col>
      <xdr:colOff>52916</xdr:colOff>
      <xdr:row>28</xdr:row>
      <xdr:rowOff>133350</xdr:rowOff>
    </xdr:from>
    <xdr:to>
      <xdr:col>56</xdr:col>
      <xdr:colOff>81642</xdr:colOff>
      <xdr:row>30</xdr:row>
      <xdr:rowOff>123825</xdr:rowOff>
    </xdr:to>
    <xdr:sp macro="" textlink="">
      <xdr:nvSpPr>
        <xdr:cNvPr id="16" name="テキスト ボックス 15">
          <a:extLst>
            <a:ext uri="{FF2B5EF4-FFF2-40B4-BE49-F238E27FC236}">
              <a16:creationId xmlns:a16="http://schemas.microsoft.com/office/drawing/2014/main" id="{D25671B0-8692-4F60-8AF7-F4A5A2B822E2}"/>
            </a:ext>
          </a:extLst>
        </xdr:cNvPr>
        <xdr:cNvSpPr txBox="1">
          <a:spLocks noChangeAspect="1"/>
        </xdr:cNvSpPr>
      </xdr:nvSpPr>
      <xdr:spPr>
        <a:xfrm>
          <a:off x="8625416" y="5534025"/>
          <a:ext cx="1057426" cy="352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kumimoji="1" lang="ja-JP" altLang="en-US" sz="1400" b="1">
              <a:latin typeface="Meiryo UI" panose="020B0604030504040204" pitchFamily="50" charset="-128"/>
              <a:ea typeface="Meiryo UI" panose="020B0604030504040204" pitchFamily="50" charset="-128"/>
            </a:rPr>
            <a:t>３０８号線</a:t>
          </a:r>
        </a:p>
      </xdr:txBody>
    </xdr:sp>
    <xdr:clientData/>
  </xdr:twoCellAnchor>
  <xdr:twoCellAnchor>
    <xdr:from>
      <xdr:col>19</xdr:col>
      <xdr:colOff>69853</xdr:colOff>
      <xdr:row>22</xdr:row>
      <xdr:rowOff>110067</xdr:rowOff>
    </xdr:from>
    <xdr:to>
      <xdr:col>44</xdr:col>
      <xdr:colOff>33870</xdr:colOff>
      <xdr:row>23</xdr:row>
      <xdr:rowOff>99484</xdr:rowOff>
    </xdr:to>
    <xdr:sp macro="" textlink="">
      <xdr:nvSpPr>
        <xdr:cNvPr id="17" name="角丸四角形 16">
          <a:extLst>
            <a:ext uri="{FF2B5EF4-FFF2-40B4-BE49-F238E27FC236}">
              <a16:creationId xmlns:a16="http://schemas.microsoft.com/office/drawing/2014/main" id="{87525A2B-F36E-4D9D-AD9F-9D4730AA245E}"/>
            </a:ext>
          </a:extLst>
        </xdr:cNvPr>
        <xdr:cNvSpPr>
          <a:spLocks noChangeAspect="1"/>
        </xdr:cNvSpPr>
      </xdr:nvSpPr>
      <xdr:spPr>
        <a:xfrm>
          <a:off x="2965453" y="4351867"/>
          <a:ext cx="3774017" cy="167217"/>
        </a:xfrm>
        <a:prstGeom prst="round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43</xdr:col>
      <xdr:colOff>10584</xdr:colOff>
      <xdr:row>12</xdr:row>
      <xdr:rowOff>148166</xdr:rowOff>
    </xdr:from>
    <xdr:to>
      <xdr:col>44</xdr:col>
      <xdr:colOff>42333</xdr:colOff>
      <xdr:row>23</xdr:row>
      <xdr:rowOff>84667</xdr:rowOff>
    </xdr:to>
    <xdr:sp macro="" textlink="">
      <xdr:nvSpPr>
        <xdr:cNvPr id="18" name="角丸四角形 17">
          <a:extLst>
            <a:ext uri="{FF2B5EF4-FFF2-40B4-BE49-F238E27FC236}">
              <a16:creationId xmlns:a16="http://schemas.microsoft.com/office/drawing/2014/main" id="{DFBC3D90-F576-447C-9558-63DF0DB5030C}"/>
            </a:ext>
          </a:extLst>
        </xdr:cNvPr>
        <xdr:cNvSpPr>
          <a:spLocks noChangeAspect="1"/>
        </xdr:cNvSpPr>
      </xdr:nvSpPr>
      <xdr:spPr>
        <a:xfrm>
          <a:off x="7382934" y="2653241"/>
          <a:ext cx="203199" cy="1927226"/>
        </a:xfrm>
        <a:prstGeom prst="round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42</xdr:col>
      <xdr:colOff>38259</xdr:colOff>
      <xdr:row>10</xdr:row>
      <xdr:rowOff>2597</xdr:rowOff>
    </xdr:from>
    <xdr:to>
      <xdr:col>50</xdr:col>
      <xdr:colOff>125243</xdr:colOff>
      <xdr:row>10</xdr:row>
      <xdr:rowOff>144343</xdr:rowOff>
    </xdr:to>
    <xdr:sp macro="" textlink="">
      <xdr:nvSpPr>
        <xdr:cNvPr id="19" name="角丸四角形 18">
          <a:extLst>
            <a:ext uri="{FF2B5EF4-FFF2-40B4-BE49-F238E27FC236}">
              <a16:creationId xmlns:a16="http://schemas.microsoft.com/office/drawing/2014/main" id="{F1272A33-9A09-4CC3-9ADC-A719D6AF5200}"/>
            </a:ext>
          </a:extLst>
        </xdr:cNvPr>
        <xdr:cNvSpPr>
          <a:spLocks noChangeAspect="1"/>
        </xdr:cNvSpPr>
      </xdr:nvSpPr>
      <xdr:spPr>
        <a:xfrm rot="2886273">
          <a:off x="7897578" y="1487303"/>
          <a:ext cx="141746" cy="1458584"/>
        </a:xfrm>
        <a:prstGeom prst="round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158749</xdr:colOff>
      <xdr:row>16</xdr:row>
      <xdr:rowOff>74082</xdr:rowOff>
    </xdr:from>
    <xdr:to>
      <xdr:col>24</xdr:col>
      <xdr:colOff>0</xdr:colOff>
      <xdr:row>47</xdr:row>
      <xdr:rowOff>105834</xdr:rowOff>
    </xdr:to>
    <xdr:sp macro="" textlink="">
      <xdr:nvSpPr>
        <xdr:cNvPr id="20" name="角丸四角形 19">
          <a:extLst>
            <a:ext uri="{FF2B5EF4-FFF2-40B4-BE49-F238E27FC236}">
              <a16:creationId xmlns:a16="http://schemas.microsoft.com/office/drawing/2014/main" id="{851FFF83-377F-4E32-82A5-54BAEF8F7BDB}"/>
            </a:ext>
          </a:extLst>
        </xdr:cNvPr>
        <xdr:cNvSpPr>
          <a:spLocks noChangeAspect="1"/>
        </xdr:cNvSpPr>
      </xdr:nvSpPr>
      <xdr:spPr>
        <a:xfrm>
          <a:off x="3930649" y="3303057"/>
          <a:ext cx="184151" cy="5641977"/>
        </a:xfrm>
        <a:prstGeom prst="round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15</xdr:col>
      <xdr:colOff>76506</xdr:colOff>
      <xdr:row>11</xdr:row>
      <xdr:rowOff>58467</xdr:rowOff>
    </xdr:from>
    <xdr:to>
      <xdr:col>16</xdr:col>
      <xdr:colOff>102404</xdr:colOff>
      <xdr:row>24</xdr:row>
      <xdr:rowOff>115960</xdr:rowOff>
    </xdr:to>
    <xdr:sp macro="" textlink="">
      <xdr:nvSpPr>
        <xdr:cNvPr id="21" name="角丸四角形 20">
          <a:extLst>
            <a:ext uri="{FF2B5EF4-FFF2-40B4-BE49-F238E27FC236}">
              <a16:creationId xmlns:a16="http://schemas.microsoft.com/office/drawing/2014/main" id="{96797E1A-70F7-4A63-9591-00DAEFCE95B5}"/>
            </a:ext>
          </a:extLst>
        </xdr:cNvPr>
        <xdr:cNvSpPr>
          <a:spLocks noChangeAspect="1"/>
        </xdr:cNvSpPr>
      </xdr:nvSpPr>
      <xdr:spPr>
        <a:xfrm rot="19470331">
          <a:off x="2648256" y="2382567"/>
          <a:ext cx="197348" cy="2410168"/>
        </a:xfrm>
        <a:prstGeom prst="round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10584</xdr:colOff>
      <xdr:row>7</xdr:row>
      <xdr:rowOff>116418</xdr:rowOff>
    </xdr:from>
    <xdr:to>
      <xdr:col>21</xdr:col>
      <xdr:colOff>29033</xdr:colOff>
      <xdr:row>18</xdr:row>
      <xdr:rowOff>1858</xdr:rowOff>
    </xdr:to>
    <xdr:sp macro="" textlink="">
      <xdr:nvSpPr>
        <xdr:cNvPr id="22" name="角丸四角形 21">
          <a:extLst>
            <a:ext uri="{FF2B5EF4-FFF2-40B4-BE49-F238E27FC236}">
              <a16:creationId xmlns:a16="http://schemas.microsoft.com/office/drawing/2014/main" id="{462498EF-F49E-44E4-B148-EC3C9754412E}"/>
            </a:ext>
          </a:extLst>
        </xdr:cNvPr>
        <xdr:cNvSpPr>
          <a:spLocks noChangeAspect="1"/>
        </xdr:cNvSpPr>
      </xdr:nvSpPr>
      <xdr:spPr>
        <a:xfrm rot="19470331">
          <a:off x="3439584" y="1716618"/>
          <a:ext cx="189899" cy="1876165"/>
        </a:xfrm>
        <a:prstGeom prst="round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40</xdr:col>
      <xdr:colOff>52918</xdr:colOff>
      <xdr:row>46</xdr:row>
      <xdr:rowOff>161925</xdr:rowOff>
    </xdr:from>
    <xdr:to>
      <xdr:col>44</xdr:col>
      <xdr:colOff>123825</xdr:colOff>
      <xdr:row>48</xdr:row>
      <xdr:rowOff>158750</xdr:rowOff>
    </xdr:to>
    <xdr:sp macro="" textlink="">
      <xdr:nvSpPr>
        <xdr:cNvPr id="23" name="テキスト ボックス 22">
          <a:extLst>
            <a:ext uri="{FF2B5EF4-FFF2-40B4-BE49-F238E27FC236}">
              <a16:creationId xmlns:a16="http://schemas.microsoft.com/office/drawing/2014/main" id="{75F4E6EE-D627-4E74-8DD1-713D8D30A067}"/>
            </a:ext>
          </a:extLst>
        </xdr:cNvPr>
        <xdr:cNvSpPr txBox="1">
          <a:spLocks noChangeAspect="1"/>
        </xdr:cNvSpPr>
      </xdr:nvSpPr>
      <xdr:spPr>
        <a:xfrm>
          <a:off x="6910918" y="8820150"/>
          <a:ext cx="756707" cy="358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kumimoji="1" lang="ja-JP" altLang="en-US" sz="1400" b="1">
              <a:latin typeface="Meiryo UI" panose="020B0604030504040204" pitchFamily="50" charset="-128"/>
              <a:ea typeface="Meiryo UI" panose="020B0604030504040204" pitchFamily="50" charset="-128"/>
            </a:rPr>
            <a:t>２５号線</a:t>
          </a:r>
        </a:p>
      </xdr:txBody>
    </xdr:sp>
    <xdr:clientData/>
  </xdr:twoCellAnchor>
  <xdr:twoCellAnchor>
    <xdr:from>
      <xdr:col>19</xdr:col>
      <xdr:colOff>63500</xdr:colOff>
      <xdr:row>23</xdr:row>
      <xdr:rowOff>84667</xdr:rowOff>
    </xdr:from>
    <xdr:to>
      <xdr:col>20</xdr:col>
      <xdr:colOff>84666</xdr:colOff>
      <xdr:row>63</xdr:row>
      <xdr:rowOff>158749</xdr:rowOff>
    </xdr:to>
    <xdr:sp macro="" textlink="">
      <xdr:nvSpPr>
        <xdr:cNvPr id="24" name="角丸四角形 23">
          <a:extLst>
            <a:ext uri="{FF2B5EF4-FFF2-40B4-BE49-F238E27FC236}">
              <a16:creationId xmlns:a16="http://schemas.microsoft.com/office/drawing/2014/main" id="{46322D08-0C5B-4AB6-833C-EA69BB51542F}"/>
            </a:ext>
          </a:extLst>
        </xdr:cNvPr>
        <xdr:cNvSpPr>
          <a:spLocks noChangeAspect="1"/>
        </xdr:cNvSpPr>
      </xdr:nvSpPr>
      <xdr:spPr>
        <a:xfrm>
          <a:off x="3321050" y="4580467"/>
          <a:ext cx="192616" cy="7313082"/>
        </a:xfrm>
        <a:prstGeom prst="round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157238</xdr:colOff>
      <xdr:row>63</xdr:row>
      <xdr:rowOff>175529</xdr:rowOff>
    </xdr:from>
    <xdr:to>
      <xdr:col>20</xdr:col>
      <xdr:colOff>131557</xdr:colOff>
      <xdr:row>82</xdr:row>
      <xdr:rowOff>149679</xdr:rowOff>
    </xdr:to>
    <xdr:sp macro="" textlink="">
      <xdr:nvSpPr>
        <xdr:cNvPr id="25" name="テキスト ボックス 24">
          <a:extLst>
            <a:ext uri="{FF2B5EF4-FFF2-40B4-BE49-F238E27FC236}">
              <a16:creationId xmlns:a16="http://schemas.microsoft.com/office/drawing/2014/main" id="{5038003B-D781-4400-BBA1-0515CAE1A08A}"/>
            </a:ext>
          </a:extLst>
        </xdr:cNvPr>
        <xdr:cNvSpPr txBox="1">
          <a:spLocks noChangeAspect="1"/>
        </xdr:cNvSpPr>
      </xdr:nvSpPr>
      <xdr:spPr>
        <a:xfrm>
          <a:off x="3243338" y="11910329"/>
          <a:ext cx="317219" cy="34126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vert="wordArtVertRtl" wrap="square" tIns="0" bIns="0" rtlCol="0" anchor="ctr" anchorCtr="0"/>
        <a:lstStyle/>
        <a:p>
          <a:pPr algn="ctr"/>
          <a:r>
            <a:rPr kumimoji="1" lang="ja-JP" altLang="en-US" sz="1400" b="1">
              <a:latin typeface="Meiryo UI" panose="020B0604030504040204" pitchFamily="50" charset="-128"/>
              <a:ea typeface="Meiryo UI" panose="020B0604030504040204" pitchFamily="50" charset="-128"/>
            </a:rPr>
            <a:t>大阪臨海線（新なにわ筋）</a:t>
          </a:r>
        </a:p>
      </xdr:txBody>
    </xdr:sp>
    <xdr:clientData/>
  </xdr:twoCellAnchor>
  <xdr:twoCellAnchor>
    <xdr:from>
      <xdr:col>23</xdr:col>
      <xdr:colOff>175381</xdr:colOff>
      <xdr:row>31</xdr:row>
      <xdr:rowOff>149679</xdr:rowOff>
    </xdr:from>
    <xdr:to>
      <xdr:col>25</xdr:col>
      <xdr:colOff>167958</xdr:colOff>
      <xdr:row>42</xdr:row>
      <xdr:rowOff>108857</xdr:rowOff>
    </xdr:to>
    <xdr:sp macro="" textlink="">
      <xdr:nvSpPr>
        <xdr:cNvPr id="26" name="テキスト ボックス 25">
          <a:extLst>
            <a:ext uri="{FF2B5EF4-FFF2-40B4-BE49-F238E27FC236}">
              <a16:creationId xmlns:a16="http://schemas.microsoft.com/office/drawing/2014/main" id="{64717107-3B4E-4C6D-9E6F-5A7AA432963D}"/>
            </a:ext>
          </a:extLst>
        </xdr:cNvPr>
        <xdr:cNvSpPr txBox="1">
          <a:spLocks noChangeAspect="1"/>
        </xdr:cNvSpPr>
      </xdr:nvSpPr>
      <xdr:spPr>
        <a:xfrm>
          <a:off x="4118731" y="6093279"/>
          <a:ext cx="335477" cy="19499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vert="wordArtVertRtl" wrap="square" rtlCol="0" anchor="ctr" anchorCtr="0"/>
        <a:lstStyle/>
        <a:p>
          <a:pPr algn="ctr"/>
          <a:r>
            <a:rPr kumimoji="1" lang="en-US" altLang="ja-JP" sz="1300" b="1">
              <a:latin typeface="Meiryo UI" panose="020B0604030504040204" pitchFamily="50" charset="-128"/>
              <a:ea typeface="Meiryo UI" panose="020B0604030504040204" pitchFamily="50" charset="-128"/>
            </a:rPr>
            <a:t>(</a:t>
          </a:r>
          <a:r>
            <a:rPr kumimoji="1" lang="ja-JP" altLang="en-US" sz="1300" b="1">
              <a:latin typeface="Meiryo UI" panose="020B0604030504040204" pitchFamily="50" charset="-128"/>
              <a:ea typeface="Meiryo UI" panose="020B0604030504040204" pitchFamily="50" charset="-128"/>
            </a:rPr>
            <a:t>なにわ筋</a:t>
          </a:r>
          <a:r>
            <a:rPr kumimoji="1" lang="en-US" altLang="ja-JP" sz="1300" b="1">
              <a:latin typeface="Meiryo UI" panose="020B0604030504040204" pitchFamily="50" charset="-128"/>
              <a:ea typeface="Meiryo UI" panose="020B0604030504040204" pitchFamily="50" charset="-128"/>
            </a:rPr>
            <a:t>)</a:t>
          </a:r>
          <a:endParaRPr kumimoji="1" lang="ja-JP" altLang="en-US" sz="1300" b="1">
            <a:latin typeface="Meiryo UI" panose="020B0604030504040204" pitchFamily="50" charset="-128"/>
            <a:ea typeface="Meiryo UI" panose="020B0604030504040204" pitchFamily="50" charset="-128"/>
          </a:endParaRPr>
        </a:p>
      </xdr:txBody>
    </xdr:sp>
    <xdr:clientData/>
  </xdr:twoCellAnchor>
  <xdr:twoCellAnchor>
    <xdr:from>
      <xdr:col>28</xdr:col>
      <xdr:colOff>57151</xdr:colOff>
      <xdr:row>64</xdr:row>
      <xdr:rowOff>1059</xdr:rowOff>
    </xdr:from>
    <xdr:to>
      <xdr:col>30</xdr:col>
      <xdr:colOff>48095</xdr:colOff>
      <xdr:row>71</xdr:row>
      <xdr:rowOff>40821</xdr:rowOff>
    </xdr:to>
    <xdr:sp macro="" textlink="">
      <xdr:nvSpPr>
        <xdr:cNvPr id="27" name="テキスト ボックス 26">
          <a:extLst>
            <a:ext uri="{FF2B5EF4-FFF2-40B4-BE49-F238E27FC236}">
              <a16:creationId xmlns:a16="http://schemas.microsoft.com/office/drawing/2014/main" id="{D72C6184-9F51-4F07-A2FA-89472B5CB8A2}"/>
            </a:ext>
          </a:extLst>
        </xdr:cNvPr>
        <xdr:cNvSpPr txBox="1">
          <a:spLocks noChangeAspect="1"/>
        </xdr:cNvSpPr>
      </xdr:nvSpPr>
      <xdr:spPr>
        <a:xfrm>
          <a:off x="4857751" y="11916834"/>
          <a:ext cx="333844" cy="13065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vert="wordArtVertRtl" wrap="square" tIns="0" bIns="0" rtlCol="0" anchor="ctr" anchorCtr="0"/>
        <a:lstStyle/>
        <a:p>
          <a:pPr algn="ctr"/>
          <a:r>
            <a:rPr kumimoji="1" lang="ja-JP" altLang="en-US" sz="1400" b="1">
              <a:latin typeface="Meiryo UI" panose="020B0604030504040204" pitchFamily="50" charset="-128"/>
              <a:ea typeface="Meiryo UI" panose="020B0604030504040204" pitchFamily="50" charset="-128"/>
            </a:rPr>
            <a:t>２６号線</a:t>
          </a:r>
        </a:p>
      </xdr:txBody>
    </xdr:sp>
    <xdr:clientData/>
  </xdr:twoCellAnchor>
  <xdr:twoCellAnchor>
    <xdr:from>
      <xdr:col>36</xdr:col>
      <xdr:colOff>54428</xdr:colOff>
      <xdr:row>64</xdr:row>
      <xdr:rowOff>24492</xdr:rowOff>
    </xdr:from>
    <xdr:to>
      <xdr:col>38</xdr:col>
      <xdr:colOff>61457</xdr:colOff>
      <xdr:row>76</xdr:row>
      <xdr:rowOff>122463</xdr:rowOff>
    </xdr:to>
    <xdr:sp macro="" textlink="">
      <xdr:nvSpPr>
        <xdr:cNvPr id="28" name="テキスト ボックス 27">
          <a:extLst>
            <a:ext uri="{FF2B5EF4-FFF2-40B4-BE49-F238E27FC236}">
              <a16:creationId xmlns:a16="http://schemas.microsoft.com/office/drawing/2014/main" id="{5EA118A8-D731-4123-8A24-B9FC413B830E}"/>
            </a:ext>
          </a:extLst>
        </xdr:cNvPr>
        <xdr:cNvSpPr txBox="1">
          <a:spLocks noChangeAspect="1"/>
        </xdr:cNvSpPr>
      </xdr:nvSpPr>
      <xdr:spPr>
        <a:xfrm>
          <a:off x="6226628" y="11940267"/>
          <a:ext cx="349929" cy="22696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vert="wordArtVertRtl" wrap="square" tIns="0" bIns="0" rtlCol="0" anchor="ctr" anchorCtr="0"/>
        <a:lstStyle/>
        <a:p>
          <a:pPr algn="ctr"/>
          <a:r>
            <a:rPr kumimoji="1" lang="ja-JP" altLang="en-US" sz="1400" b="1">
              <a:latin typeface="Meiryo UI" panose="020B0604030504040204" pitchFamily="50" charset="-128"/>
              <a:ea typeface="Meiryo UI" panose="020B0604030504040204" pitchFamily="50" charset="-128"/>
            </a:rPr>
            <a:t>大阪和泉泉南線</a:t>
          </a:r>
        </a:p>
      </xdr:txBody>
    </xdr:sp>
    <xdr:clientData/>
  </xdr:twoCellAnchor>
  <xdr:twoCellAnchor>
    <xdr:from>
      <xdr:col>40</xdr:col>
      <xdr:colOff>21167</xdr:colOff>
      <xdr:row>56</xdr:row>
      <xdr:rowOff>74083</xdr:rowOff>
    </xdr:from>
    <xdr:to>
      <xdr:col>41</xdr:col>
      <xdr:colOff>10583</xdr:colOff>
      <xdr:row>64</xdr:row>
      <xdr:rowOff>21166</xdr:rowOff>
    </xdr:to>
    <xdr:sp macro="" textlink="">
      <xdr:nvSpPr>
        <xdr:cNvPr id="29" name="角丸四角形 28">
          <a:extLst>
            <a:ext uri="{FF2B5EF4-FFF2-40B4-BE49-F238E27FC236}">
              <a16:creationId xmlns:a16="http://schemas.microsoft.com/office/drawing/2014/main" id="{B5559CC8-34D6-47C5-B810-FA1761C28862}"/>
            </a:ext>
          </a:extLst>
        </xdr:cNvPr>
        <xdr:cNvSpPr>
          <a:spLocks noChangeAspect="1"/>
        </xdr:cNvSpPr>
      </xdr:nvSpPr>
      <xdr:spPr>
        <a:xfrm>
          <a:off x="6879167" y="10542058"/>
          <a:ext cx="160866" cy="1394883"/>
        </a:xfrm>
        <a:prstGeom prst="round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39</xdr:col>
      <xdr:colOff>78227</xdr:colOff>
      <xdr:row>64</xdr:row>
      <xdr:rowOff>69396</xdr:rowOff>
    </xdr:from>
    <xdr:to>
      <xdr:col>41</xdr:col>
      <xdr:colOff>132929</xdr:colOff>
      <xdr:row>74</xdr:row>
      <xdr:rowOff>108858</xdr:rowOff>
    </xdr:to>
    <xdr:sp macro="" textlink="">
      <xdr:nvSpPr>
        <xdr:cNvPr id="30" name="テキスト ボックス 29">
          <a:extLst>
            <a:ext uri="{FF2B5EF4-FFF2-40B4-BE49-F238E27FC236}">
              <a16:creationId xmlns:a16="http://schemas.microsoft.com/office/drawing/2014/main" id="{918CF5C1-FFA1-4627-99CA-86B98A60E8F9}"/>
            </a:ext>
          </a:extLst>
        </xdr:cNvPr>
        <xdr:cNvSpPr txBox="1">
          <a:spLocks noChangeAspect="1"/>
        </xdr:cNvSpPr>
      </xdr:nvSpPr>
      <xdr:spPr>
        <a:xfrm>
          <a:off x="6764777" y="11985171"/>
          <a:ext cx="397602" cy="18492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vert="wordArtVertRtl" wrap="square" tIns="0" bIns="0" rtlCol="0" anchor="ctr" anchorCtr="0"/>
        <a:lstStyle/>
        <a:p>
          <a:pPr algn="ctr"/>
          <a:r>
            <a:rPr kumimoji="1" lang="ja-JP" altLang="en-US" sz="1400" b="1">
              <a:latin typeface="Meiryo UI" panose="020B0604030504040204" pitchFamily="50" charset="-128"/>
              <a:ea typeface="Meiryo UI" panose="020B0604030504040204" pitchFamily="50" charset="-128"/>
            </a:rPr>
            <a:t>大阪高石線</a:t>
          </a:r>
        </a:p>
      </xdr:txBody>
    </xdr:sp>
    <xdr:clientData/>
  </xdr:twoCellAnchor>
  <xdr:twoCellAnchor>
    <xdr:from>
      <xdr:col>38</xdr:col>
      <xdr:colOff>1</xdr:colOff>
      <xdr:row>40</xdr:row>
      <xdr:rowOff>19050</xdr:rowOff>
    </xdr:from>
    <xdr:to>
      <xdr:col>45</xdr:col>
      <xdr:colOff>161924</xdr:colOff>
      <xdr:row>43</xdr:row>
      <xdr:rowOff>28576</xdr:rowOff>
    </xdr:to>
    <xdr:sp macro="" textlink="">
      <xdr:nvSpPr>
        <xdr:cNvPr id="31" name="テキスト ボックス 30">
          <a:extLst>
            <a:ext uri="{FF2B5EF4-FFF2-40B4-BE49-F238E27FC236}">
              <a16:creationId xmlns:a16="http://schemas.microsoft.com/office/drawing/2014/main" id="{944E2155-AE3A-4409-8A05-EFE9E414EB93}"/>
            </a:ext>
          </a:extLst>
        </xdr:cNvPr>
        <xdr:cNvSpPr txBox="1">
          <a:spLocks noChangeAspect="1"/>
        </xdr:cNvSpPr>
      </xdr:nvSpPr>
      <xdr:spPr>
        <a:xfrm>
          <a:off x="6515101" y="7591425"/>
          <a:ext cx="1362073" cy="552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nchorCtr="0"/>
        <a:lstStyle/>
        <a:p>
          <a:pPr algn="ctr">
            <a:lnSpc>
              <a:spcPts val="1500"/>
            </a:lnSpc>
          </a:pPr>
          <a:r>
            <a:rPr kumimoji="1" lang="ja-JP" altLang="en-US" sz="1300" b="1">
              <a:latin typeface="Meiryo UI" panose="020B0604030504040204" pitchFamily="50" charset="-128"/>
              <a:ea typeface="Meiryo UI" panose="020B0604030504040204" pitchFamily="50" charset="-128"/>
            </a:rPr>
            <a:t>大阪枚岡奈良線（千日前通）</a:t>
          </a:r>
        </a:p>
      </xdr:txBody>
    </xdr:sp>
    <xdr:clientData/>
  </xdr:twoCellAnchor>
  <xdr:twoCellAnchor>
    <xdr:from>
      <xdr:col>36</xdr:col>
      <xdr:colOff>114300</xdr:colOff>
      <xdr:row>20</xdr:row>
      <xdr:rowOff>85725</xdr:rowOff>
    </xdr:from>
    <xdr:to>
      <xdr:col>41</xdr:col>
      <xdr:colOff>42334</xdr:colOff>
      <xdr:row>22</xdr:row>
      <xdr:rowOff>31749</xdr:rowOff>
    </xdr:to>
    <xdr:sp macro="" textlink="">
      <xdr:nvSpPr>
        <xdr:cNvPr id="32" name="テキスト ボックス 31">
          <a:extLst>
            <a:ext uri="{FF2B5EF4-FFF2-40B4-BE49-F238E27FC236}">
              <a16:creationId xmlns:a16="http://schemas.microsoft.com/office/drawing/2014/main" id="{7D6C3986-E9EF-4394-B9E2-D7BA9BB8AC07}"/>
            </a:ext>
          </a:extLst>
        </xdr:cNvPr>
        <xdr:cNvSpPr txBox="1">
          <a:spLocks noChangeAspect="1"/>
        </xdr:cNvSpPr>
      </xdr:nvSpPr>
      <xdr:spPr>
        <a:xfrm>
          <a:off x="6286500" y="4038600"/>
          <a:ext cx="785284" cy="3079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b="1">
              <a:latin typeface="Meiryo UI" panose="020B0604030504040204" pitchFamily="50" charset="-128"/>
              <a:ea typeface="Meiryo UI" panose="020B0604030504040204" pitchFamily="50" charset="-128"/>
            </a:rPr>
            <a:t>１号線</a:t>
          </a:r>
        </a:p>
      </xdr:txBody>
    </xdr:sp>
    <xdr:clientData/>
  </xdr:twoCellAnchor>
  <xdr:twoCellAnchor>
    <xdr:from>
      <xdr:col>24</xdr:col>
      <xdr:colOff>148166</xdr:colOff>
      <xdr:row>20</xdr:row>
      <xdr:rowOff>95249</xdr:rowOff>
    </xdr:from>
    <xdr:to>
      <xdr:col>29</xdr:col>
      <xdr:colOff>47625</xdr:colOff>
      <xdr:row>22</xdr:row>
      <xdr:rowOff>28574</xdr:rowOff>
    </xdr:to>
    <xdr:sp macro="" textlink="">
      <xdr:nvSpPr>
        <xdr:cNvPr id="33" name="テキスト ボックス 32">
          <a:extLst>
            <a:ext uri="{FF2B5EF4-FFF2-40B4-BE49-F238E27FC236}">
              <a16:creationId xmlns:a16="http://schemas.microsoft.com/office/drawing/2014/main" id="{1F3849F4-ADE7-4E0D-92ED-9402C939C676}"/>
            </a:ext>
          </a:extLst>
        </xdr:cNvPr>
        <xdr:cNvSpPr txBox="1">
          <a:spLocks noChangeAspect="1"/>
        </xdr:cNvSpPr>
      </xdr:nvSpPr>
      <xdr:spPr>
        <a:xfrm>
          <a:off x="4262966" y="4048124"/>
          <a:ext cx="756709" cy="29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b="1">
              <a:latin typeface="Meiryo UI" panose="020B0604030504040204" pitchFamily="50" charset="-128"/>
              <a:ea typeface="Meiryo UI" panose="020B0604030504040204" pitchFamily="50" charset="-128"/>
            </a:rPr>
            <a:t>２号線</a:t>
          </a:r>
        </a:p>
      </xdr:txBody>
    </xdr:sp>
    <xdr:clientData/>
  </xdr:twoCellAnchor>
  <xdr:twoCellAnchor>
    <xdr:from>
      <xdr:col>58</xdr:col>
      <xdr:colOff>10584</xdr:colOff>
      <xdr:row>56</xdr:row>
      <xdr:rowOff>0</xdr:rowOff>
    </xdr:from>
    <xdr:to>
      <xdr:col>59</xdr:col>
      <xdr:colOff>10583</xdr:colOff>
      <xdr:row>64</xdr:row>
      <xdr:rowOff>0</xdr:rowOff>
    </xdr:to>
    <xdr:sp macro="" textlink="">
      <xdr:nvSpPr>
        <xdr:cNvPr id="34" name="角丸四角形 33">
          <a:extLst>
            <a:ext uri="{FF2B5EF4-FFF2-40B4-BE49-F238E27FC236}">
              <a16:creationId xmlns:a16="http://schemas.microsoft.com/office/drawing/2014/main" id="{05001FC2-F4F7-4BDE-BBD5-4E605EF385A3}"/>
            </a:ext>
          </a:extLst>
        </xdr:cNvPr>
        <xdr:cNvSpPr>
          <a:spLocks noChangeAspect="1"/>
        </xdr:cNvSpPr>
      </xdr:nvSpPr>
      <xdr:spPr>
        <a:xfrm>
          <a:off x="9954684" y="10467975"/>
          <a:ext cx="171449" cy="1447800"/>
        </a:xfrm>
        <a:prstGeom prst="round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58</xdr:col>
      <xdr:colOff>0</xdr:colOff>
      <xdr:row>18</xdr:row>
      <xdr:rowOff>63500</xdr:rowOff>
    </xdr:from>
    <xdr:to>
      <xdr:col>58</xdr:col>
      <xdr:colOff>169333</xdr:colOff>
      <xdr:row>21</xdr:row>
      <xdr:rowOff>95250</xdr:rowOff>
    </xdr:to>
    <xdr:sp macro="" textlink="">
      <xdr:nvSpPr>
        <xdr:cNvPr id="35" name="角丸四角形 34">
          <a:extLst>
            <a:ext uri="{FF2B5EF4-FFF2-40B4-BE49-F238E27FC236}">
              <a16:creationId xmlns:a16="http://schemas.microsoft.com/office/drawing/2014/main" id="{A5D7E840-B4C0-476B-AA54-E1E70549A6A1}"/>
            </a:ext>
          </a:extLst>
        </xdr:cNvPr>
        <xdr:cNvSpPr>
          <a:spLocks noChangeAspect="1"/>
        </xdr:cNvSpPr>
      </xdr:nvSpPr>
      <xdr:spPr>
        <a:xfrm>
          <a:off x="9944100" y="3654425"/>
          <a:ext cx="169333" cy="574675"/>
        </a:xfrm>
        <a:prstGeom prst="round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18</xdr:col>
      <xdr:colOff>10280</xdr:colOff>
      <xdr:row>10</xdr:row>
      <xdr:rowOff>55888</xdr:rowOff>
    </xdr:from>
    <xdr:to>
      <xdr:col>20</xdr:col>
      <xdr:colOff>16371</xdr:colOff>
      <xdr:row>18</xdr:row>
      <xdr:rowOff>97762</xdr:rowOff>
    </xdr:to>
    <xdr:sp macro="" textlink="">
      <xdr:nvSpPr>
        <xdr:cNvPr id="36" name="テキスト ボックス 35">
          <a:extLst>
            <a:ext uri="{FF2B5EF4-FFF2-40B4-BE49-F238E27FC236}">
              <a16:creationId xmlns:a16="http://schemas.microsoft.com/office/drawing/2014/main" id="{B3ADC483-DA27-4E46-9468-4763503E4446}"/>
            </a:ext>
          </a:extLst>
        </xdr:cNvPr>
        <xdr:cNvSpPr txBox="1">
          <a:spLocks noChangeAspect="1"/>
        </xdr:cNvSpPr>
      </xdr:nvSpPr>
      <xdr:spPr>
        <a:xfrm rot="19710522">
          <a:off x="3096380" y="2199013"/>
          <a:ext cx="348991" cy="14896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vert="wordArtVertRtl" wrap="square" rtlCol="0" anchor="ctr" anchorCtr="0"/>
        <a:lstStyle/>
        <a:p>
          <a:pPr algn="ctr"/>
          <a:r>
            <a:rPr kumimoji="1" lang="en-US" altLang="ja-JP" sz="1400" b="1">
              <a:latin typeface="Meiryo UI" panose="020B0604030504040204" pitchFamily="50" charset="-128"/>
              <a:ea typeface="Meiryo UI" panose="020B0604030504040204" pitchFamily="50" charset="-128"/>
            </a:rPr>
            <a:t>(</a:t>
          </a:r>
          <a:r>
            <a:rPr kumimoji="1" lang="ja-JP" altLang="en-US" sz="1400" b="1">
              <a:latin typeface="Meiryo UI" panose="020B0604030504040204" pitchFamily="50" charset="-128"/>
              <a:ea typeface="Meiryo UI" panose="020B0604030504040204" pitchFamily="50" charset="-128"/>
            </a:rPr>
            <a:t>十三筋</a:t>
          </a:r>
          <a:r>
            <a:rPr kumimoji="1" lang="en-US" altLang="ja-JP" sz="1400" b="1">
              <a:latin typeface="Meiryo UI" panose="020B0604030504040204" pitchFamily="50" charset="-128"/>
              <a:ea typeface="Meiryo UI" panose="020B0604030504040204" pitchFamily="50" charset="-128"/>
            </a:rPr>
            <a:t>)</a:t>
          </a:r>
          <a:endParaRPr kumimoji="1" lang="ja-JP" altLang="en-US" sz="1400" b="1">
            <a:latin typeface="Meiryo UI" panose="020B0604030504040204" pitchFamily="50" charset="-128"/>
            <a:ea typeface="Meiryo UI" panose="020B0604030504040204" pitchFamily="50" charset="-128"/>
          </a:endParaRPr>
        </a:p>
      </xdr:txBody>
    </xdr:sp>
    <xdr:clientData/>
  </xdr:twoCellAnchor>
  <xdr:twoCellAnchor>
    <xdr:from>
      <xdr:col>34</xdr:col>
      <xdr:colOff>128965</xdr:colOff>
      <xdr:row>39</xdr:row>
      <xdr:rowOff>43543</xdr:rowOff>
    </xdr:from>
    <xdr:to>
      <xdr:col>37</xdr:col>
      <xdr:colOff>32878</xdr:colOff>
      <xdr:row>47</xdr:row>
      <xdr:rowOff>40821</xdr:rowOff>
    </xdr:to>
    <xdr:sp macro="" textlink="">
      <xdr:nvSpPr>
        <xdr:cNvPr id="37" name="テキスト ボックス 36">
          <a:extLst>
            <a:ext uri="{FF2B5EF4-FFF2-40B4-BE49-F238E27FC236}">
              <a16:creationId xmlns:a16="http://schemas.microsoft.com/office/drawing/2014/main" id="{B4076EA1-87A7-41E1-9A46-E9D7C8EB75A6}"/>
            </a:ext>
          </a:extLst>
        </xdr:cNvPr>
        <xdr:cNvSpPr txBox="1">
          <a:spLocks noChangeAspect="1"/>
        </xdr:cNvSpPr>
      </xdr:nvSpPr>
      <xdr:spPr>
        <a:xfrm>
          <a:off x="5958265" y="7434943"/>
          <a:ext cx="418263" cy="14450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vert="wordArtVertRtl" wrap="square" tIns="0" bIns="0" rtlCol="0" anchor="ctr" anchorCtr="0"/>
        <a:lstStyle/>
        <a:p>
          <a:pPr algn="ctr"/>
          <a:r>
            <a:rPr kumimoji="1" lang="ja-JP" altLang="en-US" sz="1300"/>
            <a:t>（</a:t>
          </a:r>
          <a:r>
            <a:rPr kumimoji="1" lang="ja-JP" altLang="en-US" sz="1300" b="1">
              <a:latin typeface="Meiryo UI" panose="020B0604030504040204" pitchFamily="50" charset="-128"/>
              <a:ea typeface="Meiryo UI" panose="020B0604030504040204" pitchFamily="50" charset="-128"/>
            </a:rPr>
            <a:t>谷町筋</a:t>
          </a:r>
          <a:r>
            <a:rPr kumimoji="1" lang="en-US" altLang="ja-JP" sz="1300" b="1">
              <a:latin typeface="Meiryo UI" panose="020B0604030504040204" pitchFamily="50" charset="-128"/>
              <a:ea typeface="Meiryo UI" panose="020B0604030504040204" pitchFamily="50" charset="-128"/>
            </a:rPr>
            <a:t>)</a:t>
          </a:r>
          <a:endParaRPr kumimoji="1" lang="ja-JP" altLang="en-US" sz="1300" b="1">
            <a:latin typeface="Meiryo UI" panose="020B0604030504040204" pitchFamily="50" charset="-128"/>
            <a:ea typeface="Meiryo UI" panose="020B0604030504040204" pitchFamily="50" charset="-128"/>
          </a:endParaRPr>
        </a:p>
      </xdr:txBody>
    </xdr:sp>
    <xdr:clientData/>
  </xdr:twoCellAnchor>
  <xdr:twoCellAnchor>
    <xdr:from>
      <xdr:col>34</xdr:col>
      <xdr:colOff>108759</xdr:colOff>
      <xdr:row>56</xdr:row>
      <xdr:rowOff>84665</xdr:rowOff>
    </xdr:from>
    <xdr:to>
      <xdr:col>36</xdr:col>
      <xdr:colOff>119593</xdr:colOff>
      <xdr:row>65</xdr:row>
      <xdr:rowOff>163285</xdr:rowOff>
    </xdr:to>
    <xdr:sp macro="" textlink="">
      <xdr:nvSpPr>
        <xdr:cNvPr id="38" name="テキスト ボックス 37">
          <a:extLst>
            <a:ext uri="{FF2B5EF4-FFF2-40B4-BE49-F238E27FC236}">
              <a16:creationId xmlns:a16="http://schemas.microsoft.com/office/drawing/2014/main" id="{D8B5A4C7-5429-40D7-B472-10C607F89608}"/>
            </a:ext>
          </a:extLst>
        </xdr:cNvPr>
        <xdr:cNvSpPr txBox="1">
          <a:spLocks noChangeAspect="1"/>
        </xdr:cNvSpPr>
      </xdr:nvSpPr>
      <xdr:spPr>
        <a:xfrm>
          <a:off x="5938059" y="10552640"/>
          <a:ext cx="353734" cy="17073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vert="wordArtVertRtl" wrap="square" tIns="0" bIns="0" rtlCol="0" anchor="ctr" anchorCtr="0"/>
        <a:lstStyle/>
        <a:p>
          <a:pPr algn="ctr"/>
          <a:r>
            <a:rPr kumimoji="1" lang="ja-JP" altLang="en-US" sz="1300"/>
            <a:t>（</a:t>
          </a:r>
          <a:r>
            <a:rPr kumimoji="1" lang="ja-JP" altLang="en-US" sz="1300" b="1">
              <a:latin typeface="Meiryo UI" panose="020B0604030504040204" pitchFamily="50" charset="-128"/>
              <a:ea typeface="Meiryo UI" panose="020B0604030504040204" pitchFamily="50" charset="-128"/>
            </a:rPr>
            <a:t>あべの筋</a:t>
          </a:r>
          <a:r>
            <a:rPr kumimoji="1" lang="en-US" altLang="ja-JP" sz="1300" b="1">
              <a:latin typeface="Meiryo UI" panose="020B0604030504040204" pitchFamily="50" charset="-128"/>
              <a:ea typeface="Meiryo UI" panose="020B0604030504040204" pitchFamily="50" charset="-128"/>
            </a:rPr>
            <a:t>)</a:t>
          </a:r>
          <a:endParaRPr kumimoji="1" lang="ja-JP" altLang="en-US" sz="1300" b="1">
            <a:latin typeface="Meiryo UI" panose="020B0604030504040204" pitchFamily="50" charset="-128"/>
            <a:ea typeface="Meiryo UI" panose="020B0604030504040204" pitchFamily="50" charset="-128"/>
          </a:endParaRPr>
        </a:p>
      </xdr:txBody>
    </xdr:sp>
    <xdr:clientData/>
  </xdr:twoCellAnchor>
  <xdr:twoCellAnchor>
    <xdr:from>
      <xdr:col>41</xdr:col>
      <xdr:colOff>114300</xdr:colOff>
      <xdr:row>58</xdr:row>
      <xdr:rowOff>120651</xdr:rowOff>
    </xdr:from>
    <xdr:to>
      <xdr:col>43</xdr:col>
      <xdr:colOff>95250</xdr:colOff>
      <xdr:row>67</xdr:row>
      <xdr:rowOff>149679</xdr:rowOff>
    </xdr:to>
    <xdr:sp macro="" textlink="">
      <xdr:nvSpPr>
        <xdr:cNvPr id="39" name="テキスト ボックス 38">
          <a:extLst>
            <a:ext uri="{FF2B5EF4-FFF2-40B4-BE49-F238E27FC236}">
              <a16:creationId xmlns:a16="http://schemas.microsoft.com/office/drawing/2014/main" id="{252DBA90-CB3D-4BF6-83B4-E5932680656F}"/>
            </a:ext>
          </a:extLst>
        </xdr:cNvPr>
        <xdr:cNvSpPr txBox="1">
          <a:spLocks noChangeAspect="1"/>
        </xdr:cNvSpPr>
      </xdr:nvSpPr>
      <xdr:spPr>
        <a:xfrm>
          <a:off x="7143750" y="10950576"/>
          <a:ext cx="323850" cy="1657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vert="wordArtVertRtl" wrap="square" tIns="0" bIns="0" rtlCol="0" anchor="ctr" anchorCtr="0"/>
        <a:lstStyle/>
        <a:p>
          <a:pPr algn="ctr"/>
          <a:r>
            <a:rPr kumimoji="1" lang="en-US" altLang="ja-JP" sz="1300" b="1">
              <a:latin typeface="Meiryo UI" panose="020B0604030504040204" pitchFamily="50" charset="-128"/>
              <a:ea typeface="Meiryo UI" panose="020B0604030504040204" pitchFamily="50" charset="-128"/>
            </a:rPr>
            <a:t>(</a:t>
          </a:r>
          <a:r>
            <a:rPr kumimoji="1" lang="ja-JP" altLang="en-US" sz="1300" b="1">
              <a:latin typeface="Meiryo UI" panose="020B0604030504040204" pitchFamily="50" charset="-128"/>
              <a:ea typeface="Meiryo UI" panose="020B0604030504040204" pitchFamily="50" charset="-128"/>
            </a:rPr>
            <a:t>あびこ筋</a:t>
          </a:r>
          <a:r>
            <a:rPr kumimoji="1" lang="en-US" altLang="ja-JP" sz="1300" b="1">
              <a:latin typeface="Meiryo UI" panose="020B0604030504040204" pitchFamily="50" charset="-128"/>
              <a:ea typeface="Meiryo UI" panose="020B0604030504040204" pitchFamily="50" charset="-128"/>
            </a:rPr>
            <a:t>)</a:t>
          </a:r>
          <a:endParaRPr kumimoji="1" lang="ja-JP" altLang="en-US" sz="1300" b="1">
            <a:latin typeface="Meiryo UI" panose="020B0604030504040204" pitchFamily="50" charset="-128"/>
            <a:ea typeface="Meiryo UI" panose="020B0604030504040204" pitchFamily="50" charset="-128"/>
          </a:endParaRPr>
        </a:p>
      </xdr:txBody>
    </xdr:sp>
    <xdr:clientData/>
  </xdr:twoCellAnchor>
  <xdr:twoCellAnchor>
    <xdr:from>
      <xdr:col>10</xdr:col>
      <xdr:colOff>142875</xdr:colOff>
      <xdr:row>7</xdr:row>
      <xdr:rowOff>57150</xdr:rowOff>
    </xdr:from>
    <xdr:to>
      <xdr:col>16</xdr:col>
      <xdr:colOff>161925</xdr:colOff>
      <xdr:row>9</xdr:row>
      <xdr:rowOff>9526</xdr:rowOff>
    </xdr:to>
    <xdr:sp macro="" textlink="">
      <xdr:nvSpPr>
        <xdr:cNvPr id="40" name="テキスト ボックス 39">
          <a:extLst>
            <a:ext uri="{FF2B5EF4-FFF2-40B4-BE49-F238E27FC236}">
              <a16:creationId xmlns:a16="http://schemas.microsoft.com/office/drawing/2014/main" id="{AC599158-D643-473F-A15A-11D585E6E2AD}"/>
            </a:ext>
          </a:extLst>
        </xdr:cNvPr>
        <xdr:cNvSpPr txBox="1">
          <a:spLocks noChangeAspect="1"/>
        </xdr:cNvSpPr>
      </xdr:nvSpPr>
      <xdr:spPr>
        <a:xfrm>
          <a:off x="1857375" y="1657350"/>
          <a:ext cx="1047750" cy="3143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kumimoji="1" lang="ja-JP" altLang="ja-JP" sz="1400" b="1">
              <a:solidFill>
                <a:schemeClr val="dk1"/>
              </a:solidFill>
              <a:latin typeface="Meiryo UI" panose="020B0604030504040204" pitchFamily="50" charset="-128"/>
              <a:ea typeface="Meiryo UI" panose="020B0604030504040204" pitchFamily="50" charset="-128"/>
              <a:cs typeface="Arial" panose="020B0604020202020204" pitchFamily="34" charset="0"/>
            </a:rPr>
            <a:t>大阪伊丹線</a:t>
          </a:r>
          <a:endParaRPr lang="ja-JP" altLang="ja-JP" sz="1400" b="1">
            <a:latin typeface="Meiryo UI" panose="020B0604030504040204" pitchFamily="50" charset="-128"/>
            <a:ea typeface="Meiryo UI" panose="020B0604030504040204" pitchFamily="50" charset="-128"/>
            <a:cs typeface="Arial" panose="020B0604020202020204" pitchFamily="34" charset="0"/>
          </a:endParaRPr>
        </a:p>
      </xdr:txBody>
    </xdr:sp>
    <xdr:clientData/>
  </xdr:twoCellAnchor>
  <xdr:twoCellAnchor>
    <xdr:from>
      <xdr:col>10</xdr:col>
      <xdr:colOff>133350</xdr:colOff>
      <xdr:row>28</xdr:row>
      <xdr:rowOff>142875</xdr:rowOff>
    </xdr:from>
    <xdr:to>
      <xdr:col>16</xdr:col>
      <xdr:colOff>161925</xdr:colOff>
      <xdr:row>30</xdr:row>
      <xdr:rowOff>152400</xdr:rowOff>
    </xdr:to>
    <xdr:sp macro="" textlink="">
      <xdr:nvSpPr>
        <xdr:cNvPr id="41" name="テキスト ボックス 40">
          <a:extLst>
            <a:ext uri="{FF2B5EF4-FFF2-40B4-BE49-F238E27FC236}">
              <a16:creationId xmlns:a16="http://schemas.microsoft.com/office/drawing/2014/main" id="{5D8BD720-4EB5-4266-AB9F-6D30CB121312}"/>
            </a:ext>
          </a:extLst>
        </xdr:cNvPr>
        <xdr:cNvSpPr txBox="1">
          <a:spLocks noChangeAspect="1"/>
        </xdr:cNvSpPr>
      </xdr:nvSpPr>
      <xdr:spPr>
        <a:xfrm>
          <a:off x="1847850" y="5543550"/>
          <a:ext cx="1057275" cy="371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lang="ja-JP" altLang="en-US" sz="1400" b="1">
              <a:latin typeface="Meiryo UI" panose="020B0604030504040204" pitchFamily="50" charset="-128"/>
              <a:ea typeface="Meiryo UI" panose="020B0604030504040204" pitchFamily="50" charset="-128"/>
            </a:rPr>
            <a:t>築港深江線</a:t>
          </a:r>
          <a:endParaRPr lang="en-US" altLang="ja-JP" sz="1400" b="1">
            <a:latin typeface="Meiryo UI" panose="020B0604030504040204" pitchFamily="50" charset="-128"/>
            <a:ea typeface="Meiryo UI" panose="020B0604030504040204" pitchFamily="50" charset="-128"/>
          </a:endParaRPr>
        </a:p>
      </xdr:txBody>
    </xdr:sp>
    <xdr:clientData/>
  </xdr:twoCellAnchor>
  <xdr:twoCellAnchor>
    <xdr:from>
      <xdr:col>46</xdr:col>
      <xdr:colOff>133350</xdr:colOff>
      <xdr:row>64</xdr:row>
      <xdr:rowOff>85723</xdr:rowOff>
    </xdr:from>
    <xdr:to>
      <xdr:col>48</xdr:col>
      <xdr:colOff>154024</xdr:colOff>
      <xdr:row>82</xdr:row>
      <xdr:rowOff>68035</xdr:rowOff>
    </xdr:to>
    <xdr:sp macro="" textlink="">
      <xdr:nvSpPr>
        <xdr:cNvPr id="42" name="テキスト ボックス 41">
          <a:extLst>
            <a:ext uri="{FF2B5EF4-FFF2-40B4-BE49-F238E27FC236}">
              <a16:creationId xmlns:a16="http://schemas.microsoft.com/office/drawing/2014/main" id="{0A5FE91B-F6C0-4D75-9326-E65789B42A65}"/>
            </a:ext>
          </a:extLst>
        </xdr:cNvPr>
        <xdr:cNvSpPr txBox="1">
          <a:spLocks noChangeAspect="1"/>
        </xdr:cNvSpPr>
      </xdr:nvSpPr>
      <xdr:spPr>
        <a:xfrm>
          <a:off x="8020050" y="12001498"/>
          <a:ext cx="363574" cy="32398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vert="wordArtVertRtl" wrap="square" tIns="0" bIns="0" rtlCol="0" anchor="ctr" anchorCtr="0"/>
        <a:lstStyle/>
        <a:p>
          <a:r>
            <a:rPr kumimoji="1" lang="ja-JP" altLang="ja-JP" sz="1400" b="1">
              <a:solidFill>
                <a:schemeClr val="dk1"/>
              </a:solidFill>
              <a:latin typeface="Meiryo UI" panose="020B0604030504040204" pitchFamily="50" charset="-128"/>
              <a:ea typeface="Meiryo UI" panose="020B0604030504040204" pitchFamily="50" charset="-128"/>
              <a:cs typeface="+mn-cs"/>
            </a:rPr>
            <a:t>４７９号線（内環状線）</a:t>
          </a:r>
          <a:endParaRPr lang="ja-JP" altLang="ja-JP" sz="1400" b="1">
            <a:latin typeface="Meiryo UI" panose="020B0604030504040204" pitchFamily="50" charset="-128"/>
            <a:ea typeface="Meiryo UI" panose="020B0604030504040204" pitchFamily="50" charset="-128"/>
          </a:endParaRPr>
        </a:p>
      </xdr:txBody>
    </xdr:sp>
    <xdr:clientData/>
  </xdr:twoCellAnchor>
  <xdr:twoCellAnchor>
    <xdr:from>
      <xdr:col>57</xdr:col>
      <xdr:colOff>102054</xdr:colOff>
      <xdr:row>64</xdr:row>
      <xdr:rowOff>46263</xdr:rowOff>
    </xdr:from>
    <xdr:to>
      <xdr:col>59</xdr:col>
      <xdr:colOff>119390</xdr:colOff>
      <xdr:row>73</xdr:row>
      <xdr:rowOff>122464</xdr:rowOff>
    </xdr:to>
    <xdr:sp macro="" textlink="">
      <xdr:nvSpPr>
        <xdr:cNvPr id="43" name="テキスト ボックス 42">
          <a:extLst>
            <a:ext uri="{FF2B5EF4-FFF2-40B4-BE49-F238E27FC236}">
              <a16:creationId xmlns:a16="http://schemas.microsoft.com/office/drawing/2014/main" id="{8CE8FD38-E7FD-4276-83B8-C50D52190224}"/>
            </a:ext>
          </a:extLst>
        </xdr:cNvPr>
        <xdr:cNvSpPr txBox="1">
          <a:spLocks noChangeAspect="1"/>
        </xdr:cNvSpPr>
      </xdr:nvSpPr>
      <xdr:spPr>
        <a:xfrm>
          <a:off x="9874704" y="11962038"/>
          <a:ext cx="360236" cy="17049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vert="wordArtVertRtl" wrap="square" tIns="0" bIns="0" rtlCol="0" anchor="ctr" anchorCtr="0"/>
        <a:lstStyle/>
        <a:p>
          <a:pPr algn="ctr"/>
          <a:r>
            <a:rPr kumimoji="1" lang="ja-JP" altLang="en-US" sz="1400" b="1">
              <a:latin typeface="Meiryo UI" panose="020B0604030504040204" pitchFamily="50" charset="-128"/>
              <a:ea typeface="Meiryo UI" panose="020B0604030504040204" pitchFamily="50" charset="-128"/>
            </a:rPr>
            <a:t>中央環状線</a:t>
          </a:r>
        </a:p>
      </xdr:txBody>
    </xdr:sp>
    <xdr:clientData/>
  </xdr:twoCellAnchor>
  <xdr:twoCellAnchor>
    <xdr:from>
      <xdr:col>10</xdr:col>
      <xdr:colOff>19050</xdr:colOff>
      <xdr:row>32</xdr:row>
      <xdr:rowOff>21166</xdr:rowOff>
    </xdr:from>
    <xdr:to>
      <xdr:col>18</xdr:col>
      <xdr:colOff>122465</xdr:colOff>
      <xdr:row>33</xdr:row>
      <xdr:rowOff>161335</xdr:rowOff>
    </xdr:to>
    <xdr:sp macro="" textlink="">
      <xdr:nvSpPr>
        <xdr:cNvPr id="44" name="テキスト ボックス 43">
          <a:extLst>
            <a:ext uri="{FF2B5EF4-FFF2-40B4-BE49-F238E27FC236}">
              <a16:creationId xmlns:a16="http://schemas.microsoft.com/office/drawing/2014/main" id="{B884DA5D-C078-425A-AE51-ECCC2A7D0593}"/>
            </a:ext>
          </a:extLst>
        </xdr:cNvPr>
        <xdr:cNvSpPr txBox="1">
          <a:spLocks noChangeAspect="1"/>
        </xdr:cNvSpPr>
      </xdr:nvSpPr>
      <xdr:spPr>
        <a:xfrm>
          <a:off x="1733550" y="6145741"/>
          <a:ext cx="1475015" cy="3211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b="1">
              <a:latin typeface="Meiryo UI" panose="020B0604030504040204" pitchFamily="50" charset="-128"/>
              <a:ea typeface="Meiryo UI" panose="020B0604030504040204" pitchFamily="50" charset="-128"/>
            </a:rPr>
            <a:t>（中央大通）</a:t>
          </a:r>
        </a:p>
      </xdr:txBody>
    </xdr:sp>
    <xdr:clientData/>
  </xdr:twoCellAnchor>
  <xdr:twoCellAnchor>
    <xdr:from>
      <xdr:col>36</xdr:col>
      <xdr:colOff>68036</xdr:colOff>
      <xdr:row>18</xdr:row>
      <xdr:rowOff>78619</xdr:rowOff>
    </xdr:from>
    <xdr:to>
      <xdr:col>42</xdr:col>
      <xdr:colOff>3202</xdr:colOff>
      <xdr:row>20</xdr:row>
      <xdr:rowOff>27214</xdr:rowOff>
    </xdr:to>
    <xdr:sp macro="" textlink="$BU$10">
      <xdr:nvSpPr>
        <xdr:cNvPr id="45" name="テキスト ボックス 44">
          <a:extLst>
            <a:ext uri="{FF2B5EF4-FFF2-40B4-BE49-F238E27FC236}">
              <a16:creationId xmlns:a16="http://schemas.microsoft.com/office/drawing/2014/main" id="{7ADD3B92-6191-4DA5-8758-876234B3E07D}"/>
            </a:ext>
          </a:extLst>
        </xdr:cNvPr>
        <xdr:cNvSpPr txBox="1">
          <a:spLocks noChangeAspect="1"/>
        </xdr:cNvSpPr>
      </xdr:nvSpPr>
      <xdr:spPr>
        <a:xfrm>
          <a:off x="6240236" y="3669544"/>
          <a:ext cx="963866" cy="3105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fld id="{6FACEDF5-5071-4D50-A4B7-A034A501FAB7}" type="TxLink">
            <a:rPr kumimoji="1" lang="en-US" altLang="en-US" sz="1800" b="0" i="0" u="none" strike="noStrike">
              <a:solidFill>
                <a:srgbClr val="000000"/>
              </a:solidFill>
              <a:latin typeface="Arial" panose="020B0604020202020204" pitchFamily="34" charset="0"/>
              <a:ea typeface="ＭＳ Ｐゴシック"/>
              <a:cs typeface="Arial" panose="020B0604020202020204" pitchFamily="34" charset="0"/>
            </a:rPr>
            <a:pPr algn="ctr"/>
            <a:t>220件</a:t>
          </a:fld>
          <a:endParaRPr kumimoji="1" lang="ja-JP" altLang="en-US" sz="2000">
            <a:latin typeface="Arial" panose="020B0604020202020204" pitchFamily="34" charset="0"/>
            <a:cs typeface="Arial" panose="020B0604020202020204" pitchFamily="34" charset="0"/>
          </a:endParaRPr>
        </a:p>
      </xdr:txBody>
    </xdr:sp>
    <xdr:clientData/>
  </xdr:twoCellAnchor>
  <xdr:twoCellAnchor>
    <xdr:from>
      <xdr:col>24</xdr:col>
      <xdr:colOff>27214</xdr:colOff>
      <xdr:row>18</xdr:row>
      <xdr:rowOff>100983</xdr:rowOff>
    </xdr:from>
    <xdr:to>
      <xdr:col>30</xdr:col>
      <xdr:colOff>40821</xdr:colOff>
      <xdr:row>20</xdr:row>
      <xdr:rowOff>73141</xdr:rowOff>
    </xdr:to>
    <xdr:sp macro="" textlink="$BU$11">
      <xdr:nvSpPr>
        <xdr:cNvPr id="46" name="テキスト ボックス 45">
          <a:extLst>
            <a:ext uri="{FF2B5EF4-FFF2-40B4-BE49-F238E27FC236}">
              <a16:creationId xmlns:a16="http://schemas.microsoft.com/office/drawing/2014/main" id="{0D6DAF0C-EEE4-4202-B704-E03BC2F3B27B}"/>
            </a:ext>
          </a:extLst>
        </xdr:cNvPr>
        <xdr:cNvSpPr txBox="1">
          <a:spLocks noChangeAspect="1"/>
        </xdr:cNvSpPr>
      </xdr:nvSpPr>
      <xdr:spPr>
        <a:xfrm>
          <a:off x="4142014" y="3691908"/>
          <a:ext cx="1042307" cy="334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fld id="{F32DD567-7875-4ADF-96BF-BAEA6A9A9F0D}" type="TxLink">
            <a:rPr kumimoji="1" lang="en-US" altLang="en-US" sz="1800" b="0" i="0" u="none" strike="noStrike">
              <a:solidFill>
                <a:srgbClr val="000000"/>
              </a:solidFill>
              <a:latin typeface="Arial" panose="020B0604020202020204" pitchFamily="34" charset="0"/>
              <a:ea typeface="ＭＳ Ｐゴシック"/>
              <a:cs typeface="Arial" panose="020B0604020202020204" pitchFamily="34" charset="0"/>
            </a:rPr>
            <a:pPr algn="ctr"/>
            <a:t>156件</a:t>
          </a:fld>
          <a:endParaRPr kumimoji="1" lang="ja-JP" altLang="en-US" sz="2000">
            <a:latin typeface="Arial" panose="020B0604020202020204" pitchFamily="34" charset="0"/>
            <a:cs typeface="Arial" panose="020B0604020202020204" pitchFamily="34" charset="0"/>
          </a:endParaRPr>
        </a:p>
      </xdr:txBody>
    </xdr:sp>
    <xdr:clientData/>
  </xdr:twoCellAnchor>
  <xdr:twoCellAnchor>
    <xdr:from>
      <xdr:col>12</xdr:col>
      <xdr:colOff>3478</xdr:colOff>
      <xdr:row>33</xdr:row>
      <xdr:rowOff>116264</xdr:rowOff>
    </xdr:from>
    <xdr:to>
      <xdr:col>17</xdr:col>
      <xdr:colOff>108857</xdr:colOff>
      <xdr:row>35</xdr:row>
      <xdr:rowOff>59994</xdr:rowOff>
    </xdr:to>
    <xdr:sp macro="" textlink="$BU$24">
      <xdr:nvSpPr>
        <xdr:cNvPr id="47" name="テキスト ボックス 46">
          <a:extLst>
            <a:ext uri="{FF2B5EF4-FFF2-40B4-BE49-F238E27FC236}">
              <a16:creationId xmlns:a16="http://schemas.microsoft.com/office/drawing/2014/main" id="{9EEEE9D7-1996-433E-B7B2-9E100A4FB2D9}"/>
            </a:ext>
          </a:extLst>
        </xdr:cNvPr>
        <xdr:cNvSpPr txBox="1">
          <a:spLocks noChangeAspect="1"/>
        </xdr:cNvSpPr>
      </xdr:nvSpPr>
      <xdr:spPr>
        <a:xfrm>
          <a:off x="2060878" y="6421814"/>
          <a:ext cx="962629" cy="3056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fld id="{B48E29FF-974F-4BAA-8110-B8D14C31DCDE}" type="TxLink">
            <a:rPr kumimoji="1" lang="en-US" altLang="en-US" sz="1800" b="0" i="0" u="none" strike="noStrike">
              <a:solidFill>
                <a:srgbClr val="000000"/>
              </a:solidFill>
              <a:latin typeface="Arial" panose="020B0604020202020204" pitchFamily="34" charset="0"/>
              <a:ea typeface="ＭＳ Ｐゴシック"/>
              <a:cs typeface="Arial" panose="020B0604020202020204" pitchFamily="34" charset="0"/>
            </a:rPr>
            <a:pPr algn="ctr"/>
            <a:t>185件</a:t>
          </a:fld>
          <a:endParaRPr kumimoji="1" lang="ja-JP" altLang="en-US" sz="2000">
            <a:latin typeface="Arial" panose="020B0604020202020204" pitchFamily="34" charset="0"/>
            <a:cs typeface="Arial" panose="020B0604020202020204" pitchFamily="34" charset="0"/>
          </a:endParaRPr>
        </a:p>
      </xdr:txBody>
    </xdr:sp>
    <xdr:clientData/>
  </xdr:twoCellAnchor>
  <xdr:twoCellAnchor>
    <xdr:from>
      <xdr:col>39</xdr:col>
      <xdr:colOff>14514</xdr:colOff>
      <xdr:row>43</xdr:row>
      <xdr:rowOff>44903</xdr:rowOff>
    </xdr:from>
    <xdr:to>
      <xdr:col>45</xdr:col>
      <xdr:colOff>54427</xdr:colOff>
      <xdr:row>45</xdr:row>
      <xdr:rowOff>24391</xdr:rowOff>
    </xdr:to>
    <xdr:sp macro="" textlink="$BU$25">
      <xdr:nvSpPr>
        <xdr:cNvPr id="48" name="テキスト ボックス 47">
          <a:extLst>
            <a:ext uri="{FF2B5EF4-FFF2-40B4-BE49-F238E27FC236}">
              <a16:creationId xmlns:a16="http://schemas.microsoft.com/office/drawing/2014/main" id="{56C0E0B1-9764-4638-8B67-169EECBE2C01}"/>
            </a:ext>
          </a:extLst>
        </xdr:cNvPr>
        <xdr:cNvSpPr txBox="1">
          <a:spLocks noChangeAspect="1"/>
        </xdr:cNvSpPr>
      </xdr:nvSpPr>
      <xdr:spPr>
        <a:xfrm>
          <a:off x="6701064" y="8160203"/>
          <a:ext cx="1068613" cy="3414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fld id="{6601D4E9-ABE4-4D75-A73D-5DD152B3DABC}" type="TxLink">
            <a:rPr kumimoji="1" lang="en-US" altLang="en-US" sz="1800" b="0" i="0" u="none" strike="noStrike">
              <a:solidFill>
                <a:srgbClr val="000000"/>
              </a:solidFill>
              <a:latin typeface="Arial" panose="020B0604020202020204" pitchFamily="34" charset="0"/>
              <a:ea typeface="ＭＳ Ｐゴシック"/>
              <a:cs typeface="Arial" panose="020B0604020202020204" pitchFamily="34" charset="0"/>
            </a:rPr>
            <a:pPr algn="ctr"/>
            <a:t>97件</a:t>
          </a:fld>
          <a:endParaRPr kumimoji="1" lang="ja-JP" altLang="en-US" sz="2000">
            <a:latin typeface="Arial" panose="020B0604020202020204" pitchFamily="34" charset="0"/>
            <a:cs typeface="Arial" panose="020B0604020202020204" pitchFamily="34" charset="0"/>
          </a:endParaRPr>
        </a:p>
      </xdr:txBody>
    </xdr:sp>
    <xdr:clientData/>
  </xdr:twoCellAnchor>
  <xdr:twoCellAnchor>
    <xdr:from>
      <xdr:col>41</xdr:col>
      <xdr:colOff>105834</xdr:colOff>
      <xdr:row>48</xdr:row>
      <xdr:rowOff>157239</xdr:rowOff>
    </xdr:from>
    <xdr:to>
      <xdr:col>47</xdr:col>
      <xdr:colOff>95250</xdr:colOff>
      <xdr:row>50</xdr:row>
      <xdr:rowOff>119281</xdr:rowOff>
    </xdr:to>
    <xdr:sp macro="" textlink="$BU$12">
      <xdr:nvSpPr>
        <xdr:cNvPr id="49" name="テキスト ボックス 48">
          <a:extLst>
            <a:ext uri="{FF2B5EF4-FFF2-40B4-BE49-F238E27FC236}">
              <a16:creationId xmlns:a16="http://schemas.microsoft.com/office/drawing/2014/main" id="{5A8883B8-D312-408C-9209-ECB398F93A11}"/>
            </a:ext>
          </a:extLst>
        </xdr:cNvPr>
        <xdr:cNvSpPr txBox="1">
          <a:spLocks noChangeAspect="1"/>
        </xdr:cNvSpPr>
      </xdr:nvSpPr>
      <xdr:spPr>
        <a:xfrm>
          <a:off x="7135284" y="9177414"/>
          <a:ext cx="1018116" cy="3239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fld id="{3DDEF81D-5B94-4331-9601-98E7A2AF7FA1}" type="TxLink">
            <a:rPr kumimoji="1" lang="en-US" altLang="en-US" sz="1800" b="0" i="0" u="none" strike="noStrike">
              <a:solidFill>
                <a:srgbClr val="000000"/>
              </a:solidFill>
              <a:latin typeface="Arial" panose="020B0604020202020204" pitchFamily="34" charset="0"/>
              <a:ea typeface="ＭＳ Ｐゴシック"/>
              <a:cs typeface="Arial" panose="020B0604020202020204" pitchFamily="34" charset="0"/>
            </a:rPr>
            <a:pPr algn="ctr"/>
            <a:t>279件</a:t>
          </a:fld>
          <a:endParaRPr kumimoji="1" lang="ja-JP" altLang="en-US" sz="2000">
            <a:latin typeface="Arial" panose="020B0604020202020204" pitchFamily="34" charset="0"/>
            <a:cs typeface="Arial" panose="020B0604020202020204" pitchFamily="34" charset="0"/>
          </a:endParaRPr>
        </a:p>
      </xdr:txBody>
    </xdr:sp>
    <xdr:clientData/>
  </xdr:twoCellAnchor>
  <xdr:twoCellAnchor>
    <xdr:from>
      <xdr:col>45</xdr:col>
      <xdr:colOff>21771</xdr:colOff>
      <xdr:row>82</xdr:row>
      <xdr:rowOff>55789</xdr:rowOff>
    </xdr:from>
    <xdr:to>
      <xdr:col>51</xdr:col>
      <xdr:colOff>32176</xdr:colOff>
      <xdr:row>84</xdr:row>
      <xdr:rowOff>27213</xdr:rowOff>
    </xdr:to>
    <xdr:sp macro="" textlink="$BU$18">
      <xdr:nvSpPr>
        <xdr:cNvPr id="50" name="テキスト ボックス 49">
          <a:extLst>
            <a:ext uri="{FF2B5EF4-FFF2-40B4-BE49-F238E27FC236}">
              <a16:creationId xmlns:a16="http://schemas.microsoft.com/office/drawing/2014/main" id="{F2B3EA43-8D34-4012-9442-EA9202E79FE8}"/>
            </a:ext>
          </a:extLst>
        </xdr:cNvPr>
        <xdr:cNvSpPr txBox="1">
          <a:spLocks noChangeAspect="1"/>
        </xdr:cNvSpPr>
      </xdr:nvSpPr>
      <xdr:spPr>
        <a:xfrm>
          <a:off x="7737021" y="15229114"/>
          <a:ext cx="1039105" cy="333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fld id="{323371C5-D2E2-4C6A-8E07-B415E8C48F59}" type="TxLink">
            <a:rPr kumimoji="1" lang="en-US" altLang="en-US" sz="1800" b="0" i="0" u="none" strike="noStrike">
              <a:solidFill>
                <a:srgbClr val="000000"/>
              </a:solidFill>
              <a:latin typeface="Arial" panose="020B0604020202020204" pitchFamily="34" charset="0"/>
              <a:ea typeface="ＭＳ Ｐゴシック"/>
              <a:cs typeface="Arial" panose="020B0604020202020204" pitchFamily="34" charset="0"/>
            </a:rPr>
            <a:pPr algn="ctr"/>
            <a:t>324件</a:t>
          </a:fld>
          <a:endParaRPr kumimoji="1" lang="ja-JP" altLang="en-US" sz="2000">
            <a:latin typeface="Arial" panose="020B0604020202020204" pitchFamily="34" charset="0"/>
            <a:cs typeface="Arial" panose="020B0604020202020204" pitchFamily="34" charset="0"/>
          </a:endParaRPr>
        </a:p>
      </xdr:txBody>
    </xdr:sp>
    <xdr:clientData/>
  </xdr:twoCellAnchor>
  <xdr:twoCellAnchor>
    <xdr:from>
      <xdr:col>38</xdr:col>
      <xdr:colOff>100843</xdr:colOff>
      <xdr:row>74</xdr:row>
      <xdr:rowOff>72621</xdr:rowOff>
    </xdr:from>
    <xdr:to>
      <xdr:col>44</xdr:col>
      <xdr:colOff>122464</xdr:colOff>
      <xdr:row>76</xdr:row>
      <xdr:rowOff>45206</xdr:rowOff>
    </xdr:to>
    <xdr:sp macro="" textlink="$BU$21">
      <xdr:nvSpPr>
        <xdr:cNvPr id="51" name="テキスト ボックス 50">
          <a:extLst>
            <a:ext uri="{FF2B5EF4-FFF2-40B4-BE49-F238E27FC236}">
              <a16:creationId xmlns:a16="http://schemas.microsoft.com/office/drawing/2014/main" id="{03663613-9BB2-4766-A693-D5A18DB32691}"/>
            </a:ext>
          </a:extLst>
        </xdr:cNvPr>
        <xdr:cNvSpPr txBox="1">
          <a:spLocks noChangeAspect="1"/>
        </xdr:cNvSpPr>
      </xdr:nvSpPr>
      <xdr:spPr>
        <a:xfrm>
          <a:off x="6615943" y="13798146"/>
          <a:ext cx="1050321" cy="334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fld id="{BEDC0977-8E26-41AD-AF44-97FD354269CA}" type="TxLink">
            <a:rPr kumimoji="1" lang="en-US" altLang="en-US" sz="1800" b="0" i="0" u="none" strike="noStrike">
              <a:solidFill>
                <a:srgbClr val="000000"/>
              </a:solidFill>
              <a:latin typeface="Arial" panose="020B0604020202020204" pitchFamily="34" charset="0"/>
              <a:ea typeface="ＭＳ Ｐゴシック"/>
              <a:cs typeface="Arial" panose="020B0604020202020204" pitchFamily="34" charset="0"/>
            </a:rPr>
            <a:pPr algn="ctr"/>
            <a:t>142件</a:t>
          </a:fld>
          <a:endParaRPr kumimoji="1" lang="ja-JP" altLang="en-US" sz="2000">
            <a:latin typeface="Arial" panose="020B0604020202020204" pitchFamily="34" charset="0"/>
            <a:cs typeface="Arial" panose="020B0604020202020204" pitchFamily="34" charset="0"/>
          </a:endParaRPr>
        </a:p>
      </xdr:txBody>
    </xdr:sp>
    <xdr:clientData/>
  </xdr:twoCellAnchor>
  <xdr:twoCellAnchor>
    <xdr:from>
      <xdr:col>34</xdr:col>
      <xdr:colOff>40821</xdr:colOff>
      <xdr:row>76</xdr:row>
      <xdr:rowOff>150531</xdr:rowOff>
    </xdr:from>
    <xdr:to>
      <xdr:col>40</xdr:col>
      <xdr:colOff>81792</xdr:colOff>
      <xdr:row>78</xdr:row>
      <xdr:rowOff>122464</xdr:rowOff>
    </xdr:to>
    <xdr:sp macro="" textlink="$BU$20">
      <xdr:nvSpPr>
        <xdr:cNvPr id="52" name="テキスト ボックス 51">
          <a:extLst>
            <a:ext uri="{FF2B5EF4-FFF2-40B4-BE49-F238E27FC236}">
              <a16:creationId xmlns:a16="http://schemas.microsoft.com/office/drawing/2014/main" id="{77FD9906-1B6D-46CD-A295-81A13FD57598}"/>
            </a:ext>
          </a:extLst>
        </xdr:cNvPr>
        <xdr:cNvSpPr txBox="1">
          <a:spLocks noChangeAspect="1"/>
        </xdr:cNvSpPr>
      </xdr:nvSpPr>
      <xdr:spPr>
        <a:xfrm>
          <a:off x="5870121" y="14238006"/>
          <a:ext cx="1069671" cy="3338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fld id="{1D04C7C0-FB41-478B-918A-1D3728BC20FB}" type="TxLink">
            <a:rPr kumimoji="1" lang="en-US" altLang="en-US" sz="1800" b="0" i="0" u="none" strike="noStrike">
              <a:solidFill>
                <a:srgbClr val="000000"/>
              </a:solidFill>
              <a:latin typeface="Arial" panose="020B0604020202020204" pitchFamily="34" charset="0"/>
              <a:ea typeface="ＭＳ Ｐゴシック"/>
              <a:cs typeface="Arial" panose="020B0604020202020204" pitchFamily="34" charset="0"/>
            </a:rPr>
            <a:pPr algn="ctr"/>
            <a:t>235件</a:t>
          </a:fld>
          <a:endParaRPr kumimoji="1" lang="ja-JP" altLang="en-US" sz="2000">
            <a:latin typeface="Arial" panose="020B0604020202020204" pitchFamily="34" charset="0"/>
            <a:cs typeface="Arial" panose="020B0604020202020204" pitchFamily="34" charset="0"/>
          </a:endParaRPr>
        </a:p>
      </xdr:txBody>
    </xdr:sp>
    <xdr:clientData/>
  </xdr:twoCellAnchor>
  <xdr:twoCellAnchor>
    <xdr:from>
      <xdr:col>25</xdr:col>
      <xdr:colOff>81642</xdr:colOff>
      <xdr:row>70</xdr:row>
      <xdr:rowOff>166006</xdr:rowOff>
    </xdr:from>
    <xdr:to>
      <xdr:col>33</xdr:col>
      <xdr:colOff>60953</xdr:colOff>
      <xdr:row>73</xdr:row>
      <xdr:rowOff>68035</xdr:rowOff>
    </xdr:to>
    <xdr:sp macro="" textlink="$BU$13">
      <xdr:nvSpPr>
        <xdr:cNvPr id="53" name="テキスト ボックス 52">
          <a:extLst>
            <a:ext uri="{FF2B5EF4-FFF2-40B4-BE49-F238E27FC236}">
              <a16:creationId xmlns:a16="http://schemas.microsoft.com/office/drawing/2014/main" id="{9B15311C-3CE2-4E78-A119-D74BA8077D4D}"/>
            </a:ext>
          </a:extLst>
        </xdr:cNvPr>
        <xdr:cNvSpPr txBox="1">
          <a:spLocks noChangeAspect="1"/>
        </xdr:cNvSpPr>
      </xdr:nvSpPr>
      <xdr:spPr>
        <a:xfrm>
          <a:off x="4367892" y="13167631"/>
          <a:ext cx="1350911" cy="444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fld id="{00BC8A77-566F-4D2B-AF01-DEE9619152B4}" type="TxLink">
            <a:rPr kumimoji="1" lang="en-US" altLang="en-US" sz="1800" b="0" i="0" u="none" strike="noStrike">
              <a:solidFill>
                <a:srgbClr val="000000"/>
              </a:solidFill>
              <a:latin typeface="Arial" panose="020B0604020202020204" pitchFamily="34" charset="0"/>
              <a:ea typeface="Microsoft Yi Baiti" panose="03000500000000000000" pitchFamily="66" charset="0"/>
              <a:cs typeface="Arial" panose="020B0604020202020204" pitchFamily="34" charset="0"/>
            </a:rPr>
            <a:pPr algn="ctr"/>
            <a:t>96件</a:t>
          </a:fld>
          <a:endParaRPr kumimoji="1" lang="ja-JP" altLang="en-US" sz="2000">
            <a:latin typeface="Arial" panose="020B0604020202020204" pitchFamily="34" charset="0"/>
            <a:cs typeface="Arial" panose="020B0604020202020204" pitchFamily="34" charset="0"/>
          </a:endParaRPr>
        </a:p>
      </xdr:txBody>
    </xdr:sp>
    <xdr:clientData/>
  </xdr:twoCellAnchor>
  <xdr:twoCellAnchor>
    <xdr:from>
      <xdr:col>17</xdr:col>
      <xdr:colOff>42181</xdr:colOff>
      <xdr:row>83</xdr:row>
      <xdr:rowOff>10886</xdr:rowOff>
    </xdr:from>
    <xdr:to>
      <xdr:col>22</xdr:col>
      <xdr:colOff>160086</xdr:colOff>
      <xdr:row>84</xdr:row>
      <xdr:rowOff>136072</xdr:rowOff>
    </xdr:to>
    <xdr:sp macro="" textlink="$BU$22">
      <xdr:nvSpPr>
        <xdr:cNvPr id="54" name="テキスト ボックス 53">
          <a:extLst>
            <a:ext uri="{FF2B5EF4-FFF2-40B4-BE49-F238E27FC236}">
              <a16:creationId xmlns:a16="http://schemas.microsoft.com/office/drawing/2014/main" id="{DCB9D16B-8CC0-4D4B-8928-17589FC26018}"/>
            </a:ext>
          </a:extLst>
        </xdr:cNvPr>
        <xdr:cNvSpPr txBox="1">
          <a:spLocks noChangeAspect="1"/>
        </xdr:cNvSpPr>
      </xdr:nvSpPr>
      <xdr:spPr>
        <a:xfrm>
          <a:off x="2956831" y="15365186"/>
          <a:ext cx="975155" cy="3061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fld id="{AF1904D9-3B49-4D09-9445-0CECCB63212E}" type="TxLink">
            <a:rPr kumimoji="1" lang="en-US" altLang="en-US" sz="1800" b="0" i="0" u="none" strike="noStrike">
              <a:solidFill>
                <a:srgbClr val="000000"/>
              </a:solidFill>
              <a:latin typeface="Arial" panose="020B0604020202020204" pitchFamily="34" charset="0"/>
              <a:ea typeface="ＭＳ Ｐゴシック"/>
              <a:cs typeface="Arial" panose="020B0604020202020204" pitchFamily="34" charset="0"/>
            </a:rPr>
            <a:pPr algn="ctr"/>
            <a:t>159件</a:t>
          </a:fld>
          <a:endParaRPr kumimoji="1" lang="ja-JP" altLang="en-US" sz="2000">
            <a:latin typeface="Arial" panose="020B0604020202020204" pitchFamily="34" charset="0"/>
            <a:cs typeface="Arial" panose="020B0604020202020204" pitchFamily="34" charset="0"/>
          </a:endParaRPr>
        </a:p>
      </xdr:txBody>
    </xdr:sp>
    <xdr:clientData/>
  </xdr:twoCellAnchor>
  <xdr:twoCellAnchor>
    <xdr:from>
      <xdr:col>24</xdr:col>
      <xdr:colOff>176891</xdr:colOff>
      <xdr:row>6</xdr:row>
      <xdr:rowOff>36285</xdr:rowOff>
    </xdr:from>
    <xdr:to>
      <xdr:col>31</xdr:col>
      <xdr:colOff>27214</xdr:colOff>
      <xdr:row>8</xdr:row>
      <xdr:rowOff>9687</xdr:rowOff>
    </xdr:to>
    <xdr:sp macro="" textlink="$BU$17">
      <xdr:nvSpPr>
        <xdr:cNvPr id="55" name="テキスト ボックス 54">
          <a:extLst>
            <a:ext uri="{FF2B5EF4-FFF2-40B4-BE49-F238E27FC236}">
              <a16:creationId xmlns:a16="http://schemas.microsoft.com/office/drawing/2014/main" id="{CD0DDD01-9D12-4C0D-B194-E857A0B8EAFA}"/>
            </a:ext>
          </a:extLst>
        </xdr:cNvPr>
        <xdr:cNvSpPr txBox="1">
          <a:spLocks noChangeAspect="1"/>
        </xdr:cNvSpPr>
      </xdr:nvSpPr>
      <xdr:spPr>
        <a:xfrm>
          <a:off x="4282166" y="1455510"/>
          <a:ext cx="1059998" cy="3353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fld id="{86185BC6-488C-4196-8F1D-4BFFCC01E7ED}" type="TxLink">
            <a:rPr kumimoji="1" lang="en-US" altLang="en-US" sz="1800" b="0" i="0" u="none" strike="noStrike">
              <a:solidFill>
                <a:srgbClr val="000000"/>
              </a:solidFill>
              <a:latin typeface="Arial" panose="020B0604020202020204" pitchFamily="34" charset="0"/>
              <a:ea typeface="ＭＳ Ｐゴシック"/>
              <a:cs typeface="Arial" panose="020B0604020202020204" pitchFamily="34" charset="0"/>
            </a:rPr>
            <a:pPr algn="ctr"/>
            <a:t>146件</a:t>
          </a:fld>
          <a:endParaRPr kumimoji="1" lang="ja-JP" altLang="en-US" sz="2000">
            <a:latin typeface="Arial" panose="020B0604020202020204" pitchFamily="34" charset="0"/>
            <a:cs typeface="Arial" panose="020B0604020202020204" pitchFamily="34" charset="0"/>
          </a:endParaRPr>
        </a:p>
      </xdr:txBody>
    </xdr:sp>
    <xdr:clientData/>
  </xdr:twoCellAnchor>
  <xdr:twoCellAnchor>
    <xdr:from>
      <xdr:col>11</xdr:col>
      <xdr:colOff>458</xdr:colOff>
      <xdr:row>9</xdr:row>
      <xdr:rowOff>25853</xdr:rowOff>
    </xdr:from>
    <xdr:to>
      <xdr:col>17</xdr:col>
      <xdr:colOff>39761</xdr:colOff>
      <xdr:row>11</xdr:row>
      <xdr:rowOff>13606</xdr:rowOff>
    </xdr:to>
    <xdr:sp macro="" textlink="$BU$23">
      <xdr:nvSpPr>
        <xdr:cNvPr id="56" name="テキスト ボックス 55">
          <a:extLst>
            <a:ext uri="{FF2B5EF4-FFF2-40B4-BE49-F238E27FC236}">
              <a16:creationId xmlns:a16="http://schemas.microsoft.com/office/drawing/2014/main" id="{09422A7D-8797-42C4-9A49-9D47CE06A6F1}"/>
            </a:ext>
          </a:extLst>
        </xdr:cNvPr>
        <xdr:cNvSpPr txBox="1">
          <a:spLocks noChangeAspect="1"/>
        </xdr:cNvSpPr>
      </xdr:nvSpPr>
      <xdr:spPr>
        <a:xfrm>
          <a:off x="1886408" y="1988003"/>
          <a:ext cx="1068003" cy="3497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fld id="{165F1B7F-42DE-426A-B236-8A4762DB54DD}" type="TxLink">
            <a:rPr kumimoji="1" lang="en-US" altLang="en-US" sz="1800" b="0" i="0" u="none" strike="noStrike">
              <a:solidFill>
                <a:srgbClr val="000000"/>
              </a:solidFill>
              <a:latin typeface="Arial" panose="020B0604020202020204" pitchFamily="34" charset="0"/>
              <a:ea typeface="ＭＳ Ｐゴシック"/>
              <a:cs typeface="Arial" panose="020B0604020202020204" pitchFamily="34" charset="0"/>
            </a:rPr>
            <a:pPr algn="ctr"/>
            <a:t>141件</a:t>
          </a:fld>
          <a:endParaRPr kumimoji="1" lang="ja-JP" altLang="en-US" sz="2000">
            <a:latin typeface="Arial" panose="020B0604020202020204" pitchFamily="34" charset="0"/>
            <a:cs typeface="Arial" panose="020B0604020202020204" pitchFamily="34" charset="0"/>
          </a:endParaRPr>
        </a:p>
      </xdr:txBody>
    </xdr:sp>
    <xdr:clientData/>
  </xdr:twoCellAnchor>
  <xdr:twoCellAnchor>
    <xdr:from>
      <xdr:col>6</xdr:col>
      <xdr:colOff>116731</xdr:colOff>
      <xdr:row>18</xdr:row>
      <xdr:rowOff>6026</xdr:rowOff>
    </xdr:from>
    <xdr:to>
      <xdr:col>7</xdr:col>
      <xdr:colOff>117198</xdr:colOff>
      <xdr:row>43</xdr:row>
      <xdr:rowOff>136659</xdr:rowOff>
    </xdr:to>
    <xdr:sp macro="" textlink="">
      <xdr:nvSpPr>
        <xdr:cNvPr id="57" name="角丸四角形 56">
          <a:extLst>
            <a:ext uri="{FF2B5EF4-FFF2-40B4-BE49-F238E27FC236}">
              <a16:creationId xmlns:a16="http://schemas.microsoft.com/office/drawing/2014/main" id="{EB101983-48C2-4333-A894-19F294D0AEE8}"/>
            </a:ext>
          </a:extLst>
        </xdr:cNvPr>
        <xdr:cNvSpPr>
          <a:spLocks noChangeAspect="1"/>
        </xdr:cNvSpPr>
      </xdr:nvSpPr>
      <xdr:spPr>
        <a:xfrm rot="20078463" flipH="1">
          <a:off x="1145431" y="3596951"/>
          <a:ext cx="171917" cy="4655008"/>
        </a:xfrm>
        <a:prstGeom prst="round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xdr:col>
      <xdr:colOff>0</xdr:colOff>
      <xdr:row>16</xdr:row>
      <xdr:rowOff>104775</xdr:rowOff>
    </xdr:from>
    <xdr:to>
      <xdr:col>8</xdr:col>
      <xdr:colOff>81643</xdr:colOff>
      <xdr:row>18</xdr:row>
      <xdr:rowOff>118697</xdr:rowOff>
    </xdr:to>
    <xdr:sp macro="" textlink="">
      <xdr:nvSpPr>
        <xdr:cNvPr id="58" name="テキスト ボックス 57">
          <a:extLst>
            <a:ext uri="{FF2B5EF4-FFF2-40B4-BE49-F238E27FC236}">
              <a16:creationId xmlns:a16="http://schemas.microsoft.com/office/drawing/2014/main" id="{0BDEDF83-23CC-44A4-A7DE-4410FCD6C6FE}"/>
            </a:ext>
          </a:extLst>
        </xdr:cNvPr>
        <xdr:cNvSpPr txBox="1">
          <a:spLocks noChangeAspect="1"/>
        </xdr:cNvSpPr>
      </xdr:nvSpPr>
      <xdr:spPr>
        <a:xfrm>
          <a:off x="342900" y="3333750"/>
          <a:ext cx="1110343" cy="37587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b="1">
              <a:solidFill>
                <a:schemeClr val="dk1"/>
              </a:solidFill>
              <a:latin typeface="Meiryo UI" panose="020B0604030504040204" pitchFamily="50" charset="-128"/>
              <a:ea typeface="Meiryo UI" panose="020B0604030504040204" pitchFamily="50" charset="-128"/>
              <a:cs typeface="+mn-cs"/>
            </a:rPr>
            <a:t>４３号</a:t>
          </a:r>
          <a:r>
            <a:rPr kumimoji="1" lang="ja-JP" altLang="ja-JP" sz="1400" b="1">
              <a:solidFill>
                <a:schemeClr val="dk1"/>
              </a:solidFill>
              <a:latin typeface="Meiryo UI" panose="020B0604030504040204" pitchFamily="50" charset="-128"/>
              <a:ea typeface="Meiryo UI" panose="020B0604030504040204" pitchFamily="50" charset="-128"/>
              <a:cs typeface="+mn-cs"/>
            </a:rPr>
            <a:t>線</a:t>
          </a:r>
          <a:endParaRPr lang="ja-JP" altLang="ja-JP" sz="1400" b="1">
            <a:latin typeface="Meiryo UI" panose="020B0604030504040204" pitchFamily="50" charset="-128"/>
            <a:ea typeface="Meiryo UI" panose="020B0604030504040204" pitchFamily="50" charset="-128"/>
          </a:endParaRPr>
        </a:p>
      </xdr:txBody>
    </xdr:sp>
    <xdr:clientData/>
  </xdr:twoCellAnchor>
  <xdr:twoCellAnchor>
    <xdr:from>
      <xdr:col>2</xdr:col>
      <xdr:colOff>78619</xdr:colOff>
      <xdr:row>18</xdr:row>
      <xdr:rowOff>81642</xdr:rowOff>
    </xdr:from>
    <xdr:to>
      <xdr:col>8</xdr:col>
      <xdr:colOff>68035</xdr:colOff>
      <xdr:row>20</xdr:row>
      <xdr:rowOff>43683</xdr:rowOff>
    </xdr:to>
    <xdr:sp macro="" textlink="$BU$14">
      <xdr:nvSpPr>
        <xdr:cNvPr id="59" name="テキスト ボックス 58">
          <a:extLst>
            <a:ext uri="{FF2B5EF4-FFF2-40B4-BE49-F238E27FC236}">
              <a16:creationId xmlns:a16="http://schemas.microsoft.com/office/drawing/2014/main" id="{313B6B02-A14A-42C5-9930-10A86FFAF2E9}"/>
            </a:ext>
          </a:extLst>
        </xdr:cNvPr>
        <xdr:cNvSpPr txBox="1">
          <a:spLocks noChangeAspect="1"/>
        </xdr:cNvSpPr>
      </xdr:nvSpPr>
      <xdr:spPr>
        <a:xfrm>
          <a:off x="421519" y="3672567"/>
          <a:ext cx="1018116" cy="3239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fld id="{2144607C-CEA8-4CA9-9494-7451B493484C}" type="TxLink">
            <a:rPr kumimoji="1" lang="en-US" altLang="en-US" sz="1800" b="0" i="0" u="none" strike="noStrike">
              <a:solidFill>
                <a:srgbClr val="000000"/>
              </a:solidFill>
              <a:latin typeface="Arial" panose="020B0604020202020204" pitchFamily="34" charset="0"/>
              <a:ea typeface="ＭＳ Ｐゴシック"/>
              <a:cs typeface="Arial" panose="020B0604020202020204" pitchFamily="34" charset="0"/>
            </a:rPr>
            <a:pPr algn="ctr"/>
            <a:t>118件</a:t>
          </a:fld>
          <a:endParaRPr kumimoji="1" lang="ja-JP" altLang="en-US" sz="2000" b="0">
            <a:latin typeface="Arial" panose="020B0604020202020204" pitchFamily="34" charset="0"/>
            <a:cs typeface="Arial" panose="020B0604020202020204" pitchFamily="34" charset="0"/>
          </a:endParaRPr>
        </a:p>
      </xdr:txBody>
    </xdr:sp>
    <xdr:clientData/>
  </xdr:twoCellAnchor>
  <xdr:twoCellAnchor>
    <xdr:from>
      <xdr:col>10</xdr:col>
      <xdr:colOff>13161</xdr:colOff>
      <xdr:row>51</xdr:row>
      <xdr:rowOff>58488</xdr:rowOff>
    </xdr:from>
    <xdr:to>
      <xdr:col>52</xdr:col>
      <xdr:colOff>72018</xdr:colOff>
      <xdr:row>52</xdr:row>
      <xdr:rowOff>104225</xdr:rowOff>
    </xdr:to>
    <xdr:sp macro="" textlink="">
      <xdr:nvSpPr>
        <xdr:cNvPr id="60" name="角丸四角形 59">
          <a:extLst>
            <a:ext uri="{FF2B5EF4-FFF2-40B4-BE49-F238E27FC236}">
              <a16:creationId xmlns:a16="http://schemas.microsoft.com/office/drawing/2014/main" id="{368C9FE2-6099-415F-A96B-43E38F36573B}"/>
            </a:ext>
          </a:extLst>
        </xdr:cNvPr>
        <xdr:cNvSpPr>
          <a:spLocks noChangeAspect="1"/>
        </xdr:cNvSpPr>
      </xdr:nvSpPr>
      <xdr:spPr>
        <a:xfrm rot="7030523" flipH="1">
          <a:off x="5244184" y="6105065"/>
          <a:ext cx="226712" cy="7259757"/>
        </a:xfrm>
        <a:prstGeom prst="roundRect">
          <a:avLst>
            <a:gd name="adj" fmla="val 50000"/>
          </a:avLst>
        </a:prstGeom>
        <a:ln>
          <a:noFill/>
        </a:ln>
        <a:scene3d>
          <a:camera prst="orthographicFront">
            <a:rot lat="0" lon="0" rev="0"/>
          </a:camera>
          <a:lightRig rig="threePt" dir="t"/>
        </a:scene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23</xdr:col>
      <xdr:colOff>148914</xdr:colOff>
      <xdr:row>6</xdr:row>
      <xdr:rowOff>50893</xdr:rowOff>
    </xdr:from>
    <xdr:to>
      <xdr:col>24</xdr:col>
      <xdr:colOff>150680</xdr:colOff>
      <xdr:row>16</xdr:row>
      <xdr:rowOff>90603</xdr:rowOff>
    </xdr:to>
    <xdr:sp macro="" textlink="">
      <xdr:nvSpPr>
        <xdr:cNvPr id="61" name="角丸四角形 60">
          <a:extLst>
            <a:ext uri="{FF2B5EF4-FFF2-40B4-BE49-F238E27FC236}">
              <a16:creationId xmlns:a16="http://schemas.microsoft.com/office/drawing/2014/main" id="{4913C922-9D52-4621-BAD2-80A443BE5F15}"/>
            </a:ext>
          </a:extLst>
        </xdr:cNvPr>
        <xdr:cNvSpPr>
          <a:spLocks noChangeAspect="1"/>
        </xdr:cNvSpPr>
      </xdr:nvSpPr>
      <xdr:spPr>
        <a:xfrm rot="456605">
          <a:off x="4092264" y="1470118"/>
          <a:ext cx="173216" cy="1849460"/>
        </a:xfrm>
        <a:prstGeom prst="round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22</xdr:col>
      <xdr:colOff>114300</xdr:colOff>
      <xdr:row>4</xdr:row>
      <xdr:rowOff>38100</xdr:rowOff>
    </xdr:from>
    <xdr:to>
      <xdr:col>27</xdr:col>
      <xdr:colOff>42332</xdr:colOff>
      <xdr:row>5</xdr:row>
      <xdr:rowOff>164043</xdr:rowOff>
    </xdr:to>
    <xdr:sp macro="" textlink="">
      <xdr:nvSpPr>
        <xdr:cNvPr id="62" name="テキスト ボックス 61">
          <a:extLst>
            <a:ext uri="{FF2B5EF4-FFF2-40B4-BE49-F238E27FC236}">
              <a16:creationId xmlns:a16="http://schemas.microsoft.com/office/drawing/2014/main" id="{ABE26A94-A61B-4589-9C1F-BE9BDA1EBAEC}"/>
            </a:ext>
          </a:extLst>
        </xdr:cNvPr>
        <xdr:cNvSpPr txBox="1">
          <a:spLocks noChangeAspect="1"/>
        </xdr:cNvSpPr>
      </xdr:nvSpPr>
      <xdr:spPr>
        <a:xfrm>
          <a:off x="3886200" y="1095375"/>
          <a:ext cx="785282" cy="3069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lIns="0" rIns="0" rtlCol="0" anchor="ctr"/>
        <a:lstStyle/>
        <a:p>
          <a:pPr algn="ctr"/>
          <a:r>
            <a:rPr kumimoji="1" lang="en-US" altLang="ja-JP" sz="1400" b="1">
              <a:solidFill>
                <a:schemeClr val="dk1"/>
              </a:solidFill>
              <a:latin typeface="Meiryo UI" panose="020B0604030504040204" pitchFamily="50" charset="-128"/>
              <a:ea typeface="Meiryo UI" panose="020B0604030504040204" pitchFamily="50" charset="-128"/>
              <a:cs typeface="+mn-cs"/>
            </a:rPr>
            <a:t>176</a:t>
          </a:r>
          <a:r>
            <a:rPr kumimoji="1" lang="ja-JP" altLang="en-US" sz="1400" b="1">
              <a:solidFill>
                <a:schemeClr val="dk1"/>
              </a:solidFill>
              <a:latin typeface="Meiryo UI" panose="020B0604030504040204" pitchFamily="50" charset="-128"/>
              <a:ea typeface="Meiryo UI" panose="020B0604030504040204" pitchFamily="50" charset="-128"/>
              <a:cs typeface="+mn-cs"/>
            </a:rPr>
            <a:t>号</a:t>
          </a:r>
          <a:r>
            <a:rPr kumimoji="1" lang="ja-JP" altLang="ja-JP" sz="1400" b="1">
              <a:solidFill>
                <a:schemeClr val="dk1"/>
              </a:solidFill>
              <a:latin typeface="Meiryo UI" panose="020B0604030504040204" pitchFamily="50" charset="-128"/>
              <a:ea typeface="Meiryo UI" panose="020B0604030504040204" pitchFamily="50" charset="-128"/>
              <a:cs typeface="+mn-cs"/>
            </a:rPr>
            <a:t>線</a:t>
          </a:r>
          <a:endParaRPr lang="ja-JP" altLang="ja-JP" sz="1400" b="1">
            <a:latin typeface="Meiryo UI" panose="020B0604030504040204" pitchFamily="50" charset="-128"/>
            <a:ea typeface="Meiryo UI" panose="020B0604030504040204" pitchFamily="50" charset="-128"/>
          </a:endParaRPr>
        </a:p>
      </xdr:txBody>
    </xdr:sp>
    <xdr:clientData/>
  </xdr:twoCellAnchor>
  <xdr:twoCellAnchor>
    <xdr:from>
      <xdr:col>18</xdr:col>
      <xdr:colOff>136072</xdr:colOff>
      <xdr:row>5</xdr:row>
      <xdr:rowOff>163285</xdr:rowOff>
    </xdr:from>
    <xdr:to>
      <xdr:col>25</xdr:col>
      <xdr:colOff>63761</xdr:colOff>
      <xdr:row>7</xdr:row>
      <xdr:rowOff>163285</xdr:rowOff>
    </xdr:to>
    <xdr:sp macro="" textlink="$BU$15">
      <xdr:nvSpPr>
        <xdr:cNvPr id="63" name="テキスト ボックス 62">
          <a:extLst>
            <a:ext uri="{FF2B5EF4-FFF2-40B4-BE49-F238E27FC236}">
              <a16:creationId xmlns:a16="http://schemas.microsoft.com/office/drawing/2014/main" id="{98F4BEE0-868F-40D8-8B21-FA15575B59AD}"/>
            </a:ext>
          </a:extLst>
        </xdr:cNvPr>
        <xdr:cNvSpPr txBox="1">
          <a:spLocks noChangeAspect="1"/>
        </xdr:cNvSpPr>
      </xdr:nvSpPr>
      <xdr:spPr>
        <a:xfrm>
          <a:off x="3222172" y="1401535"/>
          <a:ext cx="1127839" cy="361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fld id="{3170A76F-C265-46B6-BCFD-03283CB79729}" type="TxLink">
            <a:rPr kumimoji="1" lang="en-US" altLang="en-US" sz="1800" b="0" i="0" u="none" strike="noStrike">
              <a:solidFill>
                <a:srgbClr val="000000"/>
              </a:solidFill>
              <a:latin typeface="Arial" panose="020B0604020202020204" pitchFamily="34" charset="0"/>
              <a:ea typeface="ＭＳ Ｐゴシック"/>
              <a:cs typeface="Arial" panose="020B0604020202020204" pitchFamily="34" charset="0"/>
            </a:rPr>
            <a:pPr algn="ctr"/>
            <a:t>101件</a:t>
          </a:fld>
          <a:endParaRPr kumimoji="1" lang="ja-JP" altLang="en-US" sz="2000">
            <a:latin typeface="Arial" panose="020B0604020202020204" pitchFamily="34" charset="0"/>
            <a:cs typeface="Arial" panose="020B0604020202020204" pitchFamily="34" charset="0"/>
          </a:endParaRPr>
        </a:p>
      </xdr:txBody>
    </xdr:sp>
    <xdr:clientData/>
  </xdr:twoCellAnchor>
  <xdr:twoCellAnchor>
    <xdr:from>
      <xdr:col>51</xdr:col>
      <xdr:colOff>19945</xdr:colOff>
      <xdr:row>32</xdr:row>
      <xdr:rowOff>551</xdr:rowOff>
    </xdr:from>
    <xdr:to>
      <xdr:col>57</xdr:col>
      <xdr:colOff>3024</xdr:colOff>
      <xdr:row>33</xdr:row>
      <xdr:rowOff>140607</xdr:rowOff>
    </xdr:to>
    <xdr:sp macro="" textlink="$BU$16">
      <xdr:nvSpPr>
        <xdr:cNvPr id="64" name="テキスト ボックス 63">
          <a:extLst>
            <a:ext uri="{FF2B5EF4-FFF2-40B4-BE49-F238E27FC236}">
              <a16:creationId xmlns:a16="http://schemas.microsoft.com/office/drawing/2014/main" id="{F3B4DAF0-1AB8-4461-8366-F9A0EB0D5C38}"/>
            </a:ext>
          </a:extLst>
        </xdr:cNvPr>
        <xdr:cNvSpPr txBox="1">
          <a:spLocks noChangeAspect="1"/>
        </xdr:cNvSpPr>
      </xdr:nvSpPr>
      <xdr:spPr>
        <a:xfrm>
          <a:off x="8655945" y="6096551"/>
          <a:ext cx="999079" cy="319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fld id="{0AFB0DBC-64DD-4F3D-8408-391C575E634D}" type="TxLink">
            <a:rPr kumimoji="1" lang="en-US" altLang="en-US" sz="1800" b="0" i="0" u="none" strike="noStrike">
              <a:solidFill>
                <a:srgbClr val="000000"/>
              </a:solidFill>
              <a:latin typeface="Arial" panose="020B0604020202020204" pitchFamily="34" charset="0"/>
              <a:ea typeface="ＭＳ Ｐゴシック"/>
              <a:cs typeface="Arial" panose="020B0604020202020204" pitchFamily="34" charset="0"/>
            </a:rPr>
            <a:pPr algn="ctr"/>
            <a:t>121件</a:t>
          </a:fld>
          <a:endParaRPr kumimoji="1" lang="ja-JP" altLang="en-US" sz="2000">
            <a:latin typeface="Arial" panose="020B0604020202020204" pitchFamily="34" charset="0"/>
            <a:cs typeface="Arial" panose="020B0604020202020204" pitchFamily="34" charset="0"/>
          </a:endParaRPr>
        </a:p>
      </xdr:txBody>
    </xdr:sp>
    <xdr:clientData/>
  </xdr:twoCellAnchor>
  <xdr:twoCellAnchor>
    <xdr:from>
      <xdr:col>28</xdr:col>
      <xdr:colOff>15875</xdr:colOff>
      <xdr:row>31</xdr:row>
      <xdr:rowOff>127000</xdr:rowOff>
    </xdr:from>
    <xdr:to>
      <xdr:col>29</xdr:col>
      <xdr:colOff>111125</xdr:colOff>
      <xdr:row>40</xdr:row>
      <xdr:rowOff>31750</xdr:rowOff>
    </xdr:to>
    <xdr:sp macro="" textlink="">
      <xdr:nvSpPr>
        <xdr:cNvPr id="65" name="テキスト ボックス 64">
          <a:extLst>
            <a:ext uri="{FF2B5EF4-FFF2-40B4-BE49-F238E27FC236}">
              <a16:creationId xmlns:a16="http://schemas.microsoft.com/office/drawing/2014/main" id="{2DB859E5-F3B2-4201-A462-28DA8538549E}"/>
            </a:ext>
          </a:extLst>
        </xdr:cNvPr>
        <xdr:cNvSpPr txBox="1">
          <a:spLocks noChangeAspect="1"/>
        </xdr:cNvSpPr>
      </xdr:nvSpPr>
      <xdr:spPr>
        <a:xfrm>
          <a:off x="4816475" y="6070600"/>
          <a:ext cx="266700" cy="1533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vert="wordArtVertRtl" wrap="square" rtlCol="0" anchor="ctr" anchorCtr="0"/>
        <a:lstStyle/>
        <a:p>
          <a:pPr algn="l"/>
          <a:r>
            <a:rPr kumimoji="1" lang="ja-JP" altLang="en-US" sz="1300"/>
            <a:t>（</a:t>
          </a:r>
          <a:r>
            <a:rPr kumimoji="1" lang="ja-JP" altLang="en-US" sz="1300" b="1">
              <a:latin typeface="Meiryo UI" panose="020B0604030504040204" pitchFamily="50" charset="-128"/>
              <a:ea typeface="Meiryo UI" panose="020B0604030504040204" pitchFamily="50" charset="-128"/>
            </a:rPr>
            <a:t>御堂筋</a:t>
          </a:r>
          <a:r>
            <a:rPr kumimoji="1" lang="en-US" altLang="ja-JP" sz="1300" b="1">
              <a:latin typeface="Meiryo UI" panose="020B0604030504040204" pitchFamily="50" charset="-128"/>
              <a:ea typeface="Meiryo UI" panose="020B0604030504040204" pitchFamily="50" charset="-128"/>
            </a:rPr>
            <a:t>)</a:t>
          </a:r>
          <a:endParaRPr kumimoji="1" lang="ja-JP" altLang="en-US" sz="1300" b="1">
            <a:latin typeface="Meiryo UI" panose="020B0604030504040204" pitchFamily="50" charset="-128"/>
            <a:ea typeface="Meiryo UI" panose="020B0604030504040204" pitchFamily="50" charset="-128"/>
          </a:endParaRPr>
        </a:p>
      </xdr:txBody>
    </xdr:sp>
    <xdr:clientData/>
  </xdr:twoCellAnchor>
  <xdr:twoCellAnchor>
    <xdr:from>
      <xdr:col>56</xdr:col>
      <xdr:colOff>72249</xdr:colOff>
      <xdr:row>73</xdr:row>
      <xdr:rowOff>108858</xdr:rowOff>
    </xdr:from>
    <xdr:to>
      <xdr:col>62</xdr:col>
      <xdr:colOff>131985</xdr:colOff>
      <xdr:row>75</xdr:row>
      <xdr:rowOff>95251</xdr:rowOff>
    </xdr:to>
    <xdr:sp macro="" textlink="$BU$19">
      <xdr:nvSpPr>
        <xdr:cNvPr id="66" name="テキスト ボックス 65">
          <a:extLst>
            <a:ext uri="{FF2B5EF4-FFF2-40B4-BE49-F238E27FC236}">
              <a16:creationId xmlns:a16="http://schemas.microsoft.com/office/drawing/2014/main" id="{BF545635-F25F-4400-A883-CB0920D6E015}"/>
            </a:ext>
          </a:extLst>
        </xdr:cNvPr>
        <xdr:cNvSpPr txBox="1">
          <a:spLocks noChangeAspect="1"/>
        </xdr:cNvSpPr>
      </xdr:nvSpPr>
      <xdr:spPr>
        <a:xfrm>
          <a:off x="9673449" y="13653408"/>
          <a:ext cx="1088436" cy="3483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fld id="{5BB143FB-F44B-4A62-9BE9-CE377EC444C7}" type="TxLink">
            <a:rPr kumimoji="1" lang="en-US" altLang="en-US" sz="1800" b="0" i="0" u="none" strike="noStrike">
              <a:solidFill>
                <a:srgbClr val="000000"/>
              </a:solidFill>
              <a:latin typeface="Arial" panose="020B0604020202020204" pitchFamily="34" charset="0"/>
              <a:ea typeface="ＭＳ Ｐゴシック"/>
              <a:cs typeface="Arial" panose="020B0604020202020204" pitchFamily="34" charset="0"/>
            </a:rPr>
            <a:pPr algn="ctr"/>
            <a:t>89件</a:t>
          </a:fld>
          <a:endParaRPr kumimoji="1" lang="en-US" altLang="ja-JP" sz="2000">
            <a:latin typeface="Arial" panose="020B0604020202020204" pitchFamily="34" charset="0"/>
            <a:cs typeface="Arial" panose="020B0604020202020204" pitchFamily="34" charset="0"/>
          </a:endParaRPr>
        </a:p>
      </xdr:txBody>
    </xdr:sp>
    <xdr:clientData/>
  </xdr:twoCellAnchor>
  <xdr:twoCellAnchor>
    <xdr:from>
      <xdr:col>23</xdr:col>
      <xdr:colOff>10584</xdr:colOff>
      <xdr:row>28</xdr:row>
      <xdr:rowOff>105833</xdr:rowOff>
    </xdr:from>
    <xdr:to>
      <xdr:col>28</xdr:col>
      <xdr:colOff>162997</xdr:colOff>
      <xdr:row>30</xdr:row>
      <xdr:rowOff>65972</xdr:rowOff>
    </xdr:to>
    <xdr:sp macro="" textlink="$BU$12">
      <xdr:nvSpPr>
        <xdr:cNvPr id="67" name="テキスト ボックス 66">
          <a:extLst>
            <a:ext uri="{FF2B5EF4-FFF2-40B4-BE49-F238E27FC236}">
              <a16:creationId xmlns:a16="http://schemas.microsoft.com/office/drawing/2014/main" id="{36E13751-4BE2-4C66-B2E4-A063F0CD8A62}"/>
            </a:ext>
          </a:extLst>
        </xdr:cNvPr>
        <xdr:cNvSpPr txBox="1">
          <a:spLocks noChangeAspect="1"/>
        </xdr:cNvSpPr>
      </xdr:nvSpPr>
      <xdr:spPr>
        <a:xfrm>
          <a:off x="3905251" y="5482166"/>
          <a:ext cx="999079" cy="319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fld id="{F40E8BAE-5BCA-4A6F-A8DC-4D757710DF1D}" type="TxLink">
            <a:rPr kumimoji="1" lang="en-US" altLang="en-US" sz="1800" b="0" i="0" u="none" strike="noStrike">
              <a:solidFill>
                <a:srgbClr val="000000"/>
              </a:solidFill>
              <a:latin typeface="Arial" panose="020B0604020202020204" pitchFamily="34" charset="0"/>
              <a:ea typeface="ＭＳ Ｐゴシック"/>
              <a:cs typeface="Arial" panose="020B0604020202020204" pitchFamily="34" charset="0"/>
            </a:rPr>
            <a:pPr algn="ctr"/>
            <a:t>279件</a:t>
          </a:fld>
          <a:endParaRPr kumimoji="1" lang="ja-JP" altLang="en-US" sz="3600">
            <a:latin typeface="Arial" panose="020B0604020202020204" pitchFamily="34" charset="0"/>
            <a:cs typeface="Arial" panose="020B0604020202020204" pitchFamily="34"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19050</xdr:colOff>
      <xdr:row>1</xdr:row>
      <xdr:rowOff>9524</xdr:rowOff>
    </xdr:from>
    <xdr:to>
      <xdr:col>1</xdr:col>
      <xdr:colOff>571500</xdr:colOff>
      <xdr:row>3</xdr:row>
      <xdr:rowOff>9525</xdr:rowOff>
    </xdr:to>
    <xdr:sp macro="" textlink="">
      <xdr:nvSpPr>
        <xdr:cNvPr id="2" name="Line 1">
          <a:extLst>
            <a:ext uri="{FF2B5EF4-FFF2-40B4-BE49-F238E27FC236}">
              <a16:creationId xmlns:a16="http://schemas.microsoft.com/office/drawing/2014/main" id="{78E7D278-B87C-48F9-AF85-808987C1B4B1}"/>
            </a:ext>
          </a:extLst>
        </xdr:cNvPr>
        <xdr:cNvSpPr>
          <a:spLocks noChangeShapeType="1"/>
        </xdr:cNvSpPr>
      </xdr:nvSpPr>
      <xdr:spPr bwMode="auto">
        <a:xfrm>
          <a:off x="19050" y="276224"/>
          <a:ext cx="666750" cy="314326"/>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514350</xdr:colOff>
      <xdr:row>3</xdr:row>
      <xdr:rowOff>0</xdr:rowOff>
    </xdr:from>
    <xdr:to>
      <xdr:col>0</xdr:col>
      <xdr:colOff>561975</xdr:colOff>
      <xdr:row>3</xdr:row>
      <xdr:rowOff>9525</xdr:rowOff>
    </xdr:to>
    <xdr:sp macro="" textlink="">
      <xdr:nvSpPr>
        <xdr:cNvPr id="3" name="Line 4">
          <a:extLst>
            <a:ext uri="{FF2B5EF4-FFF2-40B4-BE49-F238E27FC236}">
              <a16:creationId xmlns:a16="http://schemas.microsoft.com/office/drawing/2014/main" id="{4ED62B64-9C8C-4FBB-A4DB-55CD1F24D4C3}"/>
            </a:ext>
          </a:extLst>
        </xdr:cNvPr>
        <xdr:cNvSpPr>
          <a:spLocks noChangeShapeType="1"/>
        </xdr:cNvSpPr>
      </xdr:nvSpPr>
      <xdr:spPr bwMode="auto">
        <a:xfrm>
          <a:off x="114300" y="581025"/>
          <a:ext cx="0" cy="95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21</xdr:row>
      <xdr:rowOff>19050</xdr:rowOff>
    </xdr:from>
    <xdr:to>
      <xdr:col>2</xdr:col>
      <xdr:colOff>19050</xdr:colOff>
      <xdr:row>22</xdr:row>
      <xdr:rowOff>161925</xdr:rowOff>
    </xdr:to>
    <xdr:sp macro="" textlink="">
      <xdr:nvSpPr>
        <xdr:cNvPr id="4" name="Line 13">
          <a:extLst>
            <a:ext uri="{FF2B5EF4-FFF2-40B4-BE49-F238E27FC236}">
              <a16:creationId xmlns:a16="http://schemas.microsoft.com/office/drawing/2014/main" id="{F98D2458-B4B3-4CBB-8A3F-2F9BED2829E7}"/>
            </a:ext>
          </a:extLst>
        </xdr:cNvPr>
        <xdr:cNvSpPr>
          <a:spLocks noChangeShapeType="1"/>
        </xdr:cNvSpPr>
      </xdr:nvSpPr>
      <xdr:spPr bwMode="auto">
        <a:xfrm>
          <a:off x="0" y="4562475"/>
          <a:ext cx="714375" cy="3238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219075</xdr:colOff>
      <xdr:row>3</xdr:row>
      <xdr:rowOff>133350</xdr:rowOff>
    </xdr:from>
    <xdr:to>
      <xdr:col>1</xdr:col>
      <xdr:colOff>561975</xdr:colOff>
      <xdr:row>3</xdr:row>
      <xdr:rowOff>180975</xdr:rowOff>
    </xdr:to>
    <xdr:cxnSp macro="">
      <xdr:nvCxnSpPr>
        <xdr:cNvPr id="5" name="直線コネクタ 4">
          <a:extLst>
            <a:ext uri="{FF2B5EF4-FFF2-40B4-BE49-F238E27FC236}">
              <a16:creationId xmlns:a16="http://schemas.microsoft.com/office/drawing/2014/main" id="{85C240A1-B757-46F2-B940-8978ED85C74D}"/>
            </a:ext>
          </a:extLst>
        </xdr:cNvPr>
        <xdr:cNvCxnSpPr/>
      </xdr:nvCxnSpPr>
      <xdr:spPr>
        <a:xfrm flipH="1" flipV="1">
          <a:off x="333375" y="714375"/>
          <a:ext cx="342900" cy="476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9525</xdr:colOff>
      <xdr:row>1</xdr:row>
      <xdr:rowOff>0</xdr:rowOff>
    </xdr:from>
    <xdr:to>
      <xdr:col>1</xdr:col>
      <xdr:colOff>228600</xdr:colOff>
      <xdr:row>3</xdr:row>
      <xdr:rowOff>133350</xdr:rowOff>
    </xdr:to>
    <xdr:cxnSp macro="">
      <xdr:nvCxnSpPr>
        <xdr:cNvPr id="6" name="直線コネクタ 5">
          <a:extLst>
            <a:ext uri="{FF2B5EF4-FFF2-40B4-BE49-F238E27FC236}">
              <a16:creationId xmlns:a16="http://schemas.microsoft.com/office/drawing/2014/main" id="{FD1A8F01-9FEC-40C0-AA0B-45C2E47E5237}"/>
            </a:ext>
          </a:extLst>
        </xdr:cNvPr>
        <xdr:cNvCxnSpPr/>
      </xdr:nvCxnSpPr>
      <xdr:spPr>
        <a:xfrm flipH="1" flipV="1">
          <a:off x="9525" y="266700"/>
          <a:ext cx="333375" cy="4476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0</xdr:colOff>
      <xdr:row>21</xdr:row>
      <xdr:rowOff>19050</xdr:rowOff>
    </xdr:from>
    <xdr:to>
      <xdr:col>2</xdr:col>
      <xdr:colOff>438150</xdr:colOff>
      <xdr:row>22</xdr:row>
      <xdr:rowOff>19050</xdr:rowOff>
    </xdr:to>
    <xdr:cxnSp macro="">
      <xdr:nvCxnSpPr>
        <xdr:cNvPr id="7" name="直線コネクタ 6">
          <a:extLst>
            <a:ext uri="{FF2B5EF4-FFF2-40B4-BE49-F238E27FC236}">
              <a16:creationId xmlns:a16="http://schemas.microsoft.com/office/drawing/2014/main" id="{8960C2E1-1D7A-464E-9FF4-CB410D2AF084}"/>
            </a:ext>
          </a:extLst>
        </xdr:cNvPr>
        <xdr:cNvCxnSpPr>
          <a:stCxn id="4" idx="0"/>
        </xdr:cNvCxnSpPr>
      </xdr:nvCxnSpPr>
      <xdr:spPr>
        <a:xfrm>
          <a:off x="0" y="4562475"/>
          <a:ext cx="1133475" cy="1809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447675</xdr:colOff>
      <xdr:row>22</xdr:row>
      <xdr:rowOff>19050</xdr:rowOff>
    </xdr:from>
    <xdr:to>
      <xdr:col>3</xdr:col>
      <xdr:colOff>0</xdr:colOff>
      <xdr:row>23</xdr:row>
      <xdr:rowOff>0</xdr:rowOff>
    </xdr:to>
    <xdr:cxnSp macro="">
      <xdr:nvCxnSpPr>
        <xdr:cNvPr id="8" name="直線コネクタ 7">
          <a:extLst>
            <a:ext uri="{FF2B5EF4-FFF2-40B4-BE49-F238E27FC236}">
              <a16:creationId xmlns:a16="http://schemas.microsoft.com/office/drawing/2014/main" id="{348CC231-B813-4AAF-AEDA-AAF24EB773BC}"/>
            </a:ext>
          </a:extLst>
        </xdr:cNvPr>
        <xdr:cNvCxnSpPr/>
      </xdr:nvCxnSpPr>
      <xdr:spPr>
        <a:xfrm>
          <a:off x="1143000" y="4743450"/>
          <a:ext cx="171450" cy="1714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81492</xdr:colOff>
      <xdr:row>15</xdr:row>
      <xdr:rowOff>0</xdr:rowOff>
    </xdr:from>
    <xdr:to>
      <xdr:col>12</xdr:col>
      <xdr:colOff>205317</xdr:colOff>
      <xdr:row>24</xdr:row>
      <xdr:rowOff>133350</xdr:rowOff>
    </xdr:to>
    <xdr:graphicFrame macro="">
      <xdr:nvGraphicFramePr>
        <xdr:cNvPr id="2" name="Chart 5">
          <a:extLst>
            <a:ext uri="{FF2B5EF4-FFF2-40B4-BE49-F238E27FC236}">
              <a16:creationId xmlns:a16="http://schemas.microsoft.com/office/drawing/2014/main" id="{F6C46BCF-E994-44F8-8CB7-3D5095725E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57150</xdr:colOff>
      <xdr:row>26</xdr:row>
      <xdr:rowOff>38100</xdr:rowOff>
    </xdr:from>
    <xdr:to>
      <xdr:col>12</xdr:col>
      <xdr:colOff>190500</xdr:colOff>
      <xdr:row>35</xdr:row>
      <xdr:rowOff>47625</xdr:rowOff>
    </xdr:to>
    <xdr:graphicFrame macro="">
      <xdr:nvGraphicFramePr>
        <xdr:cNvPr id="3" name="Chart 10">
          <a:extLst>
            <a:ext uri="{FF2B5EF4-FFF2-40B4-BE49-F238E27FC236}">
              <a16:creationId xmlns:a16="http://schemas.microsoft.com/office/drawing/2014/main" id="{BBD65B97-AF37-43B8-A41B-9105D9E668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76200</xdr:colOff>
      <xdr:row>36</xdr:row>
      <xdr:rowOff>133350</xdr:rowOff>
    </xdr:from>
    <xdr:to>
      <xdr:col>12</xdr:col>
      <xdr:colOff>200025</xdr:colOff>
      <xdr:row>46</xdr:row>
      <xdr:rowOff>76200</xdr:rowOff>
    </xdr:to>
    <xdr:graphicFrame macro="">
      <xdr:nvGraphicFramePr>
        <xdr:cNvPr id="4" name="Chart 12">
          <a:extLst>
            <a:ext uri="{FF2B5EF4-FFF2-40B4-BE49-F238E27FC236}">
              <a16:creationId xmlns:a16="http://schemas.microsoft.com/office/drawing/2014/main" id="{4EDE0A94-9BCD-4ACF-A97A-442009B829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0.03158</cdr:x>
      <cdr:y>0.62278</cdr:y>
    </cdr:from>
    <cdr:to>
      <cdr:x>0.14097</cdr:x>
      <cdr:y>0.74942</cdr:y>
    </cdr:to>
    <cdr:sp macro="" textlink="">
      <cdr:nvSpPr>
        <cdr:cNvPr id="10241" name="Text Box 1"/>
        <cdr:cNvSpPr txBox="1">
          <a:spLocks xmlns:a="http://schemas.openxmlformats.org/drawingml/2006/main" noChangeArrowheads="1"/>
        </cdr:cNvSpPr>
      </cdr:nvSpPr>
      <cdr:spPr bwMode="auto">
        <a:xfrm xmlns:a="http://schemas.openxmlformats.org/drawingml/2006/main">
          <a:off x="189733" y="1079613"/>
          <a:ext cx="657233" cy="219536"/>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800" b="0" i="0" u="none" strike="noStrike" baseline="0">
              <a:solidFill>
                <a:sysClr val="windowText" lastClr="000000"/>
              </a:solidFill>
              <a:latin typeface="ＭＳ Ｐゴシック"/>
              <a:ea typeface="ＭＳ Ｐゴシック"/>
            </a:rPr>
            <a:t>令和７年</a:t>
          </a:r>
        </a:p>
      </cdr:txBody>
    </cdr:sp>
  </cdr:relSizeAnchor>
  <cdr:relSizeAnchor xmlns:cdr="http://schemas.openxmlformats.org/drawingml/2006/chartDrawing">
    <cdr:from>
      <cdr:x>0.03163</cdr:x>
      <cdr:y>0.30051</cdr:y>
    </cdr:from>
    <cdr:to>
      <cdr:x>0.14126</cdr:x>
      <cdr:y>0.42715</cdr:y>
    </cdr:to>
    <cdr:sp macro="" textlink="">
      <cdr:nvSpPr>
        <cdr:cNvPr id="10242" name="Text Box 2"/>
        <cdr:cNvSpPr txBox="1">
          <a:spLocks xmlns:a="http://schemas.openxmlformats.org/drawingml/2006/main" noChangeArrowheads="1"/>
        </cdr:cNvSpPr>
      </cdr:nvSpPr>
      <cdr:spPr bwMode="auto">
        <a:xfrm xmlns:a="http://schemas.openxmlformats.org/drawingml/2006/main">
          <a:off x="210478" y="523623"/>
          <a:ext cx="732976" cy="2177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800" b="0" i="0" u="none" strike="noStrike" baseline="0">
              <a:solidFill>
                <a:srgbClr val="000000"/>
              </a:solidFill>
              <a:latin typeface="ＭＳ Ｐゴシック"/>
              <a:ea typeface="ＭＳ Ｐゴシック"/>
            </a:rPr>
            <a:t>令和６年</a:t>
          </a:r>
        </a:p>
      </cdr:txBody>
    </cdr:sp>
  </cdr:relSizeAnchor>
</c:userShapes>
</file>

<file path=xl/drawings/drawing15.xml><?xml version="1.0" encoding="utf-8"?>
<c:userShapes xmlns:c="http://schemas.openxmlformats.org/drawingml/2006/chart">
  <cdr:relSizeAnchor xmlns:cdr="http://schemas.openxmlformats.org/drawingml/2006/chartDrawing">
    <cdr:from>
      <cdr:x>0.02359</cdr:x>
      <cdr:y>0.59453</cdr:y>
    </cdr:from>
    <cdr:to>
      <cdr:x>0.1325</cdr:x>
      <cdr:y>0.73001</cdr:y>
    </cdr:to>
    <cdr:sp macro="" textlink="">
      <cdr:nvSpPr>
        <cdr:cNvPr id="25603" name="Text Box 3"/>
        <cdr:cNvSpPr txBox="1">
          <a:spLocks xmlns:a="http://schemas.openxmlformats.org/drawingml/2006/main" noChangeArrowheads="1"/>
        </cdr:cNvSpPr>
      </cdr:nvSpPr>
      <cdr:spPr bwMode="auto">
        <a:xfrm xmlns:a="http://schemas.openxmlformats.org/drawingml/2006/main">
          <a:off x="154815" y="923060"/>
          <a:ext cx="714746" cy="2103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800" b="0" i="0" u="none" strike="noStrike" baseline="0">
              <a:solidFill>
                <a:sysClr val="windowText" lastClr="000000"/>
              </a:solidFill>
              <a:latin typeface="ＭＳ Ｐゴシック"/>
              <a:ea typeface="ＭＳ Ｐゴシック"/>
            </a:rPr>
            <a:t>令和７年</a:t>
          </a:r>
        </a:p>
      </cdr:txBody>
    </cdr:sp>
  </cdr:relSizeAnchor>
  <cdr:relSizeAnchor xmlns:cdr="http://schemas.openxmlformats.org/drawingml/2006/chartDrawing">
    <cdr:from>
      <cdr:x>0.02359</cdr:x>
      <cdr:y>0.32074</cdr:y>
    </cdr:from>
    <cdr:to>
      <cdr:x>0.1325</cdr:x>
      <cdr:y>0.45622</cdr:y>
    </cdr:to>
    <cdr:sp macro="" textlink="">
      <cdr:nvSpPr>
        <cdr:cNvPr id="25604" name="Text Box 4"/>
        <cdr:cNvSpPr txBox="1">
          <a:spLocks xmlns:a="http://schemas.openxmlformats.org/drawingml/2006/main" noChangeArrowheads="1"/>
        </cdr:cNvSpPr>
      </cdr:nvSpPr>
      <cdr:spPr bwMode="auto">
        <a:xfrm xmlns:a="http://schemas.openxmlformats.org/drawingml/2006/main">
          <a:off x="154815" y="497973"/>
          <a:ext cx="714746" cy="2103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800" b="0" i="0" u="none" strike="noStrike" baseline="0">
              <a:solidFill>
                <a:srgbClr val="000000"/>
              </a:solidFill>
              <a:latin typeface="ＭＳ Ｐゴシック"/>
              <a:ea typeface="ＭＳ Ｐゴシック"/>
            </a:rPr>
            <a:t>令和６年</a:t>
          </a:r>
        </a:p>
      </cdr:txBody>
    </cdr:sp>
  </cdr:relSizeAnchor>
</c:userShapes>
</file>

<file path=xl/drawings/drawing16.xml><?xml version="1.0" encoding="utf-8"?>
<c:userShapes xmlns:c="http://schemas.openxmlformats.org/drawingml/2006/chart">
  <cdr:relSizeAnchor xmlns:cdr="http://schemas.openxmlformats.org/drawingml/2006/chartDrawing">
    <cdr:from>
      <cdr:x>0.02445</cdr:x>
      <cdr:y>0.59118</cdr:y>
    </cdr:from>
    <cdr:to>
      <cdr:x>0.13384</cdr:x>
      <cdr:y>0.71872</cdr:y>
    </cdr:to>
    <cdr:sp macro="" textlink="">
      <cdr:nvSpPr>
        <cdr:cNvPr id="35842" name="Text Box 2"/>
        <cdr:cNvSpPr txBox="1">
          <a:spLocks xmlns:a="http://schemas.openxmlformats.org/drawingml/2006/main" noChangeArrowheads="1"/>
        </cdr:cNvSpPr>
      </cdr:nvSpPr>
      <cdr:spPr bwMode="auto">
        <a:xfrm xmlns:a="http://schemas.openxmlformats.org/drawingml/2006/main">
          <a:off x="159730" y="979785"/>
          <a:ext cx="714771" cy="2113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800" b="0" i="0" u="none" strike="noStrike" baseline="0">
              <a:solidFill>
                <a:sysClr val="windowText" lastClr="000000"/>
              </a:solidFill>
              <a:latin typeface="ＭＳ Ｐゴシック"/>
              <a:ea typeface="ＭＳ Ｐゴシック"/>
            </a:rPr>
            <a:t>令和７年</a:t>
          </a:r>
        </a:p>
      </cdr:txBody>
    </cdr:sp>
  </cdr:relSizeAnchor>
  <cdr:relSizeAnchor xmlns:cdr="http://schemas.openxmlformats.org/drawingml/2006/chartDrawing">
    <cdr:from>
      <cdr:x>0.0242</cdr:x>
      <cdr:y>0.3164</cdr:y>
    </cdr:from>
    <cdr:to>
      <cdr:x>0.13383</cdr:x>
      <cdr:y>0.44394</cdr:y>
    </cdr:to>
    <cdr:sp macro="" textlink="">
      <cdr:nvSpPr>
        <cdr:cNvPr id="35843" name="Text Box 3"/>
        <cdr:cNvSpPr txBox="1">
          <a:spLocks xmlns:a="http://schemas.openxmlformats.org/drawingml/2006/main" noChangeArrowheads="1"/>
        </cdr:cNvSpPr>
      </cdr:nvSpPr>
      <cdr:spPr bwMode="auto">
        <a:xfrm xmlns:a="http://schemas.openxmlformats.org/drawingml/2006/main">
          <a:off x="158126" y="524388"/>
          <a:ext cx="716339" cy="2113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800" b="0" i="0" u="none" strike="noStrike" baseline="0">
              <a:solidFill>
                <a:srgbClr val="000000"/>
              </a:solidFill>
              <a:latin typeface="ＭＳ Ｐゴシック"/>
              <a:ea typeface="ＭＳ Ｐゴシック"/>
            </a:rPr>
            <a:t>令和６年</a:t>
          </a:r>
        </a:p>
      </cdr:txBody>
    </cdr:sp>
  </cdr:relSizeAnchor>
</c:userShapes>
</file>

<file path=xl/drawings/drawing17.xml><?xml version="1.0" encoding="utf-8"?>
<xdr:wsDr xmlns:xdr="http://schemas.openxmlformats.org/drawingml/2006/spreadsheetDrawing" xmlns:a="http://schemas.openxmlformats.org/drawingml/2006/main">
  <xdr:twoCellAnchor>
    <xdr:from>
      <xdr:col>0</xdr:col>
      <xdr:colOff>19050</xdr:colOff>
      <xdr:row>1</xdr:row>
      <xdr:rowOff>9525</xdr:rowOff>
    </xdr:from>
    <xdr:to>
      <xdr:col>1</xdr:col>
      <xdr:colOff>304800</xdr:colOff>
      <xdr:row>4</xdr:row>
      <xdr:rowOff>161925</xdr:rowOff>
    </xdr:to>
    <xdr:sp macro="" textlink="">
      <xdr:nvSpPr>
        <xdr:cNvPr id="2" name="Line 1">
          <a:extLst>
            <a:ext uri="{FF2B5EF4-FFF2-40B4-BE49-F238E27FC236}">
              <a16:creationId xmlns:a16="http://schemas.microsoft.com/office/drawing/2014/main" id="{194B227A-D3DB-4977-8B21-97B72CAC745B}"/>
            </a:ext>
          </a:extLst>
        </xdr:cNvPr>
        <xdr:cNvSpPr>
          <a:spLocks noChangeShapeType="1"/>
        </xdr:cNvSpPr>
      </xdr:nvSpPr>
      <xdr:spPr bwMode="auto">
        <a:xfrm>
          <a:off x="19050" y="257175"/>
          <a:ext cx="542925" cy="6191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186075</xdr:colOff>
      <xdr:row>34</xdr:row>
      <xdr:rowOff>154779</xdr:rowOff>
    </xdr:from>
    <xdr:to>
      <xdr:col>12</xdr:col>
      <xdr:colOff>350383</xdr:colOff>
      <xdr:row>63</xdr:row>
      <xdr:rowOff>45241</xdr:rowOff>
    </xdr:to>
    <xdr:graphicFrame macro="">
      <xdr:nvGraphicFramePr>
        <xdr:cNvPr id="3" name="グラフ 2">
          <a:extLst>
            <a:ext uri="{FF2B5EF4-FFF2-40B4-BE49-F238E27FC236}">
              <a16:creationId xmlns:a16="http://schemas.microsoft.com/office/drawing/2014/main" id="{577D263D-8EAD-4D86-A47C-32043100A1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171450</xdr:colOff>
      <xdr:row>52</xdr:row>
      <xdr:rowOff>76200</xdr:rowOff>
    </xdr:from>
    <xdr:to>
      <xdr:col>13</xdr:col>
      <xdr:colOff>273843</xdr:colOff>
      <xdr:row>53</xdr:row>
      <xdr:rowOff>130969</xdr:rowOff>
    </xdr:to>
    <xdr:sp macro="" textlink="">
      <xdr:nvSpPr>
        <xdr:cNvPr id="4" name="テキスト ボックス 3">
          <a:extLst>
            <a:ext uri="{FF2B5EF4-FFF2-40B4-BE49-F238E27FC236}">
              <a16:creationId xmlns:a16="http://schemas.microsoft.com/office/drawing/2014/main" id="{627C525E-BF57-4D07-8F5D-BE9EEEC40257}"/>
            </a:ext>
          </a:extLst>
        </xdr:cNvPr>
        <xdr:cNvSpPr txBox="1"/>
      </xdr:nvSpPr>
      <xdr:spPr>
        <a:xfrm>
          <a:off x="4826794" y="10708481"/>
          <a:ext cx="2436018" cy="2333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時間帯別発生件数と負傷者数</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28575</xdr:colOff>
      <xdr:row>3</xdr:row>
      <xdr:rowOff>9525</xdr:rowOff>
    </xdr:from>
    <xdr:to>
      <xdr:col>3</xdr:col>
      <xdr:colOff>0</xdr:colOff>
      <xdr:row>5</xdr:row>
      <xdr:rowOff>190500</xdr:rowOff>
    </xdr:to>
    <xdr:sp macro="" textlink="">
      <xdr:nvSpPr>
        <xdr:cNvPr id="2" name="Line 1">
          <a:extLst>
            <a:ext uri="{FF2B5EF4-FFF2-40B4-BE49-F238E27FC236}">
              <a16:creationId xmlns:a16="http://schemas.microsoft.com/office/drawing/2014/main" id="{05797993-3D58-408D-99CA-434E052382FD}"/>
            </a:ext>
          </a:extLst>
        </xdr:cNvPr>
        <xdr:cNvSpPr>
          <a:spLocks noChangeShapeType="1"/>
        </xdr:cNvSpPr>
      </xdr:nvSpPr>
      <xdr:spPr bwMode="auto">
        <a:xfrm>
          <a:off x="28575" y="495300"/>
          <a:ext cx="1276350" cy="4762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66675</xdr:colOff>
      <xdr:row>3</xdr:row>
      <xdr:rowOff>19050</xdr:rowOff>
    </xdr:from>
    <xdr:to>
      <xdr:col>2</xdr:col>
      <xdr:colOff>0</xdr:colOff>
      <xdr:row>6</xdr:row>
      <xdr:rowOff>0</xdr:rowOff>
    </xdr:to>
    <xdr:sp macro="" textlink="">
      <xdr:nvSpPr>
        <xdr:cNvPr id="3" name="Line 2">
          <a:extLst>
            <a:ext uri="{FF2B5EF4-FFF2-40B4-BE49-F238E27FC236}">
              <a16:creationId xmlns:a16="http://schemas.microsoft.com/office/drawing/2014/main" id="{A54C6ABB-4CD3-460C-BAC2-1F88C37DEE28}"/>
            </a:ext>
          </a:extLst>
        </xdr:cNvPr>
        <xdr:cNvSpPr>
          <a:spLocks noChangeShapeType="1"/>
        </xdr:cNvSpPr>
      </xdr:nvSpPr>
      <xdr:spPr bwMode="auto">
        <a:xfrm>
          <a:off x="66675" y="600075"/>
          <a:ext cx="666750" cy="6096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38100</xdr:colOff>
      <xdr:row>21</xdr:row>
      <xdr:rowOff>19050</xdr:rowOff>
    </xdr:from>
    <xdr:to>
      <xdr:col>4</xdr:col>
      <xdr:colOff>790575</xdr:colOff>
      <xdr:row>23</xdr:row>
      <xdr:rowOff>161925</xdr:rowOff>
    </xdr:to>
    <xdr:sp macro="" textlink="">
      <xdr:nvSpPr>
        <xdr:cNvPr id="4" name="Line 5">
          <a:extLst>
            <a:ext uri="{FF2B5EF4-FFF2-40B4-BE49-F238E27FC236}">
              <a16:creationId xmlns:a16="http://schemas.microsoft.com/office/drawing/2014/main" id="{5C233CBA-A891-45B2-AA39-49D8BACF7E57}"/>
            </a:ext>
          </a:extLst>
        </xdr:cNvPr>
        <xdr:cNvSpPr>
          <a:spLocks noChangeShapeType="1"/>
        </xdr:cNvSpPr>
      </xdr:nvSpPr>
      <xdr:spPr bwMode="auto">
        <a:xfrm>
          <a:off x="38100" y="4391025"/>
          <a:ext cx="2867025" cy="5048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0</xdr:row>
      <xdr:rowOff>190499</xdr:rowOff>
    </xdr:from>
    <xdr:to>
      <xdr:col>3</xdr:col>
      <xdr:colOff>9525</xdr:colOff>
      <xdr:row>5</xdr:row>
      <xdr:rowOff>19049</xdr:rowOff>
    </xdr:to>
    <xdr:sp macro="" textlink="">
      <xdr:nvSpPr>
        <xdr:cNvPr id="2" name="Line 1">
          <a:extLst>
            <a:ext uri="{FF2B5EF4-FFF2-40B4-BE49-F238E27FC236}">
              <a16:creationId xmlns:a16="http://schemas.microsoft.com/office/drawing/2014/main" id="{CAFFBABF-ABF8-4EB4-AC48-EDD8D6B3525F}"/>
            </a:ext>
          </a:extLst>
        </xdr:cNvPr>
        <xdr:cNvSpPr>
          <a:spLocks noChangeShapeType="1"/>
        </xdr:cNvSpPr>
      </xdr:nvSpPr>
      <xdr:spPr bwMode="auto">
        <a:xfrm>
          <a:off x="685800" y="190499"/>
          <a:ext cx="1571625" cy="8858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9525</xdr:colOff>
      <xdr:row>4</xdr:row>
      <xdr:rowOff>9525</xdr:rowOff>
    </xdr:from>
    <xdr:to>
      <xdr:col>1</xdr:col>
      <xdr:colOff>529167</xdr:colOff>
      <xdr:row>8</xdr:row>
      <xdr:rowOff>0</xdr:rowOff>
    </xdr:to>
    <xdr:sp macro="" textlink="">
      <xdr:nvSpPr>
        <xdr:cNvPr id="2" name="Line 1">
          <a:extLst>
            <a:ext uri="{FF2B5EF4-FFF2-40B4-BE49-F238E27FC236}">
              <a16:creationId xmlns:a16="http://schemas.microsoft.com/office/drawing/2014/main" id="{F0922D1E-A9A6-4B10-B22A-C6CB38E8693F}"/>
            </a:ext>
          </a:extLst>
        </xdr:cNvPr>
        <xdr:cNvSpPr>
          <a:spLocks noChangeShapeType="1"/>
        </xdr:cNvSpPr>
      </xdr:nvSpPr>
      <xdr:spPr bwMode="auto">
        <a:xfrm>
          <a:off x="432858" y="824442"/>
          <a:ext cx="519642" cy="6254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9525</xdr:colOff>
      <xdr:row>3</xdr:row>
      <xdr:rowOff>0</xdr:rowOff>
    </xdr:from>
    <xdr:to>
      <xdr:col>4</xdr:col>
      <xdr:colOff>0</xdr:colOff>
      <xdr:row>5</xdr:row>
      <xdr:rowOff>152400</xdr:rowOff>
    </xdr:to>
    <xdr:sp macro="" textlink="">
      <xdr:nvSpPr>
        <xdr:cNvPr id="2" name="Line 1">
          <a:extLst>
            <a:ext uri="{FF2B5EF4-FFF2-40B4-BE49-F238E27FC236}">
              <a16:creationId xmlns:a16="http://schemas.microsoft.com/office/drawing/2014/main" id="{E01370D8-7BDD-45A9-ADF3-B890B8D335DA}"/>
            </a:ext>
          </a:extLst>
        </xdr:cNvPr>
        <xdr:cNvSpPr>
          <a:spLocks noChangeShapeType="1"/>
        </xdr:cNvSpPr>
      </xdr:nvSpPr>
      <xdr:spPr bwMode="auto">
        <a:xfrm>
          <a:off x="333375" y="571500"/>
          <a:ext cx="2066925" cy="4095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114300</xdr:colOff>
      <xdr:row>3</xdr:row>
      <xdr:rowOff>76200</xdr:rowOff>
    </xdr:from>
    <xdr:to>
      <xdr:col>8</xdr:col>
      <xdr:colOff>457200</xdr:colOff>
      <xdr:row>25</xdr:row>
      <xdr:rowOff>0</xdr:rowOff>
    </xdr:to>
    <xdr:graphicFrame macro="">
      <xdr:nvGraphicFramePr>
        <xdr:cNvPr id="2" name="Chart 1025">
          <a:extLst>
            <a:ext uri="{FF2B5EF4-FFF2-40B4-BE49-F238E27FC236}">
              <a16:creationId xmlns:a16="http://schemas.microsoft.com/office/drawing/2014/main" id="{5A88C8E5-3AC3-4B58-B27A-818F48745E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133349</xdr:colOff>
      <xdr:row>28</xdr:row>
      <xdr:rowOff>38100</xdr:rowOff>
    </xdr:from>
    <xdr:to>
      <xdr:col>8</xdr:col>
      <xdr:colOff>447674</xdr:colOff>
      <xdr:row>54</xdr:row>
      <xdr:rowOff>419100</xdr:rowOff>
    </xdr:to>
    <xdr:graphicFrame macro="">
      <xdr:nvGraphicFramePr>
        <xdr:cNvPr id="3" name="Chart 1027">
          <a:extLst>
            <a:ext uri="{FF2B5EF4-FFF2-40B4-BE49-F238E27FC236}">
              <a16:creationId xmlns:a16="http://schemas.microsoft.com/office/drawing/2014/main" id="{A982FA67-C132-478D-94FB-3619AD586E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47625</xdr:colOff>
      <xdr:row>57</xdr:row>
      <xdr:rowOff>9525</xdr:rowOff>
    </xdr:from>
    <xdr:to>
      <xdr:col>1</xdr:col>
      <xdr:colOff>0</xdr:colOff>
      <xdr:row>59</xdr:row>
      <xdr:rowOff>9525</xdr:rowOff>
    </xdr:to>
    <xdr:sp macro="" textlink="">
      <xdr:nvSpPr>
        <xdr:cNvPr id="4" name="Line 1028">
          <a:extLst>
            <a:ext uri="{FF2B5EF4-FFF2-40B4-BE49-F238E27FC236}">
              <a16:creationId xmlns:a16="http://schemas.microsoft.com/office/drawing/2014/main" id="{C97F0879-FE74-42F7-9141-65BF2D9FA311}"/>
            </a:ext>
          </a:extLst>
        </xdr:cNvPr>
        <xdr:cNvSpPr>
          <a:spLocks noChangeShapeType="1"/>
        </xdr:cNvSpPr>
      </xdr:nvSpPr>
      <xdr:spPr bwMode="auto">
        <a:xfrm>
          <a:off x="47625" y="10763250"/>
          <a:ext cx="638175" cy="3810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3</xdr:row>
      <xdr:rowOff>19050</xdr:rowOff>
    </xdr:from>
    <xdr:to>
      <xdr:col>4</xdr:col>
      <xdr:colOff>9525</xdr:colOff>
      <xdr:row>5</xdr:row>
      <xdr:rowOff>9525</xdr:rowOff>
    </xdr:to>
    <xdr:sp macro="" textlink="">
      <xdr:nvSpPr>
        <xdr:cNvPr id="2" name="Line 1">
          <a:extLst>
            <a:ext uri="{FF2B5EF4-FFF2-40B4-BE49-F238E27FC236}">
              <a16:creationId xmlns:a16="http://schemas.microsoft.com/office/drawing/2014/main" id="{39C9E36E-CE2C-4FC0-BCC0-0FF2A68341F3}"/>
            </a:ext>
          </a:extLst>
        </xdr:cNvPr>
        <xdr:cNvSpPr>
          <a:spLocks noChangeShapeType="1"/>
        </xdr:cNvSpPr>
      </xdr:nvSpPr>
      <xdr:spPr bwMode="auto">
        <a:xfrm>
          <a:off x="0" y="590550"/>
          <a:ext cx="1533525" cy="5715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16</xdr:row>
      <xdr:rowOff>9525</xdr:rowOff>
    </xdr:from>
    <xdr:to>
      <xdr:col>4</xdr:col>
      <xdr:colOff>19050</xdr:colOff>
      <xdr:row>17</xdr:row>
      <xdr:rowOff>171450</xdr:rowOff>
    </xdr:to>
    <xdr:sp macro="" textlink="">
      <xdr:nvSpPr>
        <xdr:cNvPr id="3" name="Line 2">
          <a:extLst>
            <a:ext uri="{FF2B5EF4-FFF2-40B4-BE49-F238E27FC236}">
              <a16:creationId xmlns:a16="http://schemas.microsoft.com/office/drawing/2014/main" id="{09683516-E3AC-4F0D-ACC2-D4AA0E72E994}"/>
            </a:ext>
          </a:extLst>
        </xdr:cNvPr>
        <xdr:cNvSpPr>
          <a:spLocks noChangeShapeType="1"/>
        </xdr:cNvSpPr>
      </xdr:nvSpPr>
      <xdr:spPr bwMode="auto">
        <a:xfrm>
          <a:off x="0" y="4324350"/>
          <a:ext cx="1543050" cy="3429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66675</xdr:colOff>
      <xdr:row>42</xdr:row>
      <xdr:rowOff>28575</xdr:rowOff>
    </xdr:from>
    <xdr:to>
      <xdr:col>17</xdr:col>
      <xdr:colOff>47625</xdr:colOff>
      <xdr:row>59</xdr:row>
      <xdr:rowOff>9525</xdr:rowOff>
    </xdr:to>
    <xdr:graphicFrame macro="">
      <xdr:nvGraphicFramePr>
        <xdr:cNvPr id="4" name="Chart 3">
          <a:extLst>
            <a:ext uri="{FF2B5EF4-FFF2-40B4-BE49-F238E27FC236}">
              <a16:creationId xmlns:a16="http://schemas.microsoft.com/office/drawing/2014/main" id="{AC7F3998-3B74-4C22-B5D9-386FB43AE6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0</xdr:col>
      <xdr:colOff>9525</xdr:colOff>
      <xdr:row>1</xdr:row>
      <xdr:rowOff>190499</xdr:rowOff>
    </xdr:from>
    <xdr:to>
      <xdr:col>1</xdr:col>
      <xdr:colOff>0</xdr:colOff>
      <xdr:row>5</xdr:row>
      <xdr:rowOff>190499</xdr:rowOff>
    </xdr:to>
    <xdr:sp macro="" textlink="">
      <xdr:nvSpPr>
        <xdr:cNvPr id="2" name="Line 1">
          <a:extLst>
            <a:ext uri="{FF2B5EF4-FFF2-40B4-BE49-F238E27FC236}">
              <a16:creationId xmlns:a16="http://schemas.microsoft.com/office/drawing/2014/main" id="{E654093D-A047-4472-9A64-C973CE748A97}"/>
            </a:ext>
          </a:extLst>
        </xdr:cNvPr>
        <xdr:cNvSpPr>
          <a:spLocks noChangeShapeType="1"/>
        </xdr:cNvSpPr>
      </xdr:nvSpPr>
      <xdr:spPr bwMode="auto">
        <a:xfrm>
          <a:off x="9525" y="380999"/>
          <a:ext cx="523875" cy="7810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0</xdr:colOff>
      <xdr:row>2</xdr:row>
      <xdr:rowOff>28574</xdr:rowOff>
    </xdr:from>
    <xdr:to>
      <xdr:col>2</xdr:col>
      <xdr:colOff>2305050</xdr:colOff>
      <xdr:row>3</xdr:row>
      <xdr:rowOff>238124</xdr:rowOff>
    </xdr:to>
    <xdr:sp macro="" textlink="">
      <xdr:nvSpPr>
        <xdr:cNvPr id="2" name="Line 1">
          <a:extLst>
            <a:ext uri="{FF2B5EF4-FFF2-40B4-BE49-F238E27FC236}">
              <a16:creationId xmlns:a16="http://schemas.microsoft.com/office/drawing/2014/main" id="{108B32E1-EEA8-4B14-AAA4-F48177F07ADD}"/>
            </a:ext>
          </a:extLst>
        </xdr:cNvPr>
        <xdr:cNvSpPr>
          <a:spLocks noChangeShapeType="1"/>
        </xdr:cNvSpPr>
      </xdr:nvSpPr>
      <xdr:spPr bwMode="auto">
        <a:xfrm>
          <a:off x="0" y="409574"/>
          <a:ext cx="2733675" cy="2952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5.xml><?xml version="1.0" encoding="utf-8"?>
<xdr:wsDr xmlns:xdr="http://schemas.openxmlformats.org/drawingml/2006/spreadsheetDrawing" xmlns:a="http://schemas.openxmlformats.org/drawingml/2006/main">
  <xdr:twoCellAnchor>
    <xdr:from>
      <xdr:col>0</xdr:col>
      <xdr:colOff>28575</xdr:colOff>
      <xdr:row>3</xdr:row>
      <xdr:rowOff>19050</xdr:rowOff>
    </xdr:from>
    <xdr:to>
      <xdr:col>2</xdr:col>
      <xdr:colOff>9525</xdr:colOff>
      <xdr:row>5</xdr:row>
      <xdr:rowOff>0</xdr:rowOff>
    </xdr:to>
    <xdr:sp macro="" textlink="">
      <xdr:nvSpPr>
        <xdr:cNvPr id="2" name="Line 1">
          <a:extLst>
            <a:ext uri="{FF2B5EF4-FFF2-40B4-BE49-F238E27FC236}">
              <a16:creationId xmlns:a16="http://schemas.microsoft.com/office/drawing/2014/main" id="{A4569029-116F-46DF-B37A-F3E054DC4FD1}"/>
            </a:ext>
          </a:extLst>
        </xdr:cNvPr>
        <xdr:cNvSpPr>
          <a:spLocks noChangeShapeType="1"/>
        </xdr:cNvSpPr>
      </xdr:nvSpPr>
      <xdr:spPr bwMode="auto">
        <a:xfrm>
          <a:off x="28575" y="590550"/>
          <a:ext cx="1143000" cy="3524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16</xdr:col>
      <xdr:colOff>9524</xdr:colOff>
      <xdr:row>27</xdr:row>
      <xdr:rowOff>190501</xdr:rowOff>
    </xdr:from>
    <xdr:to>
      <xdr:col>17</xdr:col>
      <xdr:colOff>666749</xdr:colOff>
      <xdr:row>29</xdr:row>
      <xdr:rowOff>171451</xdr:rowOff>
    </xdr:to>
    <xdr:sp macro="" textlink="">
      <xdr:nvSpPr>
        <xdr:cNvPr id="3" name="Line 2">
          <a:extLst>
            <a:ext uri="{FF2B5EF4-FFF2-40B4-BE49-F238E27FC236}">
              <a16:creationId xmlns:a16="http://schemas.microsoft.com/office/drawing/2014/main" id="{54E86AB9-FB7B-47C2-B2AC-7EA46440A996}"/>
            </a:ext>
          </a:extLst>
        </xdr:cNvPr>
        <xdr:cNvSpPr>
          <a:spLocks noChangeShapeType="1"/>
        </xdr:cNvSpPr>
      </xdr:nvSpPr>
      <xdr:spPr bwMode="auto">
        <a:xfrm>
          <a:off x="7591424" y="561976"/>
          <a:ext cx="1343025" cy="3619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7620</xdr:colOff>
      <xdr:row>13</xdr:row>
      <xdr:rowOff>142875</xdr:rowOff>
    </xdr:from>
    <xdr:to>
      <xdr:col>14</xdr:col>
      <xdr:colOff>0</xdr:colOff>
      <xdr:row>34</xdr:row>
      <xdr:rowOff>0</xdr:rowOff>
    </xdr:to>
    <xdr:graphicFrame macro="">
      <xdr:nvGraphicFramePr>
        <xdr:cNvPr id="6" name="Chart 14">
          <a:extLst>
            <a:ext uri="{FF2B5EF4-FFF2-40B4-BE49-F238E27FC236}">
              <a16:creationId xmlns:a16="http://schemas.microsoft.com/office/drawing/2014/main" id="{919A8661-8D77-4460-B6F8-7ED5101032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428625</xdr:colOff>
      <xdr:row>24</xdr:row>
      <xdr:rowOff>95250</xdr:rowOff>
    </xdr:from>
    <xdr:to>
      <xdr:col>21</xdr:col>
      <xdr:colOff>190501</xdr:colOff>
      <xdr:row>26</xdr:row>
      <xdr:rowOff>123825</xdr:rowOff>
    </xdr:to>
    <xdr:sp macro="" textlink="">
      <xdr:nvSpPr>
        <xdr:cNvPr id="8" name="吹き出し: 角を丸めた四角形 7">
          <a:extLst>
            <a:ext uri="{FF2B5EF4-FFF2-40B4-BE49-F238E27FC236}">
              <a16:creationId xmlns:a16="http://schemas.microsoft.com/office/drawing/2014/main" id="{A9CF8A8D-8354-2ACE-FF2F-0BCBEC5006F4}"/>
            </a:ext>
          </a:extLst>
        </xdr:cNvPr>
        <xdr:cNvSpPr/>
      </xdr:nvSpPr>
      <xdr:spPr>
        <a:xfrm>
          <a:off x="7467600" y="5753100"/>
          <a:ext cx="2981326" cy="390525"/>
        </a:xfrm>
        <a:prstGeom prst="wedgeRoundRectCallout">
          <a:avLst>
            <a:gd name="adj1" fmla="val 53327"/>
            <a:gd name="adj2" fmla="val 194207"/>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21</a:t>
          </a:r>
          <a:r>
            <a:rPr kumimoji="1" lang="ja-JP" altLang="en-US" sz="1100"/>
            <a:t>ページの総数を、文字としてコピペする</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9525</xdr:colOff>
      <xdr:row>2</xdr:row>
      <xdr:rowOff>9525</xdr:rowOff>
    </xdr:from>
    <xdr:to>
      <xdr:col>2</xdr:col>
      <xdr:colOff>800100</xdr:colOff>
      <xdr:row>3</xdr:row>
      <xdr:rowOff>180975</xdr:rowOff>
    </xdr:to>
    <xdr:sp macro="" textlink="">
      <xdr:nvSpPr>
        <xdr:cNvPr id="2" name="Line 1">
          <a:extLst>
            <a:ext uri="{FF2B5EF4-FFF2-40B4-BE49-F238E27FC236}">
              <a16:creationId xmlns:a16="http://schemas.microsoft.com/office/drawing/2014/main" id="{AEF9D98C-BF86-4EE2-BAF6-4CA621C3A54D}"/>
            </a:ext>
          </a:extLst>
        </xdr:cNvPr>
        <xdr:cNvSpPr>
          <a:spLocks noChangeShapeType="1"/>
        </xdr:cNvSpPr>
      </xdr:nvSpPr>
      <xdr:spPr bwMode="auto">
        <a:xfrm>
          <a:off x="9525" y="390525"/>
          <a:ext cx="1333500" cy="3524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19050</xdr:colOff>
      <xdr:row>2</xdr:row>
      <xdr:rowOff>0</xdr:rowOff>
    </xdr:from>
    <xdr:to>
      <xdr:col>0</xdr:col>
      <xdr:colOff>600075</xdr:colOff>
      <xdr:row>6</xdr:row>
      <xdr:rowOff>0</xdr:rowOff>
    </xdr:to>
    <xdr:sp macro="" textlink="">
      <xdr:nvSpPr>
        <xdr:cNvPr id="2" name="Line 1">
          <a:extLst>
            <a:ext uri="{FF2B5EF4-FFF2-40B4-BE49-F238E27FC236}">
              <a16:creationId xmlns:a16="http://schemas.microsoft.com/office/drawing/2014/main" id="{177BA84E-9FA7-4434-BCF4-15363011290C}"/>
            </a:ext>
          </a:extLst>
        </xdr:cNvPr>
        <xdr:cNvSpPr>
          <a:spLocks noChangeShapeType="1"/>
        </xdr:cNvSpPr>
      </xdr:nvSpPr>
      <xdr:spPr bwMode="auto">
        <a:xfrm>
          <a:off x="19050" y="381000"/>
          <a:ext cx="581025" cy="838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8.xml><?xml version="1.0" encoding="utf-8"?>
<xdr:wsDr xmlns:xdr="http://schemas.openxmlformats.org/drawingml/2006/spreadsheetDrawing" xmlns:a="http://schemas.openxmlformats.org/drawingml/2006/main">
  <xdr:twoCellAnchor>
    <xdr:from>
      <xdr:col>0</xdr:col>
      <xdr:colOff>19050</xdr:colOff>
      <xdr:row>2</xdr:row>
      <xdr:rowOff>9525</xdr:rowOff>
    </xdr:from>
    <xdr:to>
      <xdr:col>3</xdr:col>
      <xdr:colOff>0</xdr:colOff>
      <xdr:row>4</xdr:row>
      <xdr:rowOff>180975</xdr:rowOff>
    </xdr:to>
    <xdr:sp macro="" textlink="">
      <xdr:nvSpPr>
        <xdr:cNvPr id="2" name="Line 2">
          <a:extLst>
            <a:ext uri="{FF2B5EF4-FFF2-40B4-BE49-F238E27FC236}">
              <a16:creationId xmlns:a16="http://schemas.microsoft.com/office/drawing/2014/main" id="{F5866598-8B14-4AA3-8A34-8454B57087A9}"/>
            </a:ext>
          </a:extLst>
        </xdr:cNvPr>
        <xdr:cNvSpPr>
          <a:spLocks noChangeShapeType="1"/>
        </xdr:cNvSpPr>
      </xdr:nvSpPr>
      <xdr:spPr bwMode="auto">
        <a:xfrm>
          <a:off x="19050" y="390525"/>
          <a:ext cx="2733675" cy="4381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9.xml><?xml version="1.0" encoding="utf-8"?>
<xdr:wsDr xmlns:xdr="http://schemas.openxmlformats.org/drawingml/2006/spreadsheetDrawing" xmlns:a="http://schemas.openxmlformats.org/drawingml/2006/main">
  <xdr:twoCellAnchor>
    <xdr:from>
      <xdr:col>0</xdr:col>
      <xdr:colOff>0</xdr:colOff>
      <xdr:row>3</xdr:row>
      <xdr:rowOff>28575</xdr:rowOff>
    </xdr:from>
    <xdr:to>
      <xdr:col>2</xdr:col>
      <xdr:colOff>0</xdr:colOff>
      <xdr:row>5</xdr:row>
      <xdr:rowOff>0</xdr:rowOff>
    </xdr:to>
    <xdr:sp macro="" textlink="">
      <xdr:nvSpPr>
        <xdr:cNvPr id="2" name="Line 3">
          <a:extLst>
            <a:ext uri="{FF2B5EF4-FFF2-40B4-BE49-F238E27FC236}">
              <a16:creationId xmlns:a16="http://schemas.microsoft.com/office/drawing/2014/main" id="{F0167658-E2DA-4D84-AA80-1EBE6FE74027}"/>
            </a:ext>
          </a:extLst>
        </xdr:cNvPr>
        <xdr:cNvSpPr>
          <a:spLocks noChangeShapeType="1"/>
        </xdr:cNvSpPr>
      </xdr:nvSpPr>
      <xdr:spPr bwMode="auto">
        <a:xfrm>
          <a:off x="0" y="571500"/>
          <a:ext cx="1038225" cy="3429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38100</xdr:colOff>
      <xdr:row>17</xdr:row>
      <xdr:rowOff>28575</xdr:rowOff>
    </xdr:from>
    <xdr:to>
      <xdr:col>2</xdr:col>
      <xdr:colOff>0</xdr:colOff>
      <xdr:row>19</xdr:row>
      <xdr:rowOff>9525</xdr:rowOff>
    </xdr:to>
    <xdr:sp macro="" textlink="">
      <xdr:nvSpPr>
        <xdr:cNvPr id="3" name="Line 5">
          <a:extLst>
            <a:ext uri="{FF2B5EF4-FFF2-40B4-BE49-F238E27FC236}">
              <a16:creationId xmlns:a16="http://schemas.microsoft.com/office/drawing/2014/main" id="{A015E9F3-53E4-43FB-B1DF-3E6E31735855}"/>
            </a:ext>
          </a:extLst>
        </xdr:cNvPr>
        <xdr:cNvSpPr>
          <a:spLocks noChangeShapeType="1"/>
        </xdr:cNvSpPr>
      </xdr:nvSpPr>
      <xdr:spPr bwMode="auto">
        <a:xfrm>
          <a:off x="38100" y="3200400"/>
          <a:ext cx="1000125" cy="3524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85725</xdr:colOff>
      <xdr:row>3</xdr:row>
      <xdr:rowOff>47625</xdr:rowOff>
    </xdr:from>
    <xdr:to>
      <xdr:col>15</xdr:col>
      <xdr:colOff>57150</xdr:colOff>
      <xdr:row>5</xdr:row>
      <xdr:rowOff>0</xdr:rowOff>
    </xdr:to>
    <xdr:sp macro="" textlink="">
      <xdr:nvSpPr>
        <xdr:cNvPr id="4" name="Line 11">
          <a:extLst>
            <a:ext uri="{FF2B5EF4-FFF2-40B4-BE49-F238E27FC236}">
              <a16:creationId xmlns:a16="http://schemas.microsoft.com/office/drawing/2014/main" id="{DE537954-FC91-486A-9317-FE874FDA9A95}"/>
            </a:ext>
          </a:extLst>
        </xdr:cNvPr>
        <xdr:cNvSpPr>
          <a:spLocks noChangeShapeType="1"/>
        </xdr:cNvSpPr>
      </xdr:nvSpPr>
      <xdr:spPr bwMode="auto">
        <a:xfrm>
          <a:off x="6172200" y="590550"/>
          <a:ext cx="1247775" cy="3238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34924</xdr:colOff>
      <xdr:row>30</xdr:row>
      <xdr:rowOff>122767</xdr:rowOff>
    </xdr:from>
    <xdr:to>
      <xdr:col>11</xdr:col>
      <xdr:colOff>406400</xdr:colOff>
      <xdr:row>48</xdr:row>
      <xdr:rowOff>135467</xdr:rowOff>
    </xdr:to>
    <xdr:graphicFrame macro="">
      <xdr:nvGraphicFramePr>
        <xdr:cNvPr id="5" name="Chart 24">
          <a:extLst>
            <a:ext uri="{FF2B5EF4-FFF2-40B4-BE49-F238E27FC236}">
              <a16:creationId xmlns:a16="http://schemas.microsoft.com/office/drawing/2014/main" id="{92A22FE4-C79E-4DC4-B2CA-A6C964E8D7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391582</xdr:colOff>
      <xdr:row>0</xdr:row>
      <xdr:rowOff>84667</xdr:rowOff>
    </xdr:from>
    <xdr:to>
      <xdr:col>18</xdr:col>
      <xdr:colOff>179916</xdr:colOff>
      <xdr:row>2</xdr:row>
      <xdr:rowOff>52916</xdr:rowOff>
    </xdr:to>
    <xdr:sp macro="" textlink="">
      <xdr:nvSpPr>
        <xdr:cNvPr id="6" name="吹き出し: 角を丸めた四角形 5">
          <a:extLst>
            <a:ext uri="{FF2B5EF4-FFF2-40B4-BE49-F238E27FC236}">
              <a16:creationId xmlns:a16="http://schemas.microsoft.com/office/drawing/2014/main" id="{BBF24868-4641-218C-C6CC-CD245AEE0D0E}"/>
            </a:ext>
          </a:extLst>
        </xdr:cNvPr>
        <xdr:cNvSpPr/>
      </xdr:nvSpPr>
      <xdr:spPr>
        <a:xfrm>
          <a:off x="6508749" y="84667"/>
          <a:ext cx="2042584" cy="338666"/>
        </a:xfrm>
        <a:prstGeom prst="wedgeRoundRectCallout">
          <a:avLst>
            <a:gd name="adj1" fmla="val -3760"/>
            <a:gd name="adj2" fmla="val 112500"/>
            <a:gd name="adj3" fmla="val 16667"/>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25</a:t>
          </a:r>
          <a:r>
            <a:rPr kumimoji="1" lang="ja-JP" altLang="en-US" sz="1100"/>
            <a:t>ページの総数をコピペする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38100</xdr:colOff>
      <xdr:row>1</xdr:row>
      <xdr:rowOff>9525</xdr:rowOff>
    </xdr:from>
    <xdr:to>
      <xdr:col>3</xdr:col>
      <xdr:colOff>0</xdr:colOff>
      <xdr:row>2</xdr:row>
      <xdr:rowOff>211667</xdr:rowOff>
    </xdr:to>
    <xdr:sp macro="" textlink="">
      <xdr:nvSpPr>
        <xdr:cNvPr id="2" name="Line 1">
          <a:extLst>
            <a:ext uri="{FF2B5EF4-FFF2-40B4-BE49-F238E27FC236}">
              <a16:creationId xmlns:a16="http://schemas.microsoft.com/office/drawing/2014/main" id="{58650951-E975-4DD6-90E4-0F2DC170F36B}"/>
            </a:ext>
          </a:extLst>
        </xdr:cNvPr>
        <xdr:cNvSpPr>
          <a:spLocks noChangeShapeType="1"/>
        </xdr:cNvSpPr>
      </xdr:nvSpPr>
      <xdr:spPr bwMode="auto">
        <a:xfrm>
          <a:off x="38100" y="200025"/>
          <a:ext cx="1581150" cy="424392"/>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66675</xdr:colOff>
      <xdr:row>17</xdr:row>
      <xdr:rowOff>95250</xdr:rowOff>
    </xdr:from>
    <xdr:to>
      <xdr:col>10</xdr:col>
      <xdr:colOff>685800</xdr:colOff>
      <xdr:row>43</xdr:row>
      <xdr:rowOff>114300</xdr:rowOff>
    </xdr:to>
    <xdr:graphicFrame macro="">
      <xdr:nvGraphicFramePr>
        <xdr:cNvPr id="12" name="グラフ 11">
          <a:extLst>
            <a:ext uri="{FF2B5EF4-FFF2-40B4-BE49-F238E27FC236}">
              <a16:creationId xmlns:a16="http://schemas.microsoft.com/office/drawing/2014/main" id="{2DC6D1C9-8F01-1374-F00D-4AD3D0EB678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495300</xdr:colOff>
      <xdr:row>23</xdr:row>
      <xdr:rowOff>9525</xdr:rowOff>
    </xdr:from>
    <xdr:to>
      <xdr:col>22</xdr:col>
      <xdr:colOff>257175</xdr:colOff>
      <xdr:row>24</xdr:row>
      <xdr:rowOff>123826</xdr:rowOff>
    </xdr:to>
    <xdr:sp macro="" textlink="">
      <xdr:nvSpPr>
        <xdr:cNvPr id="13" name="テキスト ボックス 12">
          <a:extLst>
            <a:ext uri="{FF2B5EF4-FFF2-40B4-BE49-F238E27FC236}">
              <a16:creationId xmlns:a16="http://schemas.microsoft.com/office/drawing/2014/main" id="{2D03F2EE-5F71-4990-B949-FBBCCBB537E3}"/>
            </a:ext>
          </a:extLst>
        </xdr:cNvPr>
        <xdr:cNvSpPr txBox="1"/>
      </xdr:nvSpPr>
      <xdr:spPr>
        <a:xfrm>
          <a:off x="12963525" y="6076950"/>
          <a:ext cx="381000" cy="28575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rIns="0" rtlCol="0" anchor="t"/>
        <a:lstStyle/>
        <a:p>
          <a:r>
            <a:rPr kumimoji="1" lang="ja-JP" altLang="en-US" sz="900"/>
            <a:t>死者数</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0</xdr:col>
      <xdr:colOff>0</xdr:colOff>
      <xdr:row>2</xdr:row>
      <xdr:rowOff>9525</xdr:rowOff>
    </xdr:from>
    <xdr:to>
      <xdr:col>3</xdr:col>
      <xdr:colOff>10583</xdr:colOff>
      <xdr:row>3</xdr:row>
      <xdr:rowOff>179916</xdr:rowOff>
    </xdr:to>
    <xdr:sp macro="" textlink="">
      <xdr:nvSpPr>
        <xdr:cNvPr id="2" name="Line 1">
          <a:extLst>
            <a:ext uri="{FF2B5EF4-FFF2-40B4-BE49-F238E27FC236}">
              <a16:creationId xmlns:a16="http://schemas.microsoft.com/office/drawing/2014/main" id="{5C519C45-5790-46EB-83BE-A4F6A13C6E26}"/>
            </a:ext>
          </a:extLst>
        </xdr:cNvPr>
        <xdr:cNvSpPr>
          <a:spLocks noChangeShapeType="1"/>
        </xdr:cNvSpPr>
      </xdr:nvSpPr>
      <xdr:spPr bwMode="auto">
        <a:xfrm>
          <a:off x="0" y="390525"/>
          <a:ext cx="1259416" cy="350308"/>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1.xml><?xml version="1.0" encoding="utf-8"?>
<xdr:wsDr xmlns:xdr="http://schemas.openxmlformats.org/drawingml/2006/spreadsheetDrawing" xmlns:a="http://schemas.openxmlformats.org/drawingml/2006/main">
  <xdr:twoCellAnchor>
    <xdr:from>
      <xdr:col>0</xdr:col>
      <xdr:colOff>19050</xdr:colOff>
      <xdr:row>2</xdr:row>
      <xdr:rowOff>0</xdr:rowOff>
    </xdr:from>
    <xdr:to>
      <xdr:col>0</xdr:col>
      <xdr:colOff>600075</xdr:colOff>
      <xdr:row>6</xdr:row>
      <xdr:rowOff>0</xdr:rowOff>
    </xdr:to>
    <xdr:sp macro="" textlink="">
      <xdr:nvSpPr>
        <xdr:cNvPr id="2" name="Line 2">
          <a:extLst>
            <a:ext uri="{FF2B5EF4-FFF2-40B4-BE49-F238E27FC236}">
              <a16:creationId xmlns:a16="http://schemas.microsoft.com/office/drawing/2014/main" id="{B202C349-0C09-4A8B-8869-A7D199AE8BDE}"/>
            </a:ext>
          </a:extLst>
        </xdr:cNvPr>
        <xdr:cNvSpPr>
          <a:spLocks noChangeShapeType="1"/>
        </xdr:cNvSpPr>
      </xdr:nvSpPr>
      <xdr:spPr bwMode="auto">
        <a:xfrm>
          <a:off x="19050" y="381000"/>
          <a:ext cx="533400" cy="6191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2.xml><?xml version="1.0" encoding="utf-8"?>
<xdr:wsDr xmlns:xdr="http://schemas.openxmlformats.org/drawingml/2006/spreadsheetDrawing" xmlns:a="http://schemas.openxmlformats.org/drawingml/2006/main">
  <xdr:twoCellAnchor>
    <xdr:from>
      <xdr:col>0</xdr:col>
      <xdr:colOff>9525</xdr:colOff>
      <xdr:row>2</xdr:row>
      <xdr:rowOff>0</xdr:rowOff>
    </xdr:from>
    <xdr:to>
      <xdr:col>3</xdr:col>
      <xdr:colOff>0</xdr:colOff>
      <xdr:row>4</xdr:row>
      <xdr:rowOff>152400</xdr:rowOff>
    </xdr:to>
    <xdr:sp macro="" textlink="">
      <xdr:nvSpPr>
        <xdr:cNvPr id="2" name="Line 1">
          <a:extLst>
            <a:ext uri="{FF2B5EF4-FFF2-40B4-BE49-F238E27FC236}">
              <a16:creationId xmlns:a16="http://schemas.microsoft.com/office/drawing/2014/main" id="{22B3BAA3-E515-4BA6-9840-9412943D5EE1}"/>
            </a:ext>
          </a:extLst>
        </xdr:cNvPr>
        <xdr:cNvSpPr>
          <a:spLocks noChangeShapeType="1"/>
        </xdr:cNvSpPr>
      </xdr:nvSpPr>
      <xdr:spPr bwMode="auto">
        <a:xfrm>
          <a:off x="9525" y="381000"/>
          <a:ext cx="2743200" cy="457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3.xml><?xml version="1.0" encoding="utf-8"?>
<xdr:wsDr xmlns:xdr="http://schemas.openxmlformats.org/drawingml/2006/spreadsheetDrawing" xmlns:a="http://schemas.openxmlformats.org/drawingml/2006/main">
  <xdr:twoCellAnchor>
    <xdr:from>
      <xdr:col>0</xdr:col>
      <xdr:colOff>28575</xdr:colOff>
      <xdr:row>3</xdr:row>
      <xdr:rowOff>28575</xdr:rowOff>
    </xdr:from>
    <xdr:to>
      <xdr:col>2</xdr:col>
      <xdr:colOff>0</xdr:colOff>
      <xdr:row>5</xdr:row>
      <xdr:rowOff>19050</xdr:rowOff>
    </xdr:to>
    <xdr:sp macro="" textlink="">
      <xdr:nvSpPr>
        <xdr:cNvPr id="2" name="Line 1">
          <a:extLst>
            <a:ext uri="{FF2B5EF4-FFF2-40B4-BE49-F238E27FC236}">
              <a16:creationId xmlns:a16="http://schemas.microsoft.com/office/drawing/2014/main" id="{52CA3DCF-E458-491E-A74D-A1F95A39BDC5}"/>
            </a:ext>
          </a:extLst>
        </xdr:cNvPr>
        <xdr:cNvSpPr>
          <a:spLocks noChangeShapeType="1"/>
        </xdr:cNvSpPr>
      </xdr:nvSpPr>
      <xdr:spPr bwMode="auto">
        <a:xfrm>
          <a:off x="28575" y="628650"/>
          <a:ext cx="1219200" cy="457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19050</xdr:colOff>
      <xdr:row>16</xdr:row>
      <xdr:rowOff>9525</xdr:rowOff>
    </xdr:from>
    <xdr:to>
      <xdr:col>6</xdr:col>
      <xdr:colOff>523875</xdr:colOff>
      <xdr:row>18</xdr:row>
      <xdr:rowOff>9525</xdr:rowOff>
    </xdr:to>
    <xdr:sp macro="" textlink="">
      <xdr:nvSpPr>
        <xdr:cNvPr id="3" name="Line 2">
          <a:extLst>
            <a:ext uri="{FF2B5EF4-FFF2-40B4-BE49-F238E27FC236}">
              <a16:creationId xmlns:a16="http://schemas.microsoft.com/office/drawing/2014/main" id="{8AC0F2AB-5CB9-4066-87BA-C6FBE1ED8280}"/>
            </a:ext>
          </a:extLst>
        </xdr:cNvPr>
        <xdr:cNvSpPr>
          <a:spLocks noChangeShapeType="1"/>
        </xdr:cNvSpPr>
      </xdr:nvSpPr>
      <xdr:spPr bwMode="auto">
        <a:xfrm>
          <a:off x="1266825" y="4324350"/>
          <a:ext cx="2505075" cy="6477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4.xml><?xml version="1.0" encoding="utf-8"?>
<xdr:wsDr xmlns:xdr="http://schemas.openxmlformats.org/drawingml/2006/spreadsheetDrawing" xmlns:a="http://schemas.openxmlformats.org/drawingml/2006/main">
  <xdr:twoCellAnchor>
    <xdr:from>
      <xdr:col>0</xdr:col>
      <xdr:colOff>114300</xdr:colOff>
      <xdr:row>11</xdr:row>
      <xdr:rowOff>123824</xdr:rowOff>
    </xdr:from>
    <xdr:to>
      <xdr:col>15</xdr:col>
      <xdr:colOff>152400</xdr:colOff>
      <xdr:row>25</xdr:row>
      <xdr:rowOff>83820</xdr:rowOff>
    </xdr:to>
    <xdr:graphicFrame macro="">
      <xdr:nvGraphicFramePr>
        <xdr:cNvPr id="2" name="Chart 6">
          <a:extLst>
            <a:ext uri="{FF2B5EF4-FFF2-40B4-BE49-F238E27FC236}">
              <a16:creationId xmlns:a16="http://schemas.microsoft.com/office/drawing/2014/main" id="{DDFA645B-3B5E-43DD-860E-99C12F487A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26</xdr:row>
      <xdr:rowOff>7620</xdr:rowOff>
    </xdr:from>
    <xdr:to>
      <xdr:col>14</xdr:col>
      <xdr:colOff>428625</xdr:colOff>
      <xdr:row>46</xdr:row>
      <xdr:rowOff>76200</xdr:rowOff>
    </xdr:to>
    <xdr:graphicFrame macro="">
      <xdr:nvGraphicFramePr>
        <xdr:cNvPr id="3" name="Chart 8">
          <a:extLst>
            <a:ext uri="{FF2B5EF4-FFF2-40B4-BE49-F238E27FC236}">
              <a16:creationId xmlns:a16="http://schemas.microsoft.com/office/drawing/2014/main" id="{66FC3373-5F91-4C30-9A81-6741074A37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47625</xdr:colOff>
      <xdr:row>1</xdr:row>
      <xdr:rowOff>9525</xdr:rowOff>
    </xdr:from>
    <xdr:to>
      <xdr:col>2</xdr:col>
      <xdr:colOff>0</xdr:colOff>
      <xdr:row>3</xdr:row>
      <xdr:rowOff>0</xdr:rowOff>
    </xdr:to>
    <xdr:sp macro="" textlink="">
      <xdr:nvSpPr>
        <xdr:cNvPr id="4" name="Line 9">
          <a:extLst>
            <a:ext uri="{FF2B5EF4-FFF2-40B4-BE49-F238E27FC236}">
              <a16:creationId xmlns:a16="http://schemas.microsoft.com/office/drawing/2014/main" id="{7C604D7D-5FA9-435E-9234-D5FD2D010A72}"/>
            </a:ext>
          </a:extLst>
        </xdr:cNvPr>
        <xdr:cNvSpPr>
          <a:spLocks noChangeShapeType="1"/>
        </xdr:cNvSpPr>
      </xdr:nvSpPr>
      <xdr:spPr bwMode="auto">
        <a:xfrm>
          <a:off x="47625" y="209550"/>
          <a:ext cx="1390650" cy="4000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5.xml><?xml version="1.0" encoding="utf-8"?>
<xdr:wsDr xmlns:xdr="http://schemas.openxmlformats.org/drawingml/2006/spreadsheetDrawing" xmlns:a="http://schemas.openxmlformats.org/drawingml/2006/main">
  <xdr:twoCellAnchor>
    <xdr:from>
      <xdr:col>0</xdr:col>
      <xdr:colOff>0</xdr:colOff>
      <xdr:row>2</xdr:row>
      <xdr:rowOff>0</xdr:rowOff>
    </xdr:from>
    <xdr:to>
      <xdr:col>1</xdr:col>
      <xdr:colOff>0</xdr:colOff>
      <xdr:row>5</xdr:row>
      <xdr:rowOff>266700</xdr:rowOff>
    </xdr:to>
    <xdr:sp macro="" textlink="">
      <xdr:nvSpPr>
        <xdr:cNvPr id="2" name="Line 2">
          <a:extLst>
            <a:ext uri="{FF2B5EF4-FFF2-40B4-BE49-F238E27FC236}">
              <a16:creationId xmlns:a16="http://schemas.microsoft.com/office/drawing/2014/main" id="{6B5EB266-3363-4334-940A-F99A48BA455A}"/>
            </a:ext>
          </a:extLst>
        </xdr:cNvPr>
        <xdr:cNvSpPr>
          <a:spLocks noChangeShapeType="1"/>
        </xdr:cNvSpPr>
      </xdr:nvSpPr>
      <xdr:spPr bwMode="auto">
        <a:xfrm>
          <a:off x="0" y="390525"/>
          <a:ext cx="742950" cy="7524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xdr:row>
      <xdr:rowOff>0</xdr:rowOff>
    </xdr:from>
    <xdr:to>
      <xdr:col>1</xdr:col>
      <xdr:colOff>0</xdr:colOff>
      <xdr:row>5</xdr:row>
      <xdr:rowOff>266700</xdr:rowOff>
    </xdr:to>
    <xdr:sp macro="" textlink="">
      <xdr:nvSpPr>
        <xdr:cNvPr id="3" name="Line 3">
          <a:extLst>
            <a:ext uri="{FF2B5EF4-FFF2-40B4-BE49-F238E27FC236}">
              <a16:creationId xmlns:a16="http://schemas.microsoft.com/office/drawing/2014/main" id="{FE9B1F48-F7FB-46CB-AB96-E1E4B1004D02}"/>
            </a:ext>
          </a:extLst>
        </xdr:cNvPr>
        <xdr:cNvSpPr>
          <a:spLocks noChangeShapeType="1"/>
        </xdr:cNvSpPr>
      </xdr:nvSpPr>
      <xdr:spPr bwMode="auto">
        <a:xfrm>
          <a:off x="0" y="390525"/>
          <a:ext cx="742950" cy="7524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6.xml><?xml version="1.0" encoding="utf-8"?>
<xdr:wsDr xmlns:xdr="http://schemas.openxmlformats.org/drawingml/2006/spreadsheetDrawing" xmlns:a="http://schemas.openxmlformats.org/drawingml/2006/main">
  <xdr:twoCellAnchor>
    <xdr:from>
      <xdr:col>0</xdr:col>
      <xdr:colOff>0</xdr:colOff>
      <xdr:row>2</xdr:row>
      <xdr:rowOff>0</xdr:rowOff>
    </xdr:from>
    <xdr:to>
      <xdr:col>1</xdr:col>
      <xdr:colOff>342900</xdr:colOff>
      <xdr:row>6</xdr:row>
      <xdr:rowOff>0</xdr:rowOff>
    </xdr:to>
    <xdr:sp macro="" textlink="">
      <xdr:nvSpPr>
        <xdr:cNvPr id="2" name="Line 1">
          <a:extLst>
            <a:ext uri="{FF2B5EF4-FFF2-40B4-BE49-F238E27FC236}">
              <a16:creationId xmlns:a16="http://schemas.microsoft.com/office/drawing/2014/main" id="{A8AB24A4-82B2-4892-BA3D-14EB094E002D}"/>
            </a:ext>
          </a:extLst>
        </xdr:cNvPr>
        <xdr:cNvSpPr>
          <a:spLocks noChangeShapeType="1"/>
        </xdr:cNvSpPr>
      </xdr:nvSpPr>
      <xdr:spPr bwMode="auto">
        <a:xfrm>
          <a:off x="0" y="381000"/>
          <a:ext cx="628650" cy="8286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238123</xdr:colOff>
      <xdr:row>37</xdr:row>
      <xdr:rowOff>90485</xdr:rowOff>
    </xdr:from>
    <xdr:to>
      <xdr:col>15</xdr:col>
      <xdr:colOff>285749</xdr:colOff>
      <xdr:row>64</xdr:row>
      <xdr:rowOff>157161</xdr:rowOff>
    </xdr:to>
    <xdr:graphicFrame macro="">
      <xdr:nvGraphicFramePr>
        <xdr:cNvPr id="3" name="グラフ 3">
          <a:extLst>
            <a:ext uri="{FF2B5EF4-FFF2-40B4-BE49-F238E27FC236}">
              <a16:creationId xmlns:a16="http://schemas.microsoft.com/office/drawing/2014/main" id="{9064D5B5-F902-4F96-B30A-5103E2BA4F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348381</xdr:colOff>
      <xdr:row>37</xdr:row>
      <xdr:rowOff>116480</xdr:rowOff>
    </xdr:from>
    <xdr:to>
      <xdr:col>6</xdr:col>
      <xdr:colOff>333375</xdr:colOff>
      <xdr:row>39</xdr:row>
      <xdr:rowOff>11907</xdr:rowOff>
    </xdr:to>
    <xdr:sp macro="" textlink="">
      <xdr:nvSpPr>
        <xdr:cNvPr id="4" name="テキスト ボックス 3">
          <a:extLst>
            <a:ext uri="{FF2B5EF4-FFF2-40B4-BE49-F238E27FC236}">
              <a16:creationId xmlns:a16="http://schemas.microsoft.com/office/drawing/2014/main" id="{EB61D3D6-DED2-4A48-A6FB-78E550A8CF24}"/>
            </a:ext>
          </a:extLst>
        </xdr:cNvPr>
        <xdr:cNvSpPr txBox="1"/>
      </xdr:nvSpPr>
      <xdr:spPr>
        <a:xfrm>
          <a:off x="634131" y="8867574"/>
          <a:ext cx="2342432" cy="2526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時間帯別発生件数と負傷者数</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0</xdr:col>
      <xdr:colOff>55245</xdr:colOff>
      <xdr:row>39</xdr:row>
      <xdr:rowOff>7620</xdr:rowOff>
    </xdr:from>
    <xdr:to>
      <xdr:col>14</xdr:col>
      <xdr:colOff>379095</xdr:colOff>
      <xdr:row>53</xdr:row>
      <xdr:rowOff>45720</xdr:rowOff>
    </xdr:to>
    <xdr:graphicFrame macro="">
      <xdr:nvGraphicFramePr>
        <xdr:cNvPr id="2" name="Chart 3">
          <a:extLst>
            <a:ext uri="{FF2B5EF4-FFF2-40B4-BE49-F238E27FC236}">
              <a16:creationId xmlns:a16="http://schemas.microsoft.com/office/drawing/2014/main" id="{D60F7A9F-AAC5-4F4D-9A46-90E106AF22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xdr:row>
      <xdr:rowOff>9525</xdr:rowOff>
    </xdr:from>
    <xdr:to>
      <xdr:col>1</xdr:col>
      <xdr:colOff>790575</xdr:colOff>
      <xdr:row>5</xdr:row>
      <xdr:rowOff>0</xdr:rowOff>
    </xdr:to>
    <xdr:sp macro="" textlink="">
      <xdr:nvSpPr>
        <xdr:cNvPr id="3" name="Line 4">
          <a:extLst>
            <a:ext uri="{FF2B5EF4-FFF2-40B4-BE49-F238E27FC236}">
              <a16:creationId xmlns:a16="http://schemas.microsoft.com/office/drawing/2014/main" id="{AB77154F-BB82-4C9E-A3FE-9AC3150A3BB0}"/>
            </a:ext>
          </a:extLst>
        </xdr:cNvPr>
        <xdr:cNvSpPr>
          <a:spLocks noChangeShapeType="1"/>
        </xdr:cNvSpPr>
      </xdr:nvSpPr>
      <xdr:spPr bwMode="auto">
        <a:xfrm>
          <a:off x="0" y="504825"/>
          <a:ext cx="933450" cy="4191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47625</xdr:colOff>
      <xdr:row>25</xdr:row>
      <xdr:rowOff>66674</xdr:rowOff>
    </xdr:from>
    <xdr:to>
      <xdr:col>14</xdr:col>
      <xdr:colOff>342900</xdr:colOff>
      <xdr:row>38</xdr:row>
      <xdr:rowOff>142875</xdr:rowOff>
    </xdr:to>
    <xdr:graphicFrame macro="">
      <xdr:nvGraphicFramePr>
        <xdr:cNvPr id="4" name="グラフ 3">
          <a:extLst>
            <a:ext uri="{FF2B5EF4-FFF2-40B4-BE49-F238E27FC236}">
              <a16:creationId xmlns:a16="http://schemas.microsoft.com/office/drawing/2014/main" id="{943F808E-DE23-4544-8BD8-874916C48E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169546</xdr:colOff>
      <xdr:row>26</xdr:row>
      <xdr:rowOff>57150</xdr:rowOff>
    </xdr:from>
    <xdr:to>
      <xdr:col>2</xdr:col>
      <xdr:colOff>156210</xdr:colOff>
      <xdr:row>27</xdr:row>
      <xdr:rowOff>129540</xdr:rowOff>
    </xdr:to>
    <xdr:sp macro="" textlink="">
      <xdr:nvSpPr>
        <xdr:cNvPr id="5" name="テキスト ボックス 4">
          <a:extLst>
            <a:ext uri="{FF2B5EF4-FFF2-40B4-BE49-F238E27FC236}">
              <a16:creationId xmlns:a16="http://schemas.microsoft.com/office/drawing/2014/main" id="{BB7C8843-5B8D-4825-B595-BED522F7CA13}"/>
            </a:ext>
          </a:extLst>
        </xdr:cNvPr>
        <xdr:cNvSpPr txBox="1"/>
      </xdr:nvSpPr>
      <xdr:spPr>
        <a:xfrm>
          <a:off x="299086" y="6541770"/>
          <a:ext cx="702944" cy="247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latin typeface="ＭＳ Ｐゴシック" panose="020B0600070205080204" pitchFamily="50" charset="-128"/>
              <a:ea typeface="ＭＳ Ｐゴシック" panose="020B0600070205080204" pitchFamily="50" charset="-128"/>
            </a:rPr>
            <a:t>件数（件）</a:t>
          </a:r>
        </a:p>
      </xdr:txBody>
    </xdr:sp>
    <xdr:clientData/>
  </xdr:twoCellAnchor>
  <xdr:twoCellAnchor>
    <xdr:from>
      <xdr:col>12</xdr:col>
      <xdr:colOff>453391</xdr:colOff>
      <xdr:row>39</xdr:row>
      <xdr:rowOff>129540</xdr:rowOff>
    </xdr:from>
    <xdr:to>
      <xdr:col>14</xdr:col>
      <xdr:colOff>449580</xdr:colOff>
      <xdr:row>41</xdr:row>
      <xdr:rowOff>91440</xdr:rowOff>
    </xdr:to>
    <xdr:sp macro="" textlink="">
      <xdr:nvSpPr>
        <xdr:cNvPr id="6" name="テキスト ボックス 5">
          <a:extLst>
            <a:ext uri="{FF2B5EF4-FFF2-40B4-BE49-F238E27FC236}">
              <a16:creationId xmlns:a16="http://schemas.microsoft.com/office/drawing/2014/main" id="{38C8D891-DA0B-496E-A06B-CE41BED1AED9}"/>
            </a:ext>
          </a:extLst>
        </xdr:cNvPr>
        <xdr:cNvSpPr txBox="1"/>
      </xdr:nvSpPr>
      <xdr:spPr>
        <a:xfrm>
          <a:off x="6023611" y="8892540"/>
          <a:ext cx="941069" cy="3124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死者数（人）</a:t>
          </a:r>
        </a:p>
      </xdr:txBody>
    </xdr:sp>
    <xdr:clientData/>
  </xdr:twoCellAnchor>
</xdr:wsDr>
</file>

<file path=xl/drawings/drawing38.xml><?xml version="1.0" encoding="utf-8"?>
<c:userShapes xmlns:c="http://schemas.openxmlformats.org/drawingml/2006/chart">
  <cdr:relSizeAnchor xmlns:cdr="http://schemas.openxmlformats.org/drawingml/2006/chartDrawing">
    <cdr:from>
      <cdr:x>0.48281</cdr:x>
      <cdr:y>0.88843</cdr:y>
    </cdr:from>
    <cdr:to>
      <cdr:x>0.55158</cdr:x>
      <cdr:y>0.9876</cdr:y>
    </cdr:to>
    <cdr:sp macro="" textlink="">
      <cdr:nvSpPr>
        <cdr:cNvPr id="2" name="テキスト ボックス 1"/>
        <cdr:cNvSpPr txBox="1"/>
      </cdr:nvSpPr>
      <cdr:spPr>
        <a:xfrm xmlns:a="http://schemas.openxmlformats.org/drawingml/2006/main">
          <a:off x="3343275" y="2047876"/>
          <a:ext cx="476250" cy="2286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0.50412</cdr:x>
      <cdr:y>0.89256</cdr:y>
    </cdr:from>
    <cdr:to>
      <cdr:x>0.56602</cdr:x>
      <cdr:y>1</cdr:y>
    </cdr:to>
    <cdr:sp macro="" textlink="">
      <cdr:nvSpPr>
        <cdr:cNvPr id="3" name="テキスト ボックス 2"/>
        <cdr:cNvSpPr txBox="1"/>
      </cdr:nvSpPr>
      <cdr:spPr>
        <a:xfrm xmlns:a="http://schemas.openxmlformats.org/drawingml/2006/main">
          <a:off x="3433239" y="2101604"/>
          <a:ext cx="421562" cy="25297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000">
              <a:latin typeface="ＭＳ Ｐゴシック" panose="020B0600070205080204" pitchFamily="50" charset="-128"/>
              <a:ea typeface="ＭＳ Ｐゴシック" panose="020B0600070205080204" pitchFamily="50" charset="-128"/>
            </a:rPr>
            <a:t>月</a:t>
          </a:r>
        </a:p>
      </cdr:txBody>
    </cdr:sp>
  </cdr:relSizeAnchor>
</c:userShapes>
</file>

<file path=xl/drawings/drawing39.xml><?xml version="1.0" encoding="utf-8"?>
<xdr:wsDr xmlns:xdr="http://schemas.openxmlformats.org/drawingml/2006/spreadsheetDrawing" xmlns:a="http://schemas.openxmlformats.org/drawingml/2006/main">
  <xdr:twoCellAnchor>
    <xdr:from>
      <xdr:col>0</xdr:col>
      <xdr:colOff>246532</xdr:colOff>
      <xdr:row>27</xdr:row>
      <xdr:rowOff>235322</xdr:rowOff>
    </xdr:from>
    <xdr:to>
      <xdr:col>12</xdr:col>
      <xdr:colOff>723900</xdr:colOff>
      <xdr:row>49</xdr:row>
      <xdr:rowOff>112058</xdr:rowOff>
    </xdr:to>
    <xdr:graphicFrame macro="">
      <xdr:nvGraphicFramePr>
        <xdr:cNvPr id="2" name="グラフ 1">
          <a:extLst>
            <a:ext uri="{FF2B5EF4-FFF2-40B4-BE49-F238E27FC236}">
              <a16:creationId xmlns:a16="http://schemas.microsoft.com/office/drawing/2014/main" id="{4B3E32F8-7523-4768-B053-50C71A34CD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19050</xdr:colOff>
      <xdr:row>3</xdr:row>
      <xdr:rowOff>0</xdr:rowOff>
    </xdr:from>
    <xdr:to>
      <xdr:col>1</xdr:col>
      <xdr:colOff>0</xdr:colOff>
      <xdr:row>6</xdr:row>
      <xdr:rowOff>19050</xdr:rowOff>
    </xdr:to>
    <xdr:sp macro="" textlink="">
      <xdr:nvSpPr>
        <xdr:cNvPr id="2" name="Line 1">
          <a:extLst>
            <a:ext uri="{FF2B5EF4-FFF2-40B4-BE49-F238E27FC236}">
              <a16:creationId xmlns:a16="http://schemas.microsoft.com/office/drawing/2014/main" id="{F335F9B5-177E-4C70-A726-98FEF7C5AAB4}"/>
            </a:ext>
          </a:extLst>
        </xdr:cNvPr>
        <xdr:cNvSpPr>
          <a:spLocks noChangeShapeType="1"/>
        </xdr:cNvSpPr>
      </xdr:nvSpPr>
      <xdr:spPr bwMode="auto">
        <a:xfrm>
          <a:off x="19050" y="609600"/>
          <a:ext cx="723900" cy="4572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0.xml><?xml version="1.0" encoding="utf-8"?>
<c:userShapes xmlns:c="http://schemas.openxmlformats.org/drawingml/2006/chart">
  <cdr:relSizeAnchor xmlns:cdr="http://schemas.openxmlformats.org/drawingml/2006/chartDrawing">
    <cdr:from>
      <cdr:x>0.28154</cdr:x>
      <cdr:y>0.07143</cdr:y>
    </cdr:from>
    <cdr:to>
      <cdr:x>0.67459</cdr:x>
      <cdr:y>0.15413</cdr:y>
    </cdr:to>
    <cdr:sp macro="" textlink="">
      <cdr:nvSpPr>
        <cdr:cNvPr id="2" name="テキスト ボックス 1"/>
        <cdr:cNvSpPr txBox="1"/>
      </cdr:nvSpPr>
      <cdr:spPr>
        <a:xfrm xmlns:a="http://schemas.openxmlformats.org/drawingml/2006/main">
          <a:off x="1725704" y="212910"/>
          <a:ext cx="2409265" cy="24653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0.16636</cdr:x>
      <cdr:y>0.03383</cdr:y>
    </cdr:from>
    <cdr:to>
      <cdr:x>0.80073</cdr:x>
      <cdr:y>0.15038</cdr:y>
    </cdr:to>
    <cdr:sp macro="" textlink="">
      <cdr:nvSpPr>
        <cdr:cNvPr id="4" name="テキスト ボックス 3"/>
        <cdr:cNvSpPr txBox="1"/>
      </cdr:nvSpPr>
      <cdr:spPr>
        <a:xfrm xmlns:a="http://schemas.openxmlformats.org/drawingml/2006/main">
          <a:off x="1019734" y="100852"/>
          <a:ext cx="3888441" cy="34738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sz="1100"/>
        </a:p>
      </cdr:txBody>
    </cdr:sp>
  </cdr:relSizeAnchor>
  <cdr:relSizeAnchor xmlns:cdr="http://schemas.openxmlformats.org/drawingml/2006/chartDrawing">
    <cdr:from>
      <cdr:x>0.21032</cdr:x>
      <cdr:y>0.04498</cdr:y>
    </cdr:from>
    <cdr:to>
      <cdr:x>0.84104</cdr:x>
      <cdr:y>0.1728</cdr:y>
    </cdr:to>
    <cdr:sp macro="" textlink="">
      <cdr:nvSpPr>
        <cdr:cNvPr id="5" name="テキスト ボックス 4"/>
        <cdr:cNvSpPr txBox="1"/>
      </cdr:nvSpPr>
      <cdr:spPr>
        <a:xfrm xmlns:a="http://schemas.openxmlformats.org/drawingml/2006/main">
          <a:off x="1432179" y="168572"/>
          <a:ext cx="4294944" cy="47903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ja-JP" altLang="en-US" sz="1200" b="1"/>
            <a:t>自転車対自転車・自転車対歩行者関連事故件数の推移</a:t>
          </a:r>
        </a:p>
      </cdr:txBody>
    </cdr:sp>
  </cdr:relSizeAnchor>
</c:userShapes>
</file>

<file path=xl/drawings/drawing41.xml><?xml version="1.0" encoding="utf-8"?>
<xdr:wsDr xmlns:xdr="http://schemas.openxmlformats.org/drawingml/2006/spreadsheetDrawing" xmlns:a="http://schemas.openxmlformats.org/drawingml/2006/main">
  <xdr:twoCellAnchor>
    <xdr:from>
      <xdr:col>0</xdr:col>
      <xdr:colOff>0</xdr:colOff>
      <xdr:row>1</xdr:row>
      <xdr:rowOff>0</xdr:rowOff>
    </xdr:from>
    <xdr:to>
      <xdr:col>3</xdr:col>
      <xdr:colOff>9525</xdr:colOff>
      <xdr:row>3</xdr:row>
      <xdr:rowOff>0</xdr:rowOff>
    </xdr:to>
    <xdr:sp macro="" textlink="">
      <xdr:nvSpPr>
        <xdr:cNvPr id="2" name="Line 1">
          <a:extLst>
            <a:ext uri="{FF2B5EF4-FFF2-40B4-BE49-F238E27FC236}">
              <a16:creationId xmlns:a16="http://schemas.microsoft.com/office/drawing/2014/main" id="{DC3323E5-47C6-46F1-9999-65DA3E91AD96}"/>
            </a:ext>
          </a:extLst>
        </xdr:cNvPr>
        <xdr:cNvSpPr>
          <a:spLocks noChangeShapeType="1"/>
        </xdr:cNvSpPr>
      </xdr:nvSpPr>
      <xdr:spPr bwMode="auto">
        <a:xfrm>
          <a:off x="0" y="200025"/>
          <a:ext cx="2286000" cy="5334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2.xml><?xml version="1.0" encoding="utf-8"?>
<xdr:wsDr xmlns:xdr="http://schemas.openxmlformats.org/drawingml/2006/spreadsheetDrawing" xmlns:a="http://schemas.openxmlformats.org/drawingml/2006/main">
  <xdr:twoCellAnchor>
    <xdr:from>
      <xdr:col>0</xdr:col>
      <xdr:colOff>0</xdr:colOff>
      <xdr:row>2</xdr:row>
      <xdr:rowOff>0</xdr:rowOff>
    </xdr:from>
    <xdr:to>
      <xdr:col>1</xdr:col>
      <xdr:colOff>0</xdr:colOff>
      <xdr:row>5</xdr:row>
      <xdr:rowOff>266700</xdr:rowOff>
    </xdr:to>
    <xdr:sp macro="" textlink="">
      <xdr:nvSpPr>
        <xdr:cNvPr id="2" name="Line 1">
          <a:extLst>
            <a:ext uri="{FF2B5EF4-FFF2-40B4-BE49-F238E27FC236}">
              <a16:creationId xmlns:a16="http://schemas.microsoft.com/office/drawing/2014/main" id="{38643FF7-95F5-43D2-9F46-EE77DA67C381}"/>
            </a:ext>
          </a:extLst>
        </xdr:cNvPr>
        <xdr:cNvSpPr>
          <a:spLocks noChangeShapeType="1"/>
        </xdr:cNvSpPr>
      </xdr:nvSpPr>
      <xdr:spPr bwMode="auto">
        <a:xfrm>
          <a:off x="0" y="390525"/>
          <a:ext cx="742950" cy="7429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xdr:row>
      <xdr:rowOff>0</xdr:rowOff>
    </xdr:from>
    <xdr:to>
      <xdr:col>1</xdr:col>
      <xdr:colOff>0</xdr:colOff>
      <xdr:row>5</xdr:row>
      <xdr:rowOff>266700</xdr:rowOff>
    </xdr:to>
    <xdr:sp macro="" textlink="">
      <xdr:nvSpPr>
        <xdr:cNvPr id="3" name="Line 2">
          <a:extLst>
            <a:ext uri="{FF2B5EF4-FFF2-40B4-BE49-F238E27FC236}">
              <a16:creationId xmlns:a16="http://schemas.microsoft.com/office/drawing/2014/main" id="{C3DAEB87-9F4C-45C1-A300-CEDAD8EDF38F}"/>
            </a:ext>
          </a:extLst>
        </xdr:cNvPr>
        <xdr:cNvSpPr>
          <a:spLocks noChangeShapeType="1"/>
        </xdr:cNvSpPr>
      </xdr:nvSpPr>
      <xdr:spPr bwMode="auto">
        <a:xfrm>
          <a:off x="0" y="390525"/>
          <a:ext cx="742950" cy="7429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3.xml><?xml version="1.0" encoding="utf-8"?>
<xdr:wsDr xmlns:xdr="http://schemas.openxmlformats.org/drawingml/2006/spreadsheetDrawing" xmlns:a="http://schemas.openxmlformats.org/drawingml/2006/main">
  <xdr:twoCellAnchor>
    <xdr:from>
      <xdr:col>0</xdr:col>
      <xdr:colOff>38100</xdr:colOff>
      <xdr:row>2</xdr:row>
      <xdr:rowOff>9525</xdr:rowOff>
    </xdr:from>
    <xdr:to>
      <xdr:col>2</xdr:col>
      <xdr:colOff>0</xdr:colOff>
      <xdr:row>5</xdr:row>
      <xdr:rowOff>161925</xdr:rowOff>
    </xdr:to>
    <xdr:sp macro="" textlink="">
      <xdr:nvSpPr>
        <xdr:cNvPr id="2" name="Line 1">
          <a:extLst>
            <a:ext uri="{FF2B5EF4-FFF2-40B4-BE49-F238E27FC236}">
              <a16:creationId xmlns:a16="http://schemas.microsoft.com/office/drawing/2014/main" id="{7656BF5E-D023-4A90-97FB-354F1B6E469F}"/>
            </a:ext>
          </a:extLst>
        </xdr:cNvPr>
        <xdr:cNvSpPr>
          <a:spLocks noChangeShapeType="1"/>
        </xdr:cNvSpPr>
      </xdr:nvSpPr>
      <xdr:spPr bwMode="auto">
        <a:xfrm>
          <a:off x="38100" y="400050"/>
          <a:ext cx="485775" cy="6096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54768</xdr:colOff>
      <xdr:row>35</xdr:row>
      <xdr:rowOff>97631</xdr:rowOff>
    </xdr:from>
    <xdr:to>
      <xdr:col>14</xdr:col>
      <xdr:colOff>466725</xdr:colOff>
      <xdr:row>57</xdr:row>
      <xdr:rowOff>116680</xdr:rowOff>
    </xdr:to>
    <xdr:graphicFrame macro="">
      <xdr:nvGraphicFramePr>
        <xdr:cNvPr id="3" name="グラフ 2">
          <a:extLst>
            <a:ext uri="{FF2B5EF4-FFF2-40B4-BE49-F238E27FC236}">
              <a16:creationId xmlns:a16="http://schemas.microsoft.com/office/drawing/2014/main" id="{20EFA4D8-15B6-4FF5-AB52-0C0061A702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266701</xdr:colOff>
      <xdr:row>37</xdr:row>
      <xdr:rowOff>78581</xdr:rowOff>
    </xdr:from>
    <xdr:to>
      <xdr:col>6</xdr:col>
      <xdr:colOff>128588</xdr:colOff>
      <xdr:row>38</xdr:row>
      <xdr:rowOff>155607</xdr:rowOff>
    </xdr:to>
    <xdr:sp macro="" textlink="">
      <xdr:nvSpPr>
        <xdr:cNvPr id="4" name="テキスト ボックス 3">
          <a:extLst>
            <a:ext uri="{FF2B5EF4-FFF2-40B4-BE49-F238E27FC236}">
              <a16:creationId xmlns:a16="http://schemas.microsoft.com/office/drawing/2014/main" id="{38E38CF0-5CB1-4D37-AA62-F81144DC036C}"/>
            </a:ext>
          </a:extLst>
        </xdr:cNvPr>
        <xdr:cNvSpPr txBox="1"/>
      </xdr:nvSpPr>
      <xdr:spPr>
        <a:xfrm>
          <a:off x="790576" y="10234612"/>
          <a:ext cx="2159793" cy="2556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時間帯別発生件数と負傷者数</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0</xdr:col>
      <xdr:colOff>47624</xdr:colOff>
      <xdr:row>4</xdr:row>
      <xdr:rowOff>9526</xdr:rowOff>
    </xdr:from>
    <xdr:to>
      <xdr:col>2</xdr:col>
      <xdr:colOff>10583</xdr:colOff>
      <xdr:row>5</xdr:row>
      <xdr:rowOff>179917</xdr:rowOff>
    </xdr:to>
    <xdr:sp macro="" textlink="">
      <xdr:nvSpPr>
        <xdr:cNvPr id="2" name="Line 1">
          <a:extLst>
            <a:ext uri="{FF2B5EF4-FFF2-40B4-BE49-F238E27FC236}">
              <a16:creationId xmlns:a16="http://schemas.microsoft.com/office/drawing/2014/main" id="{57EDD705-6F93-43AF-8980-953DB8078D4C}"/>
            </a:ext>
          </a:extLst>
        </xdr:cNvPr>
        <xdr:cNvSpPr>
          <a:spLocks noChangeShapeType="1"/>
        </xdr:cNvSpPr>
      </xdr:nvSpPr>
      <xdr:spPr bwMode="auto">
        <a:xfrm>
          <a:off x="47624" y="760943"/>
          <a:ext cx="1222376" cy="350307"/>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66675</xdr:colOff>
      <xdr:row>26</xdr:row>
      <xdr:rowOff>133350</xdr:rowOff>
    </xdr:from>
    <xdr:to>
      <xdr:col>14</xdr:col>
      <xdr:colOff>169333</xdr:colOff>
      <xdr:row>39</xdr:row>
      <xdr:rowOff>152400</xdr:rowOff>
    </xdr:to>
    <xdr:graphicFrame macro="">
      <xdr:nvGraphicFramePr>
        <xdr:cNvPr id="3" name="Chart 3">
          <a:extLst>
            <a:ext uri="{FF2B5EF4-FFF2-40B4-BE49-F238E27FC236}">
              <a16:creationId xmlns:a16="http://schemas.microsoft.com/office/drawing/2014/main" id="{F6581EA5-833A-4FC2-AD88-159DCB3CF8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91017</xdr:colOff>
      <xdr:row>42</xdr:row>
      <xdr:rowOff>50801</xdr:rowOff>
    </xdr:from>
    <xdr:to>
      <xdr:col>14</xdr:col>
      <xdr:colOff>177800</xdr:colOff>
      <xdr:row>52</xdr:row>
      <xdr:rowOff>621243</xdr:rowOff>
    </xdr:to>
    <xdr:graphicFrame macro="">
      <xdr:nvGraphicFramePr>
        <xdr:cNvPr id="4" name="Chart 5">
          <a:extLst>
            <a:ext uri="{FF2B5EF4-FFF2-40B4-BE49-F238E27FC236}">
              <a16:creationId xmlns:a16="http://schemas.microsoft.com/office/drawing/2014/main" id="{A74E1818-143C-43FE-8EC0-0C591CDD29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5.xml><?xml version="1.0" encoding="utf-8"?>
<xdr:wsDr xmlns:xdr="http://schemas.openxmlformats.org/drawingml/2006/spreadsheetDrawing" xmlns:a="http://schemas.openxmlformats.org/drawingml/2006/main">
  <xdr:twoCellAnchor>
    <xdr:from>
      <xdr:col>0</xdr:col>
      <xdr:colOff>0</xdr:colOff>
      <xdr:row>2</xdr:row>
      <xdr:rowOff>19050</xdr:rowOff>
    </xdr:from>
    <xdr:to>
      <xdr:col>3</xdr:col>
      <xdr:colOff>28575</xdr:colOff>
      <xdr:row>4</xdr:row>
      <xdr:rowOff>161925</xdr:rowOff>
    </xdr:to>
    <xdr:sp macro="" textlink="">
      <xdr:nvSpPr>
        <xdr:cNvPr id="2" name="Line 1">
          <a:extLst>
            <a:ext uri="{FF2B5EF4-FFF2-40B4-BE49-F238E27FC236}">
              <a16:creationId xmlns:a16="http://schemas.microsoft.com/office/drawing/2014/main" id="{89A3975D-D564-496C-AF26-336A108B068A}"/>
            </a:ext>
          </a:extLst>
        </xdr:cNvPr>
        <xdr:cNvSpPr>
          <a:spLocks noChangeShapeType="1"/>
        </xdr:cNvSpPr>
      </xdr:nvSpPr>
      <xdr:spPr bwMode="auto">
        <a:xfrm>
          <a:off x="0" y="400050"/>
          <a:ext cx="2647950" cy="4000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6.xml><?xml version="1.0" encoding="utf-8"?>
<xdr:wsDr xmlns:xdr="http://schemas.openxmlformats.org/drawingml/2006/spreadsheetDrawing" xmlns:a="http://schemas.openxmlformats.org/drawingml/2006/main">
  <xdr:twoCellAnchor>
    <xdr:from>
      <xdr:col>0</xdr:col>
      <xdr:colOff>0</xdr:colOff>
      <xdr:row>2</xdr:row>
      <xdr:rowOff>0</xdr:rowOff>
    </xdr:from>
    <xdr:to>
      <xdr:col>1</xdr:col>
      <xdr:colOff>0</xdr:colOff>
      <xdr:row>5</xdr:row>
      <xdr:rowOff>266700</xdr:rowOff>
    </xdr:to>
    <xdr:sp macro="" textlink="">
      <xdr:nvSpPr>
        <xdr:cNvPr id="2" name="Line 1">
          <a:extLst>
            <a:ext uri="{FF2B5EF4-FFF2-40B4-BE49-F238E27FC236}">
              <a16:creationId xmlns:a16="http://schemas.microsoft.com/office/drawing/2014/main" id="{AAEC698B-7EDB-429D-BC8D-59E98C0823AE}"/>
            </a:ext>
          </a:extLst>
        </xdr:cNvPr>
        <xdr:cNvSpPr>
          <a:spLocks noChangeShapeType="1"/>
        </xdr:cNvSpPr>
      </xdr:nvSpPr>
      <xdr:spPr bwMode="auto">
        <a:xfrm>
          <a:off x="0" y="390525"/>
          <a:ext cx="628650" cy="6286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7.xml><?xml version="1.0" encoding="utf-8"?>
<xdr:wsDr xmlns:xdr="http://schemas.openxmlformats.org/drawingml/2006/spreadsheetDrawing" xmlns:a="http://schemas.openxmlformats.org/drawingml/2006/main">
  <xdr:twoCellAnchor>
    <xdr:from>
      <xdr:col>0</xdr:col>
      <xdr:colOff>0</xdr:colOff>
      <xdr:row>2</xdr:row>
      <xdr:rowOff>0</xdr:rowOff>
    </xdr:from>
    <xdr:to>
      <xdr:col>2</xdr:col>
      <xdr:colOff>0</xdr:colOff>
      <xdr:row>6</xdr:row>
      <xdr:rowOff>0</xdr:rowOff>
    </xdr:to>
    <xdr:sp macro="" textlink="">
      <xdr:nvSpPr>
        <xdr:cNvPr id="2" name="Line 3">
          <a:extLst>
            <a:ext uri="{FF2B5EF4-FFF2-40B4-BE49-F238E27FC236}">
              <a16:creationId xmlns:a16="http://schemas.microsoft.com/office/drawing/2014/main" id="{D52E5C60-CF08-4467-A360-B9BEE781C126}"/>
            </a:ext>
          </a:extLst>
        </xdr:cNvPr>
        <xdr:cNvSpPr>
          <a:spLocks noChangeShapeType="1"/>
        </xdr:cNvSpPr>
      </xdr:nvSpPr>
      <xdr:spPr bwMode="auto">
        <a:xfrm>
          <a:off x="0" y="390525"/>
          <a:ext cx="523875" cy="6286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8.xml><?xml version="1.0" encoding="utf-8"?>
<xdr:wsDr xmlns:xdr="http://schemas.openxmlformats.org/drawingml/2006/spreadsheetDrawing" xmlns:a="http://schemas.openxmlformats.org/drawingml/2006/main">
  <xdr:twoCellAnchor>
    <xdr:from>
      <xdr:col>0</xdr:col>
      <xdr:colOff>0</xdr:colOff>
      <xdr:row>3</xdr:row>
      <xdr:rowOff>0</xdr:rowOff>
    </xdr:from>
    <xdr:to>
      <xdr:col>2</xdr:col>
      <xdr:colOff>9525</xdr:colOff>
      <xdr:row>5</xdr:row>
      <xdr:rowOff>0</xdr:rowOff>
    </xdr:to>
    <xdr:sp macro="" textlink="">
      <xdr:nvSpPr>
        <xdr:cNvPr id="2" name="Line 1">
          <a:extLst>
            <a:ext uri="{FF2B5EF4-FFF2-40B4-BE49-F238E27FC236}">
              <a16:creationId xmlns:a16="http://schemas.microsoft.com/office/drawing/2014/main" id="{4746B5D0-AACB-479E-A0B5-95B41E14647E}"/>
            </a:ext>
          </a:extLst>
        </xdr:cNvPr>
        <xdr:cNvSpPr>
          <a:spLocks noChangeShapeType="1"/>
        </xdr:cNvSpPr>
      </xdr:nvSpPr>
      <xdr:spPr bwMode="auto">
        <a:xfrm>
          <a:off x="0" y="571500"/>
          <a:ext cx="1133475" cy="3714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34290</xdr:colOff>
      <xdr:row>23</xdr:row>
      <xdr:rowOff>43815</xdr:rowOff>
    </xdr:from>
    <xdr:to>
      <xdr:col>14</xdr:col>
      <xdr:colOff>81915</xdr:colOff>
      <xdr:row>35</xdr:row>
      <xdr:rowOff>38100</xdr:rowOff>
    </xdr:to>
    <xdr:graphicFrame macro="">
      <xdr:nvGraphicFramePr>
        <xdr:cNvPr id="3" name="Chart 3">
          <a:extLst>
            <a:ext uri="{FF2B5EF4-FFF2-40B4-BE49-F238E27FC236}">
              <a16:creationId xmlns:a16="http://schemas.microsoft.com/office/drawing/2014/main" id="{27D1F9BE-AE59-408D-AF06-FFF2BCBCAA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51435</xdr:colOff>
      <xdr:row>36</xdr:row>
      <xdr:rowOff>22860</xdr:rowOff>
    </xdr:from>
    <xdr:to>
      <xdr:col>14</xdr:col>
      <xdr:colOff>89535</xdr:colOff>
      <xdr:row>47</xdr:row>
      <xdr:rowOff>693421</xdr:rowOff>
    </xdr:to>
    <xdr:graphicFrame macro="">
      <xdr:nvGraphicFramePr>
        <xdr:cNvPr id="4" name="Chart 5">
          <a:extLst>
            <a:ext uri="{FF2B5EF4-FFF2-40B4-BE49-F238E27FC236}">
              <a16:creationId xmlns:a16="http://schemas.microsoft.com/office/drawing/2014/main" id="{D204B602-6981-47A9-AA35-9BF475D40F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9.xml><?xml version="1.0" encoding="utf-8"?>
<xdr:wsDr xmlns:xdr="http://schemas.openxmlformats.org/drawingml/2006/spreadsheetDrawing" xmlns:a="http://schemas.openxmlformats.org/drawingml/2006/main">
  <xdr:twoCellAnchor>
    <xdr:from>
      <xdr:col>0</xdr:col>
      <xdr:colOff>0</xdr:colOff>
      <xdr:row>1</xdr:row>
      <xdr:rowOff>0</xdr:rowOff>
    </xdr:from>
    <xdr:to>
      <xdr:col>3</xdr:col>
      <xdr:colOff>19050</xdr:colOff>
      <xdr:row>3</xdr:row>
      <xdr:rowOff>171450</xdr:rowOff>
    </xdr:to>
    <xdr:sp macro="" textlink="">
      <xdr:nvSpPr>
        <xdr:cNvPr id="2" name="Line 1">
          <a:extLst>
            <a:ext uri="{FF2B5EF4-FFF2-40B4-BE49-F238E27FC236}">
              <a16:creationId xmlns:a16="http://schemas.microsoft.com/office/drawing/2014/main" id="{D99968FA-A8DA-4783-B92F-3D8C360F07FF}"/>
            </a:ext>
          </a:extLst>
        </xdr:cNvPr>
        <xdr:cNvSpPr>
          <a:spLocks noChangeShapeType="1"/>
        </xdr:cNvSpPr>
      </xdr:nvSpPr>
      <xdr:spPr bwMode="auto">
        <a:xfrm>
          <a:off x="0" y="200025"/>
          <a:ext cx="2676525" cy="4476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38100</xdr:colOff>
      <xdr:row>5</xdr:row>
      <xdr:rowOff>19050</xdr:rowOff>
    </xdr:from>
    <xdr:to>
      <xdr:col>4</xdr:col>
      <xdr:colOff>0</xdr:colOff>
      <xdr:row>6</xdr:row>
      <xdr:rowOff>161925</xdr:rowOff>
    </xdr:to>
    <xdr:sp macro="" textlink="">
      <xdr:nvSpPr>
        <xdr:cNvPr id="2" name="Line 1">
          <a:extLst>
            <a:ext uri="{FF2B5EF4-FFF2-40B4-BE49-F238E27FC236}">
              <a16:creationId xmlns:a16="http://schemas.microsoft.com/office/drawing/2014/main" id="{A347EFD4-28DF-4507-ABF9-532A893948C0}"/>
            </a:ext>
          </a:extLst>
        </xdr:cNvPr>
        <xdr:cNvSpPr>
          <a:spLocks noChangeShapeType="1"/>
        </xdr:cNvSpPr>
      </xdr:nvSpPr>
      <xdr:spPr bwMode="auto">
        <a:xfrm>
          <a:off x="38100" y="1038225"/>
          <a:ext cx="1095375" cy="3238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50.xml><?xml version="1.0" encoding="utf-8"?>
<xdr:wsDr xmlns:xdr="http://schemas.openxmlformats.org/drawingml/2006/spreadsheetDrawing" xmlns:a="http://schemas.openxmlformats.org/drawingml/2006/main">
  <xdr:twoCellAnchor>
    <xdr:from>
      <xdr:col>0</xdr:col>
      <xdr:colOff>0</xdr:colOff>
      <xdr:row>2</xdr:row>
      <xdr:rowOff>0</xdr:rowOff>
    </xdr:from>
    <xdr:to>
      <xdr:col>1</xdr:col>
      <xdr:colOff>0</xdr:colOff>
      <xdr:row>5</xdr:row>
      <xdr:rowOff>266700</xdr:rowOff>
    </xdr:to>
    <xdr:sp macro="" textlink="">
      <xdr:nvSpPr>
        <xdr:cNvPr id="2" name="Line 3">
          <a:extLst>
            <a:ext uri="{FF2B5EF4-FFF2-40B4-BE49-F238E27FC236}">
              <a16:creationId xmlns:a16="http://schemas.microsoft.com/office/drawing/2014/main" id="{1E69C627-D7AB-4826-94CD-D9C71D711EF0}"/>
            </a:ext>
          </a:extLst>
        </xdr:cNvPr>
        <xdr:cNvSpPr>
          <a:spLocks noChangeShapeType="1"/>
        </xdr:cNvSpPr>
      </xdr:nvSpPr>
      <xdr:spPr bwMode="auto">
        <a:xfrm>
          <a:off x="0" y="390525"/>
          <a:ext cx="628650" cy="7334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2</xdr:row>
      <xdr:rowOff>0</xdr:rowOff>
    </xdr:from>
    <xdr:to>
      <xdr:col>1</xdr:col>
      <xdr:colOff>0</xdr:colOff>
      <xdr:row>5</xdr:row>
      <xdr:rowOff>266700</xdr:rowOff>
    </xdr:to>
    <xdr:sp macro="" textlink="">
      <xdr:nvSpPr>
        <xdr:cNvPr id="3" name="Line 4">
          <a:extLst>
            <a:ext uri="{FF2B5EF4-FFF2-40B4-BE49-F238E27FC236}">
              <a16:creationId xmlns:a16="http://schemas.microsoft.com/office/drawing/2014/main" id="{5AD087FC-E04B-40A6-AA36-3127FE4D82D3}"/>
            </a:ext>
          </a:extLst>
        </xdr:cNvPr>
        <xdr:cNvSpPr>
          <a:spLocks noChangeShapeType="1"/>
        </xdr:cNvSpPr>
      </xdr:nvSpPr>
      <xdr:spPr bwMode="auto">
        <a:xfrm>
          <a:off x="0" y="390525"/>
          <a:ext cx="628650" cy="7334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51.xml><?xml version="1.0" encoding="utf-8"?>
<xdr:wsDr xmlns:xdr="http://schemas.openxmlformats.org/drawingml/2006/spreadsheetDrawing" xmlns:a="http://schemas.openxmlformats.org/drawingml/2006/main">
  <xdr:twoCellAnchor>
    <xdr:from>
      <xdr:col>0</xdr:col>
      <xdr:colOff>38100</xdr:colOff>
      <xdr:row>2</xdr:row>
      <xdr:rowOff>0</xdr:rowOff>
    </xdr:from>
    <xdr:to>
      <xdr:col>2</xdr:col>
      <xdr:colOff>0</xdr:colOff>
      <xdr:row>5</xdr:row>
      <xdr:rowOff>161925</xdr:rowOff>
    </xdr:to>
    <xdr:sp macro="" textlink="">
      <xdr:nvSpPr>
        <xdr:cNvPr id="2" name="Line 3">
          <a:extLst>
            <a:ext uri="{FF2B5EF4-FFF2-40B4-BE49-F238E27FC236}">
              <a16:creationId xmlns:a16="http://schemas.microsoft.com/office/drawing/2014/main" id="{0E1EE960-92AC-45DA-8AFA-199A3D5DEE0A}"/>
            </a:ext>
          </a:extLst>
        </xdr:cNvPr>
        <xdr:cNvSpPr>
          <a:spLocks noChangeShapeType="1"/>
        </xdr:cNvSpPr>
      </xdr:nvSpPr>
      <xdr:spPr bwMode="auto">
        <a:xfrm>
          <a:off x="38100" y="390525"/>
          <a:ext cx="476250" cy="71437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52.xml><?xml version="1.0" encoding="utf-8"?>
<xdr:wsDr xmlns:xdr="http://schemas.openxmlformats.org/drawingml/2006/spreadsheetDrawing" xmlns:a="http://schemas.openxmlformats.org/drawingml/2006/main">
  <xdr:twoCellAnchor>
    <xdr:from>
      <xdr:col>0</xdr:col>
      <xdr:colOff>47625</xdr:colOff>
      <xdr:row>2</xdr:row>
      <xdr:rowOff>9525</xdr:rowOff>
    </xdr:from>
    <xdr:to>
      <xdr:col>2</xdr:col>
      <xdr:colOff>0</xdr:colOff>
      <xdr:row>4</xdr:row>
      <xdr:rowOff>9525</xdr:rowOff>
    </xdr:to>
    <xdr:sp macro="" textlink="">
      <xdr:nvSpPr>
        <xdr:cNvPr id="2" name="Line 2">
          <a:extLst>
            <a:ext uri="{FF2B5EF4-FFF2-40B4-BE49-F238E27FC236}">
              <a16:creationId xmlns:a16="http://schemas.microsoft.com/office/drawing/2014/main" id="{6AB72CE1-558D-4CD4-B56F-64FF4C32EE43}"/>
            </a:ext>
          </a:extLst>
        </xdr:cNvPr>
        <xdr:cNvSpPr>
          <a:spLocks noChangeShapeType="1"/>
        </xdr:cNvSpPr>
      </xdr:nvSpPr>
      <xdr:spPr bwMode="auto">
        <a:xfrm>
          <a:off x="47625" y="352425"/>
          <a:ext cx="1323975" cy="3429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38100</xdr:colOff>
      <xdr:row>16</xdr:row>
      <xdr:rowOff>28575</xdr:rowOff>
    </xdr:from>
    <xdr:to>
      <xdr:col>2</xdr:col>
      <xdr:colOff>0</xdr:colOff>
      <xdr:row>18</xdr:row>
      <xdr:rowOff>0</xdr:rowOff>
    </xdr:to>
    <xdr:sp macro="" textlink="">
      <xdr:nvSpPr>
        <xdr:cNvPr id="3" name="Line 3">
          <a:extLst>
            <a:ext uri="{FF2B5EF4-FFF2-40B4-BE49-F238E27FC236}">
              <a16:creationId xmlns:a16="http://schemas.microsoft.com/office/drawing/2014/main" id="{C4727C2E-F7D0-460A-8196-A03745FCF17E}"/>
            </a:ext>
          </a:extLst>
        </xdr:cNvPr>
        <xdr:cNvSpPr>
          <a:spLocks noChangeShapeType="1"/>
        </xdr:cNvSpPr>
      </xdr:nvSpPr>
      <xdr:spPr bwMode="auto">
        <a:xfrm>
          <a:off x="38100" y="2600325"/>
          <a:ext cx="1333500" cy="3143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25</xdr:row>
      <xdr:rowOff>0</xdr:rowOff>
    </xdr:from>
    <xdr:to>
      <xdr:col>2</xdr:col>
      <xdr:colOff>447675</xdr:colOff>
      <xdr:row>27</xdr:row>
      <xdr:rowOff>171450</xdr:rowOff>
    </xdr:to>
    <xdr:sp macro="" textlink="">
      <xdr:nvSpPr>
        <xdr:cNvPr id="4" name="Line 4">
          <a:extLst>
            <a:ext uri="{FF2B5EF4-FFF2-40B4-BE49-F238E27FC236}">
              <a16:creationId xmlns:a16="http://schemas.microsoft.com/office/drawing/2014/main" id="{7C8DC80B-3E7E-44C5-A70A-FD662A4C4D3A}"/>
            </a:ext>
          </a:extLst>
        </xdr:cNvPr>
        <xdr:cNvSpPr>
          <a:spLocks noChangeShapeType="1"/>
        </xdr:cNvSpPr>
      </xdr:nvSpPr>
      <xdr:spPr bwMode="auto">
        <a:xfrm>
          <a:off x="9525" y="3943350"/>
          <a:ext cx="1809750" cy="5143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oneCellAnchor>
    <xdr:from>
      <xdr:col>1</xdr:col>
      <xdr:colOff>933450</xdr:colOff>
      <xdr:row>57</xdr:row>
      <xdr:rowOff>114300</xdr:rowOff>
    </xdr:from>
    <xdr:ext cx="1985415" cy="275717"/>
    <xdr:sp macro="" textlink="">
      <xdr:nvSpPr>
        <xdr:cNvPr id="5" name="テキスト ボックス 4">
          <a:extLst>
            <a:ext uri="{FF2B5EF4-FFF2-40B4-BE49-F238E27FC236}">
              <a16:creationId xmlns:a16="http://schemas.microsoft.com/office/drawing/2014/main" id="{5DCBFE13-6270-4126-B222-83D2FC45256E}"/>
            </a:ext>
          </a:extLst>
        </xdr:cNvPr>
        <xdr:cNvSpPr txBox="1"/>
      </xdr:nvSpPr>
      <xdr:spPr>
        <a:xfrm>
          <a:off x="1076325" y="10048875"/>
          <a:ext cx="198541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時間帯別発生件数と負傷者数</a:t>
          </a:r>
        </a:p>
      </xdr:txBody>
    </xdr:sp>
    <xdr:clientData/>
  </xdr:oneCellAnchor>
  <xdr:twoCellAnchor>
    <xdr:from>
      <xdr:col>4</xdr:col>
      <xdr:colOff>447676</xdr:colOff>
      <xdr:row>55</xdr:row>
      <xdr:rowOff>85724</xdr:rowOff>
    </xdr:from>
    <xdr:to>
      <xdr:col>14</xdr:col>
      <xdr:colOff>152400</xdr:colOff>
      <xdr:row>73</xdr:row>
      <xdr:rowOff>28575</xdr:rowOff>
    </xdr:to>
    <xdr:graphicFrame macro="">
      <xdr:nvGraphicFramePr>
        <xdr:cNvPr id="6" name="グラフ 7">
          <a:extLst>
            <a:ext uri="{FF2B5EF4-FFF2-40B4-BE49-F238E27FC236}">
              <a16:creationId xmlns:a16="http://schemas.microsoft.com/office/drawing/2014/main" id="{2E889482-2DE8-4F61-BE62-FBC45F8BC8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3.xml><?xml version="1.0" encoding="utf-8"?>
<c:userShapes xmlns:c="http://schemas.openxmlformats.org/drawingml/2006/chart">
  <cdr:relSizeAnchor xmlns:cdr="http://schemas.openxmlformats.org/drawingml/2006/chartDrawing">
    <cdr:from>
      <cdr:x>0.06197</cdr:x>
      <cdr:y>0.13348</cdr:y>
    </cdr:from>
    <cdr:to>
      <cdr:x>0.63099</cdr:x>
      <cdr:y>0.22101</cdr:y>
    </cdr:to>
    <cdr:sp macro="" textlink="">
      <cdr:nvSpPr>
        <cdr:cNvPr id="2" name="テキスト ボックス 1"/>
        <cdr:cNvSpPr txBox="1"/>
      </cdr:nvSpPr>
      <cdr:spPr>
        <a:xfrm xmlns:a="http://schemas.openxmlformats.org/drawingml/2006/main">
          <a:off x="209550" y="581025"/>
          <a:ext cx="1924050" cy="3810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ja-JP" altLang="en-US"/>
        </a:p>
      </cdr:txBody>
    </cdr:sp>
  </cdr:relSizeAnchor>
</c:userShapes>
</file>

<file path=xl/drawings/drawing54.xml><?xml version="1.0" encoding="utf-8"?>
<xdr:wsDr xmlns:xdr="http://schemas.openxmlformats.org/drawingml/2006/spreadsheetDrawing" xmlns:a="http://schemas.openxmlformats.org/drawingml/2006/main">
  <xdr:twoCellAnchor>
    <xdr:from>
      <xdr:col>1</xdr:col>
      <xdr:colOff>9524</xdr:colOff>
      <xdr:row>2</xdr:row>
      <xdr:rowOff>9525</xdr:rowOff>
    </xdr:from>
    <xdr:to>
      <xdr:col>2</xdr:col>
      <xdr:colOff>828674</xdr:colOff>
      <xdr:row>4</xdr:row>
      <xdr:rowOff>0</xdr:rowOff>
    </xdr:to>
    <xdr:sp macro="" textlink="">
      <xdr:nvSpPr>
        <xdr:cNvPr id="2" name="Line 2">
          <a:extLst>
            <a:ext uri="{FF2B5EF4-FFF2-40B4-BE49-F238E27FC236}">
              <a16:creationId xmlns:a16="http://schemas.microsoft.com/office/drawing/2014/main" id="{B6D7D465-42AF-40D1-AA6B-81EAD90D28DA}"/>
            </a:ext>
          </a:extLst>
        </xdr:cNvPr>
        <xdr:cNvSpPr>
          <a:spLocks noChangeShapeType="1"/>
        </xdr:cNvSpPr>
      </xdr:nvSpPr>
      <xdr:spPr bwMode="auto">
        <a:xfrm>
          <a:off x="695324" y="400050"/>
          <a:ext cx="923925" cy="3619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19050</xdr:colOff>
      <xdr:row>3</xdr:row>
      <xdr:rowOff>28575</xdr:rowOff>
    </xdr:from>
    <xdr:to>
      <xdr:col>1</xdr:col>
      <xdr:colOff>685800</xdr:colOff>
      <xdr:row>5</xdr:row>
      <xdr:rowOff>0</xdr:rowOff>
    </xdr:to>
    <xdr:sp macro="" textlink="">
      <xdr:nvSpPr>
        <xdr:cNvPr id="2" name="Line 5">
          <a:extLst>
            <a:ext uri="{FF2B5EF4-FFF2-40B4-BE49-F238E27FC236}">
              <a16:creationId xmlns:a16="http://schemas.microsoft.com/office/drawing/2014/main" id="{6FFF1D45-A09F-4B0D-AC91-C35357E1C449}"/>
            </a:ext>
          </a:extLst>
        </xdr:cNvPr>
        <xdr:cNvSpPr>
          <a:spLocks noChangeShapeType="1"/>
        </xdr:cNvSpPr>
      </xdr:nvSpPr>
      <xdr:spPr bwMode="auto">
        <a:xfrm>
          <a:off x="19050" y="628650"/>
          <a:ext cx="762000" cy="4000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28575</xdr:colOff>
      <xdr:row>10</xdr:row>
      <xdr:rowOff>238125</xdr:rowOff>
    </xdr:from>
    <xdr:to>
      <xdr:col>2</xdr:col>
      <xdr:colOff>0</xdr:colOff>
      <xdr:row>12</xdr:row>
      <xdr:rowOff>238125</xdr:rowOff>
    </xdr:to>
    <xdr:sp macro="" textlink="">
      <xdr:nvSpPr>
        <xdr:cNvPr id="3" name="Line 6">
          <a:extLst>
            <a:ext uri="{FF2B5EF4-FFF2-40B4-BE49-F238E27FC236}">
              <a16:creationId xmlns:a16="http://schemas.microsoft.com/office/drawing/2014/main" id="{AEFEB4A7-EB71-4A57-89F9-713F8F856830}"/>
            </a:ext>
          </a:extLst>
        </xdr:cNvPr>
        <xdr:cNvSpPr>
          <a:spLocks noChangeShapeType="1"/>
        </xdr:cNvSpPr>
      </xdr:nvSpPr>
      <xdr:spPr bwMode="auto">
        <a:xfrm>
          <a:off x="28575" y="2857500"/>
          <a:ext cx="762000" cy="4953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21</xdr:row>
      <xdr:rowOff>171450</xdr:rowOff>
    </xdr:from>
    <xdr:to>
      <xdr:col>14</xdr:col>
      <xdr:colOff>447675</xdr:colOff>
      <xdr:row>44</xdr:row>
      <xdr:rowOff>142875</xdr:rowOff>
    </xdr:to>
    <xdr:graphicFrame macro="">
      <xdr:nvGraphicFramePr>
        <xdr:cNvPr id="4" name="Chart 11">
          <a:extLst>
            <a:ext uri="{FF2B5EF4-FFF2-40B4-BE49-F238E27FC236}">
              <a16:creationId xmlns:a16="http://schemas.microsoft.com/office/drawing/2014/main" id="{BCCF4767-B7B4-4D10-8FA7-2897C71137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295275</xdr:colOff>
      <xdr:row>18</xdr:row>
      <xdr:rowOff>66675</xdr:rowOff>
    </xdr:from>
    <xdr:to>
      <xdr:col>8</xdr:col>
      <xdr:colOff>655320</xdr:colOff>
      <xdr:row>29</xdr:row>
      <xdr:rowOff>19050</xdr:rowOff>
    </xdr:to>
    <xdr:graphicFrame macro="">
      <xdr:nvGraphicFramePr>
        <xdr:cNvPr id="2" name="Chart 1">
          <a:extLst>
            <a:ext uri="{FF2B5EF4-FFF2-40B4-BE49-F238E27FC236}">
              <a16:creationId xmlns:a16="http://schemas.microsoft.com/office/drawing/2014/main" id="{7FBB9659-972C-4C02-A4BE-2D4AE6C854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66674</xdr:colOff>
      <xdr:row>30</xdr:row>
      <xdr:rowOff>38100</xdr:rowOff>
    </xdr:from>
    <xdr:to>
      <xdr:col>9</xdr:col>
      <xdr:colOff>45719</xdr:colOff>
      <xdr:row>42</xdr:row>
      <xdr:rowOff>9525</xdr:rowOff>
    </xdr:to>
    <xdr:graphicFrame macro="">
      <xdr:nvGraphicFramePr>
        <xdr:cNvPr id="3" name="Chart 2">
          <a:extLst>
            <a:ext uri="{FF2B5EF4-FFF2-40B4-BE49-F238E27FC236}">
              <a16:creationId xmlns:a16="http://schemas.microsoft.com/office/drawing/2014/main" id="{FEEC2DB7-FF5E-4B36-BF0A-9F2B99BA33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83820</xdr:colOff>
      <xdr:row>42</xdr:row>
      <xdr:rowOff>165735</xdr:rowOff>
    </xdr:from>
    <xdr:to>
      <xdr:col>9</xdr:col>
      <xdr:colOff>106680</xdr:colOff>
      <xdr:row>54</xdr:row>
      <xdr:rowOff>57150</xdr:rowOff>
    </xdr:to>
    <xdr:graphicFrame macro="">
      <xdr:nvGraphicFramePr>
        <xdr:cNvPr id="4" name="Chart 3">
          <a:extLst>
            <a:ext uri="{FF2B5EF4-FFF2-40B4-BE49-F238E27FC236}">
              <a16:creationId xmlns:a16="http://schemas.microsoft.com/office/drawing/2014/main" id="{0970E2E6-5438-4C5A-B5F1-E195ABC522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180976</xdr:colOff>
      <xdr:row>21</xdr:row>
      <xdr:rowOff>85725</xdr:rowOff>
    </xdr:from>
    <xdr:to>
      <xdr:col>0</xdr:col>
      <xdr:colOff>790576</xdr:colOff>
      <xdr:row>22</xdr:row>
      <xdr:rowOff>161926</xdr:rowOff>
    </xdr:to>
    <xdr:sp macro="" textlink="">
      <xdr:nvSpPr>
        <xdr:cNvPr id="5" name="Text Box 4">
          <a:extLst>
            <a:ext uri="{FF2B5EF4-FFF2-40B4-BE49-F238E27FC236}">
              <a16:creationId xmlns:a16="http://schemas.microsoft.com/office/drawing/2014/main" id="{709A189B-DBF1-4589-8A65-3D9B69BFA649}"/>
            </a:ext>
          </a:extLst>
        </xdr:cNvPr>
        <xdr:cNvSpPr txBox="1">
          <a:spLocks noChangeArrowheads="1"/>
        </xdr:cNvSpPr>
      </xdr:nvSpPr>
      <xdr:spPr bwMode="auto">
        <a:xfrm>
          <a:off x="180976" y="3267075"/>
          <a:ext cx="609600" cy="257176"/>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Ｐゴシック"/>
              <a:ea typeface="ＭＳ Ｐゴシック"/>
            </a:rPr>
            <a:t>令和５年</a:t>
          </a:r>
        </a:p>
      </xdr:txBody>
    </xdr:sp>
    <xdr:clientData/>
  </xdr:twoCellAnchor>
  <xdr:twoCellAnchor editAs="oneCell">
    <xdr:from>
      <xdr:col>0</xdr:col>
      <xdr:colOff>190500</xdr:colOff>
      <xdr:row>24</xdr:row>
      <xdr:rowOff>142875</xdr:rowOff>
    </xdr:from>
    <xdr:to>
      <xdr:col>0</xdr:col>
      <xdr:colOff>800100</xdr:colOff>
      <xdr:row>25</xdr:row>
      <xdr:rowOff>171451</xdr:rowOff>
    </xdr:to>
    <xdr:sp macro="" textlink="">
      <xdr:nvSpPr>
        <xdr:cNvPr id="6" name="Text Box 5">
          <a:extLst>
            <a:ext uri="{FF2B5EF4-FFF2-40B4-BE49-F238E27FC236}">
              <a16:creationId xmlns:a16="http://schemas.microsoft.com/office/drawing/2014/main" id="{205C9643-FEFD-40BC-A1EB-8758F7395153}"/>
            </a:ext>
          </a:extLst>
        </xdr:cNvPr>
        <xdr:cNvSpPr txBox="1">
          <a:spLocks noChangeArrowheads="1"/>
        </xdr:cNvSpPr>
      </xdr:nvSpPr>
      <xdr:spPr bwMode="auto">
        <a:xfrm>
          <a:off x="190500" y="3867150"/>
          <a:ext cx="609600" cy="209551"/>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ja-JP" altLang="en-US" sz="800" b="0" i="0" u="none" strike="noStrike" baseline="0">
              <a:solidFill>
                <a:sysClr val="windowText" lastClr="000000"/>
              </a:solidFill>
              <a:latin typeface="ＭＳ Ｐゴシック"/>
              <a:ea typeface="ＭＳ Ｐゴシック"/>
            </a:rPr>
            <a:t>令和６年</a:t>
          </a: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1</xdr:col>
      <xdr:colOff>115032</xdr:colOff>
      <xdr:row>25</xdr:row>
      <xdr:rowOff>5569</xdr:rowOff>
    </xdr:from>
    <xdr:to>
      <xdr:col>1</xdr:col>
      <xdr:colOff>678180</xdr:colOff>
      <xdr:row>25</xdr:row>
      <xdr:rowOff>129540</xdr:rowOff>
    </xdr:to>
    <xdr:sp macro="" textlink="">
      <xdr:nvSpPr>
        <xdr:cNvPr id="7" name="テキスト ボックス 1">
          <a:extLst>
            <a:ext uri="{FF2B5EF4-FFF2-40B4-BE49-F238E27FC236}">
              <a16:creationId xmlns:a16="http://schemas.microsoft.com/office/drawing/2014/main" id="{6BBB4A63-0B84-4982-87B5-9A73332ABDDF}"/>
            </a:ext>
          </a:extLst>
        </xdr:cNvPr>
        <xdr:cNvSpPr txBox="1"/>
      </xdr:nvSpPr>
      <xdr:spPr>
        <a:xfrm>
          <a:off x="922752" y="4021309"/>
          <a:ext cx="563148" cy="123971"/>
        </a:xfrm>
        <a:prstGeom prst="rect">
          <a:avLst/>
        </a:prstGeom>
        <a:solidFill>
          <a:schemeClr val="bg1"/>
        </a:solidFill>
      </xdr:spPr>
      <xdr:txBody>
        <a:bodyPr wrap="square" lIns="0" tIns="0" rIns="0" bIns="0" rtlCol="0" anchor="ctr" anchorCtr="0">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ja-JP" altLang="en-US" sz="800"/>
            <a:t>一般国道</a:t>
          </a:r>
        </a:p>
      </xdr:txBody>
    </xdr:sp>
    <xdr:clientData/>
  </xdr:twoCellAnchor>
  <xdr:oneCellAnchor>
    <xdr:from>
      <xdr:col>2</xdr:col>
      <xdr:colOff>649605</xdr:colOff>
      <xdr:row>21</xdr:row>
      <xdr:rowOff>145411</xdr:rowOff>
    </xdr:from>
    <xdr:ext cx="522460" cy="133370"/>
    <xdr:sp macro="" textlink="">
      <xdr:nvSpPr>
        <xdr:cNvPr id="8" name="テキスト ボックス 1">
          <a:extLst>
            <a:ext uri="{FF2B5EF4-FFF2-40B4-BE49-F238E27FC236}">
              <a16:creationId xmlns:a16="http://schemas.microsoft.com/office/drawing/2014/main" id="{F049F0AE-85A8-4871-90DE-06072C6FC8AD}"/>
            </a:ext>
          </a:extLst>
        </xdr:cNvPr>
        <xdr:cNvSpPr txBox="1"/>
      </xdr:nvSpPr>
      <xdr:spPr>
        <a:xfrm>
          <a:off x="2165985" y="3460111"/>
          <a:ext cx="522460" cy="133370"/>
        </a:xfrm>
        <a:prstGeom prst="rect">
          <a:avLst/>
        </a:prstGeom>
        <a:solidFill>
          <a:schemeClr val="bg1"/>
        </a:solidFill>
      </xdr:spPr>
      <xdr:txBody>
        <a:bodyPr wrap="none" lIns="0" tIns="0" rIns="0" bIns="0" rtlCol="0" anchor="ctr" anchorCtr="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ja-JP" altLang="en-US" sz="800"/>
            <a:t>主要地方道</a:t>
          </a:r>
        </a:p>
      </xdr:txBody>
    </xdr:sp>
    <xdr:clientData/>
  </xdr:oneCellAnchor>
  <xdr:oneCellAnchor>
    <xdr:from>
      <xdr:col>2</xdr:col>
      <xdr:colOff>699135</xdr:colOff>
      <xdr:row>24</xdr:row>
      <xdr:rowOff>165149</xdr:rowOff>
    </xdr:from>
    <xdr:ext cx="522460" cy="133370"/>
    <xdr:sp macro="" textlink="">
      <xdr:nvSpPr>
        <xdr:cNvPr id="9" name="テキスト ボックス 1">
          <a:extLst>
            <a:ext uri="{FF2B5EF4-FFF2-40B4-BE49-F238E27FC236}">
              <a16:creationId xmlns:a16="http://schemas.microsoft.com/office/drawing/2014/main" id="{AA40511E-EC6C-4F91-B576-EFB77B3C86AA}"/>
            </a:ext>
          </a:extLst>
        </xdr:cNvPr>
        <xdr:cNvSpPr txBox="1"/>
      </xdr:nvSpPr>
      <xdr:spPr>
        <a:xfrm>
          <a:off x="2215515" y="4005629"/>
          <a:ext cx="522460" cy="133370"/>
        </a:xfrm>
        <a:prstGeom prst="rect">
          <a:avLst/>
        </a:prstGeom>
        <a:solidFill>
          <a:schemeClr val="bg1"/>
        </a:solidFill>
      </xdr:spPr>
      <xdr:txBody>
        <a:bodyPr wrap="none" lIns="0" tIns="0" rIns="0" bIns="0" rtlCol="0" anchor="ctr" anchorCtr="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ja-JP" altLang="en-US" sz="800"/>
            <a:t>主要地方道</a:t>
          </a:r>
        </a:p>
      </xdr:txBody>
    </xdr:sp>
    <xdr:clientData/>
  </xdr:oneCellAnchor>
  <xdr:twoCellAnchor>
    <xdr:from>
      <xdr:col>3</xdr:col>
      <xdr:colOff>736649</xdr:colOff>
      <xdr:row>20</xdr:row>
      <xdr:rowOff>126301</xdr:rowOff>
    </xdr:from>
    <xdr:to>
      <xdr:col>4</xdr:col>
      <xdr:colOff>400210</xdr:colOff>
      <xdr:row>21</xdr:row>
      <xdr:rowOff>71550</xdr:rowOff>
    </xdr:to>
    <xdr:sp macro="" textlink="">
      <xdr:nvSpPr>
        <xdr:cNvPr id="10" name="テキスト ボックス 1">
          <a:extLst>
            <a:ext uri="{FF2B5EF4-FFF2-40B4-BE49-F238E27FC236}">
              <a16:creationId xmlns:a16="http://schemas.microsoft.com/office/drawing/2014/main" id="{AB0C0124-1B9B-47A3-A04C-9DB8B18A6EF9}"/>
            </a:ext>
          </a:extLst>
        </xdr:cNvPr>
        <xdr:cNvSpPr txBox="1"/>
      </xdr:nvSpPr>
      <xdr:spPr>
        <a:xfrm>
          <a:off x="3007409" y="3265741"/>
          <a:ext cx="410321" cy="120509"/>
        </a:xfrm>
        <a:prstGeom prst="rect">
          <a:avLst/>
        </a:prstGeom>
        <a:solidFill>
          <a:schemeClr val="bg1"/>
        </a:solidFill>
      </xdr:spPr>
      <xdr:txBody>
        <a:bodyPr wrap="square" lIns="0" tIns="0" rIns="0" bIns="0" rtlCol="0" anchor="ctr" anchorCtr="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ja-JP" altLang="en-US" sz="700"/>
            <a:t>一般府道</a:t>
          </a:r>
        </a:p>
      </xdr:txBody>
    </xdr:sp>
    <xdr:clientData/>
  </xdr:twoCellAnchor>
  <xdr:twoCellAnchor>
    <xdr:from>
      <xdr:col>3</xdr:col>
      <xdr:colOff>685800</xdr:colOff>
      <xdr:row>24</xdr:row>
      <xdr:rowOff>5568</xdr:rowOff>
    </xdr:from>
    <xdr:to>
      <xdr:col>4</xdr:col>
      <xdr:colOff>349361</xdr:colOff>
      <xdr:row>24</xdr:row>
      <xdr:rowOff>122267</xdr:rowOff>
    </xdr:to>
    <xdr:sp macro="" textlink="">
      <xdr:nvSpPr>
        <xdr:cNvPr id="11" name="テキスト ボックス 1">
          <a:extLst>
            <a:ext uri="{FF2B5EF4-FFF2-40B4-BE49-F238E27FC236}">
              <a16:creationId xmlns:a16="http://schemas.microsoft.com/office/drawing/2014/main" id="{6764541E-EBD3-4665-8611-D4B311073C78}"/>
            </a:ext>
          </a:extLst>
        </xdr:cNvPr>
        <xdr:cNvSpPr txBox="1"/>
      </xdr:nvSpPr>
      <xdr:spPr>
        <a:xfrm>
          <a:off x="2956560" y="3846048"/>
          <a:ext cx="410321" cy="116699"/>
        </a:xfrm>
        <a:prstGeom prst="rect">
          <a:avLst/>
        </a:prstGeom>
        <a:solidFill>
          <a:schemeClr val="bg1"/>
        </a:solidFill>
      </xdr:spPr>
      <xdr:txBody>
        <a:bodyPr wrap="square" lIns="0" tIns="0" rIns="0" bIns="0" rtlCol="0" anchor="ctr" anchorCtr="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ja-JP" altLang="en-US" sz="700"/>
            <a:t>一般府道</a:t>
          </a:r>
        </a:p>
      </xdr:txBody>
    </xdr:sp>
    <xdr:clientData/>
  </xdr:twoCellAnchor>
  <xdr:twoCellAnchor>
    <xdr:from>
      <xdr:col>4</xdr:col>
      <xdr:colOff>481232</xdr:colOff>
      <xdr:row>20</xdr:row>
      <xdr:rowOff>118640</xdr:rowOff>
    </xdr:from>
    <xdr:to>
      <xdr:col>5</xdr:col>
      <xdr:colOff>350520</xdr:colOff>
      <xdr:row>21</xdr:row>
      <xdr:rowOff>93549</xdr:rowOff>
    </xdr:to>
    <xdr:sp macro="" textlink="">
      <xdr:nvSpPr>
        <xdr:cNvPr id="12" name="テキスト ボックス 1">
          <a:extLst>
            <a:ext uri="{FF2B5EF4-FFF2-40B4-BE49-F238E27FC236}">
              <a16:creationId xmlns:a16="http://schemas.microsoft.com/office/drawing/2014/main" id="{9A58F6C6-F805-489F-93A0-FDD5E6BB4A38}"/>
            </a:ext>
          </a:extLst>
        </xdr:cNvPr>
        <xdr:cNvSpPr txBox="1"/>
      </xdr:nvSpPr>
      <xdr:spPr>
        <a:xfrm>
          <a:off x="3498752" y="3258080"/>
          <a:ext cx="608428" cy="150169"/>
        </a:xfrm>
        <a:prstGeom prst="rect">
          <a:avLst/>
        </a:prstGeom>
        <a:solidFill>
          <a:schemeClr val="bg1"/>
        </a:solidFill>
      </xdr:spPr>
      <xdr:txBody>
        <a:bodyPr wrap="square" lIns="0" tIns="0" rIns="0" bIns="0" rtlCol="0" anchor="ctr" anchorCtr="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ja-JP" altLang="en-US" sz="700"/>
            <a:t>大阪市道</a:t>
          </a:r>
        </a:p>
      </xdr:txBody>
    </xdr:sp>
    <xdr:clientData/>
  </xdr:twoCellAnchor>
  <xdr:twoCellAnchor>
    <xdr:from>
      <xdr:col>4</xdr:col>
      <xdr:colOff>418659</xdr:colOff>
      <xdr:row>23</xdr:row>
      <xdr:rowOff>150439</xdr:rowOff>
    </xdr:from>
    <xdr:to>
      <xdr:col>5</xdr:col>
      <xdr:colOff>198120</xdr:colOff>
      <xdr:row>24</xdr:row>
      <xdr:rowOff>125348</xdr:rowOff>
    </xdr:to>
    <xdr:sp macro="" textlink="">
      <xdr:nvSpPr>
        <xdr:cNvPr id="13" name="テキスト ボックス 1">
          <a:extLst>
            <a:ext uri="{FF2B5EF4-FFF2-40B4-BE49-F238E27FC236}">
              <a16:creationId xmlns:a16="http://schemas.microsoft.com/office/drawing/2014/main" id="{E0D13B2F-0FD9-45F9-8DC2-30E1593087BD}"/>
            </a:ext>
          </a:extLst>
        </xdr:cNvPr>
        <xdr:cNvSpPr txBox="1"/>
      </xdr:nvSpPr>
      <xdr:spPr>
        <a:xfrm>
          <a:off x="3436179" y="3815659"/>
          <a:ext cx="518601" cy="150169"/>
        </a:xfrm>
        <a:prstGeom prst="rect">
          <a:avLst/>
        </a:prstGeom>
        <a:solidFill>
          <a:schemeClr val="bg1"/>
        </a:solidFill>
      </xdr:spPr>
      <xdr:txBody>
        <a:bodyPr wrap="square" lIns="0" tIns="0" rIns="0" bIns="0" rtlCol="0" anchor="ctr" anchorCtr="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ja-JP" altLang="en-US" sz="700"/>
            <a:t>大阪市道</a:t>
          </a:r>
        </a:p>
      </xdr:txBody>
    </xdr:sp>
    <xdr:clientData/>
  </xdr:twoCellAnchor>
  <xdr:oneCellAnchor>
    <xdr:from>
      <xdr:col>5</xdr:col>
      <xdr:colOff>579120</xdr:colOff>
      <xdr:row>21</xdr:row>
      <xdr:rowOff>150814</xdr:rowOff>
    </xdr:from>
    <xdr:ext cx="403216" cy="138746"/>
    <xdr:sp macro="" textlink="">
      <xdr:nvSpPr>
        <xdr:cNvPr id="14" name="テキスト ボックス 1">
          <a:extLst>
            <a:ext uri="{FF2B5EF4-FFF2-40B4-BE49-F238E27FC236}">
              <a16:creationId xmlns:a16="http://schemas.microsoft.com/office/drawing/2014/main" id="{6E266B9A-ED0F-446B-965C-BCEA4597B5A7}"/>
            </a:ext>
          </a:extLst>
        </xdr:cNvPr>
        <xdr:cNvSpPr txBox="1"/>
      </xdr:nvSpPr>
      <xdr:spPr>
        <a:xfrm>
          <a:off x="4335780" y="3465514"/>
          <a:ext cx="403216" cy="138746"/>
        </a:xfrm>
        <a:prstGeom prst="rect">
          <a:avLst/>
        </a:prstGeom>
        <a:solidFill>
          <a:schemeClr val="bg1"/>
        </a:solidFill>
      </xdr:spPr>
      <xdr:txBody>
        <a:bodyPr wrap="square" lIns="0" tIns="0" rIns="0" bIns="0" rtlCol="0" anchor="ctr" anchorCtr="0">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ja-JP" altLang="en-US" sz="800"/>
            <a:t>その他</a:t>
          </a:r>
        </a:p>
      </xdr:txBody>
    </xdr:sp>
    <xdr:clientData/>
  </xdr:oneCellAnchor>
  <xdr:oneCellAnchor>
    <xdr:from>
      <xdr:col>5</xdr:col>
      <xdr:colOff>627184</xdr:colOff>
      <xdr:row>25</xdr:row>
      <xdr:rowOff>5497</xdr:rowOff>
    </xdr:from>
    <xdr:ext cx="309432" cy="133370"/>
    <xdr:sp macro="" textlink="">
      <xdr:nvSpPr>
        <xdr:cNvPr id="15" name="テキスト ボックス 1">
          <a:extLst>
            <a:ext uri="{FF2B5EF4-FFF2-40B4-BE49-F238E27FC236}">
              <a16:creationId xmlns:a16="http://schemas.microsoft.com/office/drawing/2014/main" id="{F2A6BDD6-AA58-453C-86D2-B9938B4A18DB}"/>
            </a:ext>
          </a:extLst>
        </xdr:cNvPr>
        <xdr:cNvSpPr txBox="1"/>
      </xdr:nvSpPr>
      <xdr:spPr>
        <a:xfrm>
          <a:off x="4383844" y="4021237"/>
          <a:ext cx="309432" cy="133370"/>
        </a:xfrm>
        <a:prstGeom prst="rect">
          <a:avLst/>
        </a:prstGeom>
        <a:solidFill>
          <a:schemeClr val="bg1"/>
        </a:solidFill>
      </xdr:spPr>
      <xdr:txBody>
        <a:bodyPr wrap="none" lIns="0" tIns="0" rIns="0" bIns="0" rtlCol="0" anchor="ctr" anchorCtr="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ja-JP" altLang="en-US" sz="800"/>
            <a:t>その他</a:t>
          </a:r>
        </a:p>
      </xdr:txBody>
    </xdr:sp>
    <xdr:clientData/>
  </xdr:oneCellAnchor>
  <xdr:twoCellAnchor>
    <xdr:from>
      <xdr:col>1</xdr:col>
      <xdr:colOff>426721</xdr:colOff>
      <xdr:row>34</xdr:row>
      <xdr:rowOff>17145</xdr:rowOff>
    </xdr:from>
    <xdr:to>
      <xdr:col>2</xdr:col>
      <xdr:colOff>232411</xdr:colOff>
      <xdr:row>34</xdr:row>
      <xdr:rowOff>140970</xdr:rowOff>
    </xdr:to>
    <xdr:sp macro="" textlink="">
      <xdr:nvSpPr>
        <xdr:cNvPr id="16" name="テキスト ボックス 1">
          <a:extLst>
            <a:ext uri="{FF2B5EF4-FFF2-40B4-BE49-F238E27FC236}">
              <a16:creationId xmlns:a16="http://schemas.microsoft.com/office/drawing/2014/main" id="{25479E40-2D54-4529-819E-1670D59CB58D}"/>
            </a:ext>
          </a:extLst>
        </xdr:cNvPr>
        <xdr:cNvSpPr txBox="1"/>
      </xdr:nvSpPr>
      <xdr:spPr>
        <a:xfrm>
          <a:off x="1234441" y="5960745"/>
          <a:ext cx="514350" cy="123825"/>
        </a:xfrm>
        <a:prstGeom prst="rect">
          <a:avLst/>
        </a:prstGeom>
        <a:solidFill>
          <a:schemeClr val="bg1"/>
        </a:solidFill>
      </xdr:spPr>
      <xdr:txBody>
        <a:bodyPr wrap="square" lIns="0" tIns="0" rIns="0" bIns="0" rtlCol="0" anchor="ctr" anchorCtr="0">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ja-JP" altLang="en-US" sz="800"/>
            <a:t>一般国道</a:t>
          </a:r>
        </a:p>
      </xdr:txBody>
    </xdr:sp>
    <xdr:clientData/>
  </xdr:twoCellAnchor>
  <xdr:twoCellAnchor>
    <xdr:from>
      <xdr:col>1</xdr:col>
      <xdr:colOff>364881</xdr:colOff>
      <xdr:row>37</xdr:row>
      <xdr:rowOff>137161</xdr:rowOff>
    </xdr:from>
    <xdr:to>
      <xdr:col>2</xdr:col>
      <xdr:colOff>167640</xdr:colOff>
      <xdr:row>38</xdr:row>
      <xdr:rowOff>76200</xdr:rowOff>
    </xdr:to>
    <xdr:sp macro="" textlink="">
      <xdr:nvSpPr>
        <xdr:cNvPr id="17" name="テキスト ボックス 1">
          <a:extLst>
            <a:ext uri="{FF2B5EF4-FFF2-40B4-BE49-F238E27FC236}">
              <a16:creationId xmlns:a16="http://schemas.microsoft.com/office/drawing/2014/main" id="{F33B8867-D8FF-4DB7-B29D-5948EAB9470D}"/>
            </a:ext>
          </a:extLst>
        </xdr:cNvPr>
        <xdr:cNvSpPr txBox="1"/>
      </xdr:nvSpPr>
      <xdr:spPr>
        <a:xfrm>
          <a:off x="1172601" y="6606541"/>
          <a:ext cx="511419" cy="114299"/>
        </a:xfrm>
        <a:prstGeom prst="rect">
          <a:avLst/>
        </a:prstGeom>
        <a:solidFill>
          <a:schemeClr val="bg1"/>
        </a:solidFill>
      </xdr:spPr>
      <xdr:txBody>
        <a:bodyPr wrap="square" lIns="0" tIns="0" rIns="0" bIns="0" rtlCol="0" anchor="ctr" anchorCtr="0">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ja-JP" altLang="en-US" sz="800"/>
            <a:t>一般国道</a:t>
          </a:r>
        </a:p>
      </xdr:txBody>
    </xdr:sp>
    <xdr:clientData/>
  </xdr:twoCellAnchor>
  <xdr:oneCellAnchor>
    <xdr:from>
      <xdr:col>3</xdr:col>
      <xdr:colOff>602420</xdr:colOff>
      <xdr:row>33</xdr:row>
      <xdr:rowOff>169545</xdr:rowOff>
    </xdr:from>
    <xdr:ext cx="522460" cy="133370"/>
    <xdr:sp macro="" textlink="">
      <xdr:nvSpPr>
        <xdr:cNvPr id="18" name="テキスト ボックス 1">
          <a:extLst>
            <a:ext uri="{FF2B5EF4-FFF2-40B4-BE49-F238E27FC236}">
              <a16:creationId xmlns:a16="http://schemas.microsoft.com/office/drawing/2014/main" id="{02267AB7-1409-41C2-85F3-617D23F0B6C2}"/>
            </a:ext>
          </a:extLst>
        </xdr:cNvPr>
        <xdr:cNvSpPr txBox="1"/>
      </xdr:nvSpPr>
      <xdr:spPr>
        <a:xfrm>
          <a:off x="2873180" y="5937885"/>
          <a:ext cx="522460" cy="133370"/>
        </a:xfrm>
        <a:prstGeom prst="rect">
          <a:avLst/>
        </a:prstGeom>
        <a:solidFill>
          <a:schemeClr val="bg1"/>
        </a:solidFill>
      </xdr:spPr>
      <xdr:txBody>
        <a:bodyPr wrap="none" lIns="0" tIns="0" rIns="0" bIns="0" rtlCol="0" anchor="ctr" anchorCtr="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ja-JP" altLang="en-US" sz="800"/>
            <a:t>主要地方道</a:t>
          </a:r>
        </a:p>
      </xdr:txBody>
    </xdr:sp>
    <xdr:clientData/>
  </xdr:oneCellAnchor>
  <xdr:oneCellAnchor>
    <xdr:from>
      <xdr:col>2</xdr:col>
      <xdr:colOff>752476</xdr:colOff>
      <xdr:row>37</xdr:row>
      <xdr:rowOff>115326</xdr:rowOff>
    </xdr:from>
    <xdr:ext cx="522460" cy="133370"/>
    <xdr:sp macro="" textlink="">
      <xdr:nvSpPr>
        <xdr:cNvPr id="19" name="テキスト ボックス 1">
          <a:extLst>
            <a:ext uri="{FF2B5EF4-FFF2-40B4-BE49-F238E27FC236}">
              <a16:creationId xmlns:a16="http://schemas.microsoft.com/office/drawing/2014/main" id="{830A6A10-5596-48EB-BBD9-747D696B4773}"/>
            </a:ext>
          </a:extLst>
        </xdr:cNvPr>
        <xdr:cNvSpPr txBox="1"/>
      </xdr:nvSpPr>
      <xdr:spPr>
        <a:xfrm>
          <a:off x="2268856" y="6584706"/>
          <a:ext cx="522460" cy="133370"/>
        </a:xfrm>
        <a:prstGeom prst="rect">
          <a:avLst/>
        </a:prstGeom>
        <a:solidFill>
          <a:schemeClr val="bg1"/>
        </a:solidFill>
      </xdr:spPr>
      <xdr:txBody>
        <a:bodyPr wrap="none" lIns="0" tIns="0" rIns="0" bIns="0" rtlCol="0" anchor="ctr" anchorCtr="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ja-JP" altLang="en-US" sz="800"/>
            <a:t>主要地方道</a:t>
          </a:r>
        </a:p>
      </xdr:txBody>
    </xdr:sp>
    <xdr:clientData/>
  </xdr:oneCellAnchor>
  <xdr:twoCellAnchor>
    <xdr:from>
      <xdr:col>4</xdr:col>
      <xdr:colOff>624841</xdr:colOff>
      <xdr:row>32</xdr:row>
      <xdr:rowOff>126333</xdr:rowOff>
    </xdr:from>
    <xdr:to>
      <xdr:col>5</xdr:col>
      <xdr:colOff>396987</xdr:colOff>
      <xdr:row>33</xdr:row>
      <xdr:rowOff>101242</xdr:rowOff>
    </xdr:to>
    <xdr:sp macro="" textlink="">
      <xdr:nvSpPr>
        <xdr:cNvPr id="20" name="テキスト ボックス 1">
          <a:extLst>
            <a:ext uri="{FF2B5EF4-FFF2-40B4-BE49-F238E27FC236}">
              <a16:creationId xmlns:a16="http://schemas.microsoft.com/office/drawing/2014/main" id="{270739AA-6283-43BD-A03E-C2BF401BE3AF}"/>
            </a:ext>
          </a:extLst>
        </xdr:cNvPr>
        <xdr:cNvSpPr txBox="1"/>
      </xdr:nvSpPr>
      <xdr:spPr>
        <a:xfrm>
          <a:off x="3642361" y="5719413"/>
          <a:ext cx="511286" cy="150169"/>
        </a:xfrm>
        <a:prstGeom prst="rect">
          <a:avLst/>
        </a:prstGeom>
        <a:solidFill>
          <a:schemeClr val="bg1"/>
        </a:solidFill>
      </xdr:spPr>
      <xdr:txBody>
        <a:bodyPr wrap="square" lIns="0" tIns="0" rIns="0" bIns="0" rtlCol="0" anchor="ctr" anchorCtr="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ja-JP" altLang="en-US" sz="700"/>
            <a:t>一般府道</a:t>
          </a:r>
        </a:p>
      </xdr:txBody>
    </xdr:sp>
    <xdr:clientData/>
  </xdr:twoCellAnchor>
  <xdr:twoCellAnchor>
    <xdr:from>
      <xdr:col>3</xdr:col>
      <xdr:colOff>579120</xdr:colOff>
      <xdr:row>36</xdr:row>
      <xdr:rowOff>83985</xdr:rowOff>
    </xdr:from>
    <xdr:to>
      <xdr:col>4</xdr:col>
      <xdr:colOff>270816</xdr:colOff>
      <xdr:row>37</xdr:row>
      <xdr:rowOff>58894</xdr:rowOff>
    </xdr:to>
    <xdr:sp macro="" textlink="">
      <xdr:nvSpPr>
        <xdr:cNvPr id="21" name="テキスト ボックス 1">
          <a:extLst>
            <a:ext uri="{FF2B5EF4-FFF2-40B4-BE49-F238E27FC236}">
              <a16:creationId xmlns:a16="http://schemas.microsoft.com/office/drawing/2014/main" id="{EF87E5C6-0058-49C5-85A5-D682C3B860B7}"/>
            </a:ext>
          </a:extLst>
        </xdr:cNvPr>
        <xdr:cNvSpPr txBox="1"/>
      </xdr:nvSpPr>
      <xdr:spPr>
        <a:xfrm>
          <a:off x="2849880" y="6378105"/>
          <a:ext cx="438456" cy="150169"/>
        </a:xfrm>
        <a:prstGeom prst="rect">
          <a:avLst/>
        </a:prstGeom>
        <a:solidFill>
          <a:schemeClr val="bg1"/>
        </a:solidFill>
      </xdr:spPr>
      <xdr:txBody>
        <a:bodyPr wrap="square" lIns="0" tIns="0" rIns="0" bIns="0" rtlCol="0" anchor="ctr" anchorCtr="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ja-JP" altLang="en-US" sz="700"/>
            <a:t>一般府道</a:t>
          </a:r>
        </a:p>
      </xdr:txBody>
    </xdr:sp>
    <xdr:clientData/>
  </xdr:twoCellAnchor>
  <xdr:twoCellAnchor>
    <xdr:from>
      <xdr:col>4</xdr:col>
      <xdr:colOff>316522</xdr:colOff>
      <xdr:row>36</xdr:row>
      <xdr:rowOff>106680</xdr:rowOff>
    </xdr:from>
    <xdr:to>
      <xdr:col>4</xdr:col>
      <xdr:colOff>727576</xdr:colOff>
      <xdr:row>37</xdr:row>
      <xdr:rowOff>51929</xdr:rowOff>
    </xdr:to>
    <xdr:sp macro="" textlink="">
      <xdr:nvSpPr>
        <xdr:cNvPr id="22" name="テキスト ボックス 1">
          <a:extLst>
            <a:ext uri="{FF2B5EF4-FFF2-40B4-BE49-F238E27FC236}">
              <a16:creationId xmlns:a16="http://schemas.microsoft.com/office/drawing/2014/main" id="{FEF0256B-E735-4FE8-B6D9-89B987D2DAED}"/>
            </a:ext>
          </a:extLst>
        </xdr:cNvPr>
        <xdr:cNvSpPr txBox="1"/>
      </xdr:nvSpPr>
      <xdr:spPr>
        <a:xfrm>
          <a:off x="3334042" y="6400800"/>
          <a:ext cx="411054" cy="120509"/>
        </a:xfrm>
        <a:prstGeom prst="rect">
          <a:avLst/>
        </a:prstGeom>
        <a:solidFill>
          <a:schemeClr val="bg1"/>
        </a:solidFill>
      </xdr:spPr>
      <xdr:txBody>
        <a:bodyPr wrap="square" lIns="0" tIns="0" rIns="0" bIns="0" rtlCol="0" anchor="ctr" anchorCtr="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ja-JP" altLang="en-US" sz="700"/>
            <a:t>大阪市道</a:t>
          </a:r>
        </a:p>
      </xdr:txBody>
    </xdr:sp>
    <xdr:clientData/>
  </xdr:twoCellAnchor>
  <xdr:oneCellAnchor>
    <xdr:from>
      <xdr:col>6</xdr:col>
      <xdr:colOff>237451</xdr:colOff>
      <xdr:row>33</xdr:row>
      <xdr:rowOff>166490</xdr:rowOff>
    </xdr:from>
    <xdr:ext cx="361685" cy="147835"/>
    <xdr:sp macro="" textlink="">
      <xdr:nvSpPr>
        <xdr:cNvPr id="23" name="テキスト ボックス 1">
          <a:extLst>
            <a:ext uri="{FF2B5EF4-FFF2-40B4-BE49-F238E27FC236}">
              <a16:creationId xmlns:a16="http://schemas.microsoft.com/office/drawing/2014/main" id="{E87FA5D5-B67C-4456-86CC-133194E52360}"/>
            </a:ext>
          </a:extLst>
        </xdr:cNvPr>
        <xdr:cNvSpPr txBox="1"/>
      </xdr:nvSpPr>
      <xdr:spPr>
        <a:xfrm>
          <a:off x="4702771" y="5934830"/>
          <a:ext cx="361685" cy="147835"/>
        </a:xfrm>
        <a:prstGeom prst="rect">
          <a:avLst/>
        </a:prstGeom>
        <a:solidFill>
          <a:schemeClr val="bg1"/>
        </a:solidFill>
      </xdr:spPr>
      <xdr:txBody>
        <a:bodyPr wrap="square" lIns="0" tIns="0" rIns="0" bIns="0" rtlCol="0" anchor="ctr" anchorCtr="0">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ja-JP" altLang="en-US" sz="800"/>
            <a:t>その他</a:t>
          </a:r>
        </a:p>
      </xdr:txBody>
    </xdr:sp>
    <xdr:clientData/>
  </xdr:oneCellAnchor>
  <xdr:oneCellAnchor>
    <xdr:from>
      <xdr:col>5</xdr:col>
      <xdr:colOff>426720</xdr:colOff>
      <xdr:row>37</xdr:row>
      <xdr:rowOff>144780</xdr:rowOff>
    </xdr:from>
    <xdr:ext cx="403860" cy="115978"/>
    <xdr:sp macro="" textlink="">
      <xdr:nvSpPr>
        <xdr:cNvPr id="24" name="テキスト ボックス 1">
          <a:extLst>
            <a:ext uri="{FF2B5EF4-FFF2-40B4-BE49-F238E27FC236}">
              <a16:creationId xmlns:a16="http://schemas.microsoft.com/office/drawing/2014/main" id="{BE9D87B1-A7C3-435B-A12C-836E5DF03905}"/>
            </a:ext>
          </a:extLst>
        </xdr:cNvPr>
        <xdr:cNvSpPr txBox="1"/>
      </xdr:nvSpPr>
      <xdr:spPr>
        <a:xfrm>
          <a:off x="4183380" y="6614160"/>
          <a:ext cx="403860" cy="115978"/>
        </a:xfrm>
        <a:prstGeom prst="rect">
          <a:avLst/>
        </a:prstGeom>
        <a:solidFill>
          <a:schemeClr val="bg1"/>
        </a:solidFill>
      </xdr:spPr>
      <xdr:txBody>
        <a:bodyPr wrap="square" lIns="0" tIns="0" rIns="0" bIns="0" rtlCol="0" anchor="ctr" anchorCtr="0">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ja-JP" altLang="en-US" sz="800"/>
            <a:t>その他</a:t>
          </a:r>
        </a:p>
      </xdr:txBody>
    </xdr:sp>
    <xdr:clientData/>
  </xdr:oneCellAnchor>
  <xdr:oneCellAnchor>
    <xdr:from>
      <xdr:col>6</xdr:col>
      <xdr:colOff>80010</xdr:colOff>
      <xdr:row>46</xdr:row>
      <xdr:rowOff>122981</xdr:rowOff>
    </xdr:from>
    <xdr:ext cx="332000" cy="133370"/>
    <xdr:sp macro="" textlink="">
      <xdr:nvSpPr>
        <xdr:cNvPr id="25" name="テキスト ボックス 1">
          <a:extLst>
            <a:ext uri="{FF2B5EF4-FFF2-40B4-BE49-F238E27FC236}">
              <a16:creationId xmlns:a16="http://schemas.microsoft.com/office/drawing/2014/main" id="{25E1A245-02D8-4E21-834E-515E337B9D91}"/>
            </a:ext>
          </a:extLst>
        </xdr:cNvPr>
        <xdr:cNvSpPr txBox="1"/>
      </xdr:nvSpPr>
      <xdr:spPr>
        <a:xfrm>
          <a:off x="4545330" y="8169701"/>
          <a:ext cx="332000" cy="133370"/>
        </a:xfrm>
        <a:prstGeom prst="rect">
          <a:avLst/>
        </a:prstGeom>
        <a:solidFill>
          <a:schemeClr val="bg1"/>
        </a:solidFill>
      </xdr:spPr>
      <xdr:txBody>
        <a:bodyPr wrap="square" lIns="0" tIns="0" rIns="0" bIns="0" rtlCol="0" anchor="ctr" anchorCtr="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ja-JP" altLang="en-US" sz="800"/>
            <a:t>その他</a:t>
          </a:r>
        </a:p>
      </xdr:txBody>
    </xdr:sp>
    <xdr:clientData/>
  </xdr:oneCellAnchor>
  <xdr:oneCellAnchor>
    <xdr:from>
      <xdr:col>6</xdr:col>
      <xdr:colOff>157675</xdr:colOff>
      <xdr:row>50</xdr:row>
      <xdr:rowOff>18318</xdr:rowOff>
    </xdr:from>
    <xdr:ext cx="299762" cy="133370"/>
    <xdr:sp macro="" textlink="">
      <xdr:nvSpPr>
        <xdr:cNvPr id="26" name="テキスト ボックス 1">
          <a:extLst>
            <a:ext uri="{FF2B5EF4-FFF2-40B4-BE49-F238E27FC236}">
              <a16:creationId xmlns:a16="http://schemas.microsoft.com/office/drawing/2014/main" id="{FE288767-0071-40E0-B914-F0706C066E2A}"/>
            </a:ext>
          </a:extLst>
        </xdr:cNvPr>
        <xdr:cNvSpPr txBox="1"/>
      </xdr:nvSpPr>
      <xdr:spPr>
        <a:xfrm>
          <a:off x="4622995" y="8766078"/>
          <a:ext cx="299762" cy="133370"/>
        </a:xfrm>
        <a:prstGeom prst="rect">
          <a:avLst/>
        </a:prstGeom>
        <a:solidFill>
          <a:schemeClr val="bg1"/>
        </a:solidFill>
      </xdr:spPr>
      <xdr:txBody>
        <a:bodyPr wrap="none" lIns="0" tIns="0" rIns="0" bIns="0" rtlCol="0" anchor="ctr" anchorCtr="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ja-JP" altLang="en-US" sz="800"/>
            <a:t>その他</a:t>
          </a:r>
        </a:p>
      </xdr:txBody>
    </xdr:sp>
    <xdr:clientData/>
  </xdr:oneCellAnchor>
  <xdr:twoCellAnchor>
    <xdr:from>
      <xdr:col>1</xdr:col>
      <xdr:colOff>294981</xdr:colOff>
      <xdr:row>46</xdr:row>
      <xdr:rowOff>142142</xdr:rowOff>
    </xdr:from>
    <xdr:to>
      <xdr:col>2</xdr:col>
      <xdr:colOff>62572</xdr:colOff>
      <xdr:row>47</xdr:row>
      <xdr:rowOff>87483</xdr:rowOff>
    </xdr:to>
    <xdr:sp macro="" textlink="">
      <xdr:nvSpPr>
        <xdr:cNvPr id="27" name="テキスト ボックス 1">
          <a:extLst>
            <a:ext uri="{FF2B5EF4-FFF2-40B4-BE49-F238E27FC236}">
              <a16:creationId xmlns:a16="http://schemas.microsoft.com/office/drawing/2014/main" id="{039F42E0-CF6F-48F8-AFF4-64C20713E088}"/>
            </a:ext>
          </a:extLst>
        </xdr:cNvPr>
        <xdr:cNvSpPr txBox="1"/>
      </xdr:nvSpPr>
      <xdr:spPr>
        <a:xfrm>
          <a:off x="1102701" y="8188862"/>
          <a:ext cx="476251" cy="120601"/>
        </a:xfrm>
        <a:prstGeom prst="rect">
          <a:avLst/>
        </a:prstGeom>
        <a:solidFill>
          <a:schemeClr val="bg1"/>
        </a:solidFill>
      </xdr:spPr>
      <xdr:txBody>
        <a:bodyPr wrap="square" lIns="0" tIns="0" rIns="0" bIns="0" rtlCol="0" anchor="ctr" anchorCtr="0">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ja-JP" altLang="en-US" sz="800"/>
            <a:t>一般国道</a:t>
          </a:r>
        </a:p>
      </xdr:txBody>
    </xdr:sp>
    <xdr:clientData/>
  </xdr:twoCellAnchor>
  <xdr:twoCellAnchor>
    <xdr:from>
      <xdr:col>1</xdr:col>
      <xdr:colOff>300404</xdr:colOff>
      <xdr:row>50</xdr:row>
      <xdr:rowOff>25792</xdr:rowOff>
    </xdr:from>
    <xdr:to>
      <xdr:col>2</xdr:col>
      <xdr:colOff>75321</xdr:colOff>
      <xdr:row>50</xdr:row>
      <xdr:rowOff>143901</xdr:rowOff>
    </xdr:to>
    <xdr:sp macro="" textlink="">
      <xdr:nvSpPr>
        <xdr:cNvPr id="28" name="テキスト ボックス 1">
          <a:extLst>
            <a:ext uri="{FF2B5EF4-FFF2-40B4-BE49-F238E27FC236}">
              <a16:creationId xmlns:a16="http://schemas.microsoft.com/office/drawing/2014/main" id="{B4D34969-C83A-4CA7-9068-FD9C90CD3EB8}"/>
            </a:ext>
          </a:extLst>
        </xdr:cNvPr>
        <xdr:cNvSpPr txBox="1"/>
      </xdr:nvSpPr>
      <xdr:spPr>
        <a:xfrm>
          <a:off x="1108124" y="8773552"/>
          <a:ext cx="483577" cy="118109"/>
        </a:xfrm>
        <a:prstGeom prst="rect">
          <a:avLst/>
        </a:prstGeom>
        <a:solidFill>
          <a:schemeClr val="bg1"/>
        </a:solidFill>
      </xdr:spPr>
      <xdr:txBody>
        <a:bodyPr wrap="square" lIns="0" tIns="0" rIns="0" bIns="0" rtlCol="0" anchor="ctr" anchorCtr="0">
          <a:no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ja-JP" altLang="en-US" sz="800"/>
            <a:t>一般国道</a:t>
          </a:r>
        </a:p>
      </xdr:txBody>
    </xdr:sp>
    <xdr:clientData/>
  </xdr:twoCellAnchor>
  <xdr:oneCellAnchor>
    <xdr:from>
      <xdr:col>3</xdr:col>
      <xdr:colOff>48651</xdr:colOff>
      <xdr:row>46</xdr:row>
      <xdr:rowOff>128221</xdr:rowOff>
    </xdr:from>
    <xdr:ext cx="522460" cy="133370"/>
    <xdr:sp macro="" textlink="">
      <xdr:nvSpPr>
        <xdr:cNvPr id="29" name="テキスト ボックス 1">
          <a:extLst>
            <a:ext uri="{FF2B5EF4-FFF2-40B4-BE49-F238E27FC236}">
              <a16:creationId xmlns:a16="http://schemas.microsoft.com/office/drawing/2014/main" id="{8B24C327-017C-4CF6-ABD6-09332017397E}"/>
            </a:ext>
          </a:extLst>
        </xdr:cNvPr>
        <xdr:cNvSpPr txBox="1"/>
      </xdr:nvSpPr>
      <xdr:spPr>
        <a:xfrm>
          <a:off x="2319411" y="8174941"/>
          <a:ext cx="522460" cy="133370"/>
        </a:xfrm>
        <a:prstGeom prst="rect">
          <a:avLst/>
        </a:prstGeom>
        <a:solidFill>
          <a:schemeClr val="bg1"/>
        </a:solidFill>
      </xdr:spPr>
      <xdr:txBody>
        <a:bodyPr wrap="none" lIns="0" tIns="0" rIns="0" bIns="0" rtlCol="0" anchor="ctr" anchorCtr="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ja-JP" altLang="en-US" sz="800"/>
            <a:t>主要地方道</a:t>
          </a:r>
        </a:p>
      </xdr:txBody>
    </xdr:sp>
    <xdr:clientData/>
  </xdr:oneCellAnchor>
  <xdr:oneCellAnchor>
    <xdr:from>
      <xdr:col>3</xdr:col>
      <xdr:colOff>72096</xdr:colOff>
      <xdr:row>50</xdr:row>
      <xdr:rowOff>28011</xdr:rowOff>
    </xdr:from>
    <xdr:ext cx="564174" cy="133370"/>
    <xdr:sp macro="" textlink="">
      <xdr:nvSpPr>
        <xdr:cNvPr id="30" name="テキスト ボックス 1">
          <a:extLst>
            <a:ext uri="{FF2B5EF4-FFF2-40B4-BE49-F238E27FC236}">
              <a16:creationId xmlns:a16="http://schemas.microsoft.com/office/drawing/2014/main" id="{BA5EBCA0-41E6-4BC7-8EC1-1DC7BDBD7898}"/>
            </a:ext>
          </a:extLst>
        </xdr:cNvPr>
        <xdr:cNvSpPr txBox="1"/>
      </xdr:nvSpPr>
      <xdr:spPr>
        <a:xfrm>
          <a:off x="2342856" y="8775771"/>
          <a:ext cx="564174" cy="133370"/>
        </a:xfrm>
        <a:prstGeom prst="rect">
          <a:avLst/>
        </a:prstGeom>
        <a:solidFill>
          <a:schemeClr val="bg1"/>
        </a:solidFill>
      </xdr:spPr>
      <xdr:txBody>
        <a:bodyPr wrap="square" lIns="0" tIns="0" rIns="0" bIns="0" rtlCol="0" anchor="ctr" anchorCtr="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ja-JP" altLang="en-US" sz="800"/>
            <a:t>主要地方道</a:t>
          </a:r>
        </a:p>
      </xdr:txBody>
    </xdr:sp>
    <xdr:clientData/>
  </xdr:oneCellAnchor>
  <xdr:twoCellAnchor>
    <xdr:from>
      <xdr:col>4</xdr:col>
      <xdr:colOff>142142</xdr:colOff>
      <xdr:row>48</xdr:row>
      <xdr:rowOff>167347</xdr:rowOff>
    </xdr:from>
    <xdr:to>
      <xdr:col>4</xdr:col>
      <xdr:colOff>552463</xdr:colOff>
      <xdr:row>49</xdr:row>
      <xdr:rowOff>111717</xdr:rowOff>
    </xdr:to>
    <xdr:sp macro="" textlink="">
      <xdr:nvSpPr>
        <xdr:cNvPr id="31" name="テキスト ボックス 1">
          <a:extLst>
            <a:ext uri="{FF2B5EF4-FFF2-40B4-BE49-F238E27FC236}">
              <a16:creationId xmlns:a16="http://schemas.microsoft.com/office/drawing/2014/main" id="{8999C405-F5A3-44D6-9356-204DA5FE2265}"/>
            </a:ext>
          </a:extLst>
        </xdr:cNvPr>
        <xdr:cNvSpPr txBox="1"/>
      </xdr:nvSpPr>
      <xdr:spPr>
        <a:xfrm>
          <a:off x="3159662" y="8564587"/>
          <a:ext cx="410321" cy="119630"/>
        </a:xfrm>
        <a:prstGeom prst="rect">
          <a:avLst/>
        </a:prstGeom>
        <a:solidFill>
          <a:schemeClr val="bg1"/>
        </a:solidFill>
      </xdr:spPr>
      <xdr:txBody>
        <a:bodyPr wrap="square" lIns="0" tIns="0" rIns="0" bIns="0" rtlCol="0" anchor="ctr" anchorCtr="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ja-JP" altLang="en-US" sz="700"/>
            <a:t>一般府道</a:t>
          </a:r>
        </a:p>
      </xdr:txBody>
    </xdr:sp>
    <xdr:clientData/>
  </xdr:twoCellAnchor>
  <xdr:twoCellAnchor>
    <xdr:from>
      <xdr:col>4</xdr:col>
      <xdr:colOff>131152</xdr:colOff>
      <xdr:row>45</xdr:row>
      <xdr:rowOff>106241</xdr:rowOff>
    </xdr:from>
    <xdr:to>
      <xdr:col>4</xdr:col>
      <xdr:colOff>541473</xdr:colOff>
      <xdr:row>46</xdr:row>
      <xdr:rowOff>54421</xdr:rowOff>
    </xdr:to>
    <xdr:sp macro="" textlink="">
      <xdr:nvSpPr>
        <xdr:cNvPr id="32" name="テキスト ボックス 1">
          <a:extLst>
            <a:ext uri="{FF2B5EF4-FFF2-40B4-BE49-F238E27FC236}">
              <a16:creationId xmlns:a16="http://schemas.microsoft.com/office/drawing/2014/main" id="{FDA7CF61-4283-4B68-9273-3F301673BED1}"/>
            </a:ext>
          </a:extLst>
        </xdr:cNvPr>
        <xdr:cNvSpPr txBox="1"/>
      </xdr:nvSpPr>
      <xdr:spPr>
        <a:xfrm>
          <a:off x="3148672" y="7977701"/>
          <a:ext cx="410321" cy="123440"/>
        </a:xfrm>
        <a:prstGeom prst="rect">
          <a:avLst/>
        </a:prstGeom>
        <a:solidFill>
          <a:schemeClr val="bg1"/>
        </a:solidFill>
      </xdr:spPr>
      <xdr:txBody>
        <a:bodyPr wrap="square" lIns="0" tIns="0" rIns="0" bIns="0" rtlCol="0" anchor="ctr" anchorCtr="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ja-JP" altLang="en-US" sz="700"/>
            <a:t>一般府道</a:t>
          </a:r>
        </a:p>
      </xdr:txBody>
    </xdr:sp>
    <xdr:clientData/>
  </xdr:twoCellAnchor>
  <xdr:twoCellAnchor>
    <xdr:from>
      <xdr:col>4</xdr:col>
      <xdr:colOff>649751</xdr:colOff>
      <xdr:row>45</xdr:row>
      <xdr:rowOff>84716</xdr:rowOff>
    </xdr:from>
    <xdr:to>
      <xdr:col>5</xdr:col>
      <xdr:colOff>419100</xdr:colOff>
      <xdr:row>46</xdr:row>
      <xdr:rowOff>59625</xdr:rowOff>
    </xdr:to>
    <xdr:sp macro="" textlink="">
      <xdr:nvSpPr>
        <xdr:cNvPr id="33" name="テキスト ボックス 1">
          <a:extLst>
            <a:ext uri="{FF2B5EF4-FFF2-40B4-BE49-F238E27FC236}">
              <a16:creationId xmlns:a16="http://schemas.microsoft.com/office/drawing/2014/main" id="{62E93A60-F643-49CC-AD01-7D7F2172F013}"/>
            </a:ext>
          </a:extLst>
        </xdr:cNvPr>
        <xdr:cNvSpPr txBox="1"/>
      </xdr:nvSpPr>
      <xdr:spPr>
        <a:xfrm>
          <a:off x="3667271" y="7956176"/>
          <a:ext cx="508489" cy="150169"/>
        </a:xfrm>
        <a:prstGeom prst="rect">
          <a:avLst/>
        </a:prstGeom>
        <a:solidFill>
          <a:schemeClr val="bg1"/>
        </a:solidFill>
      </xdr:spPr>
      <xdr:txBody>
        <a:bodyPr wrap="square" lIns="0" tIns="0" rIns="0" bIns="0" rtlCol="0" anchor="ctr" anchorCtr="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ja-JP" altLang="en-US" sz="700"/>
            <a:t>大阪市道</a:t>
          </a:r>
        </a:p>
      </xdr:txBody>
    </xdr:sp>
    <xdr:clientData/>
  </xdr:twoCellAnchor>
  <xdr:twoCellAnchor>
    <xdr:from>
      <xdr:col>4</xdr:col>
      <xdr:colOff>649604</xdr:colOff>
      <xdr:row>48</xdr:row>
      <xdr:rowOff>135740</xdr:rowOff>
    </xdr:from>
    <xdr:to>
      <xdr:col>5</xdr:col>
      <xdr:colOff>289560</xdr:colOff>
      <xdr:row>49</xdr:row>
      <xdr:rowOff>110649</xdr:rowOff>
    </xdr:to>
    <xdr:sp macro="" textlink="">
      <xdr:nvSpPr>
        <xdr:cNvPr id="34" name="テキスト ボックス 1">
          <a:extLst>
            <a:ext uri="{FF2B5EF4-FFF2-40B4-BE49-F238E27FC236}">
              <a16:creationId xmlns:a16="http://schemas.microsoft.com/office/drawing/2014/main" id="{64EA8F3E-2C6B-4C35-BB24-F84DA74E2ECC}"/>
            </a:ext>
          </a:extLst>
        </xdr:cNvPr>
        <xdr:cNvSpPr txBox="1"/>
      </xdr:nvSpPr>
      <xdr:spPr>
        <a:xfrm>
          <a:off x="3667124" y="8532980"/>
          <a:ext cx="379096" cy="150169"/>
        </a:xfrm>
        <a:prstGeom prst="rect">
          <a:avLst/>
        </a:prstGeom>
        <a:solidFill>
          <a:schemeClr val="bg1"/>
        </a:solidFill>
      </xdr:spPr>
      <xdr:txBody>
        <a:bodyPr wrap="square" lIns="0" tIns="0" rIns="0" bIns="0" rtlCol="0" anchor="ctr" anchorCtr="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ja-JP" altLang="en-US" sz="700"/>
            <a:t>大阪市道</a:t>
          </a:r>
        </a:p>
      </xdr:txBody>
    </xdr:sp>
    <xdr:clientData/>
  </xdr:twoCellAnchor>
</xdr:wsDr>
</file>

<file path=xl/drawings/drawing8.xml><?xml version="1.0" encoding="utf-8"?>
<c:userShapes xmlns:c="http://schemas.openxmlformats.org/drawingml/2006/chart">
  <cdr:relSizeAnchor xmlns:cdr="http://schemas.openxmlformats.org/drawingml/2006/chartDrawing">
    <cdr:from>
      <cdr:x>0.11151</cdr:x>
      <cdr:y>0.33019</cdr:y>
    </cdr:from>
    <cdr:to>
      <cdr:x>0.20162</cdr:x>
      <cdr:y>0.39818</cdr:y>
    </cdr:to>
    <cdr:sp macro="" textlink="">
      <cdr:nvSpPr>
        <cdr:cNvPr id="2" name="テキスト ボックス 1"/>
        <cdr:cNvSpPr txBox="1"/>
      </cdr:nvSpPr>
      <cdr:spPr>
        <a:xfrm xmlns:a="http://schemas.openxmlformats.org/drawingml/2006/main">
          <a:off x="702946" y="620830"/>
          <a:ext cx="567986" cy="127835"/>
        </a:xfrm>
        <a:prstGeom xmlns:a="http://schemas.openxmlformats.org/drawingml/2006/main" prst="rect">
          <a:avLst/>
        </a:prstGeom>
        <a:solidFill xmlns:a="http://schemas.openxmlformats.org/drawingml/2006/main">
          <a:schemeClr val="bg1"/>
        </a:solidFill>
      </cdr:spPr>
      <cdr:txBody>
        <a:bodyPr xmlns:a="http://schemas.openxmlformats.org/drawingml/2006/main" vertOverflow="clip" wrap="square" lIns="0" tIns="0" rIns="0" bIns="0" rtlCol="0" anchor="ctr" anchorCtr="0">
          <a:noAutofit/>
        </a:bodyPr>
        <a:lstStyle xmlns:a="http://schemas.openxmlformats.org/drawingml/2006/main"/>
        <a:p xmlns:a="http://schemas.openxmlformats.org/drawingml/2006/main">
          <a:pPr algn="ctr"/>
          <a:r>
            <a:rPr lang="ja-JP" altLang="en-US" sz="800"/>
            <a:t>一般国道</a:t>
          </a:r>
        </a:p>
      </cdr:txBody>
    </cdr:sp>
  </cdr:relSizeAnchor>
</c:userShapes>
</file>

<file path=xl/drawings/drawing9.xml><?xml version="1.0" encoding="utf-8"?>
<c:userShapes xmlns:c="http://schemas.openxmlformats.org/drawingml/2006/chart">
  <cdr:relSizeAnchor xmlns:cdr="http://schemas.openxmlformats.org/drawingml/2006/chartDrawing">
    <cdr:from>
      <cdr:x>0.00303</cdr:x>
      <cdr:y>0.30638</cdr:y>
    </cdr:from>
    <cdr:to>
      <cdr:x>0.12589</cdr:x>
      <cdr:y>0.4296</cdr:y>
    </cdr:to>
    <cdr:sp macro="" textlink="">
      <cdr:nvSpPr>
        <cdr:cNvPr id="52225" name="Text Box 1025"/>
        <cdr:cNvSpPr txBox="1">
          <a:spLocks xmlns:a="http://schemas.openxmlformats.org/drawingml/2006/main" noChangeArrowheads="1"/>
        </cdr:cNvSpPr>
      </cdr:nvSpPr>
      <cdr:spPr bwMode="auto">
        <a:xfrm xmlns:a="http://schemas.openxmlformats.org/drawingml/2006/main">
          <a:off x="19004" y="656601"/>
          <a:ext cx="771190" cy="264076"/>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800" b="0" i="0" u="none" strike="noStrike" baseline="0">
              <a:solidFill>
                <a:srgbClr val="000000"/>
              </a:solidFill>
              <a:latin typeface="ＭＳ Ｐゴシック"/>
              <a:ea typeface="ＭＳ Ｐゴシック"/>
            </a:rPr>
            <a:t>令和５年</a:t>
          </a:r>
        </a:p>
      </cdr:txBody>
    </cdr:sp>
  </cdr:relSizeAnchor>
  <cdr:relSizeAnchor xmlns:cdr="http://schemas.openxmlformats.org/drawingml/2006/chartDrawing">
    <cdr:from>
      <cdr:x>0.01821</cdr:x>
      <cdr:y>0.64</cdr:y>
    </cdr:from>
    <cdr:to>
      <cdr:x>0.10926</cdr:x>
      <cdr:y>0.70892</cdr:y>
    </cdr:to>
    <cdr:sp macro="" textlink="">
      <cdr:nvSpPr>
        <cdr:cNvPr id="52226" name="Text Box 1026"/>
        <cdr:cNvSpPr txBox="1">
          <a:spLocks xmlns:a="http://schemas.openxmlformats.org/drawingml/2006/main" noChangeArrowheads="1"/>
        </cdr:cNvSpPr>
      </cdr:nvSpPr>
      <cdr:spPr bwMode="auto">
        <a:xfrm xmlns:a="http://schemas.openxmlformats.org/drawingml/2006/main">
          <a:off x="114304" y="1371600"/>
          <a:ext cx="571518" cy="14770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800" b="0" i="0" u="none" strike="noStrike" baseline="0">
              <a:solidFill>
                <a:sysClr val="windowText" lastClr="000000"/>
              </a:solidFill>
              <a:latin typeface="ＭＳ Ｐゴシック"/>
              <a:ea typeface="ＭＳ Ｐゴシック"/>
            </a:rPr>
            <a:t>令和６年</a:t>
          </a:r>
        </a:p>
      </cdr:txBody>
    </cdr:sp>
  </cdr:relSizeAnchor>
  <cdr:relSizeAnchor xmlns:cdr="http://schemas.openxmlformats.org/drawingml/2006/chartDrawing">
    <cdr:from>
      <cdr:x>0.61095</cdr:x>
      <cdr:y>0.22447</cdr:y>
    </cdr:from>
    <cdr:to>
      <cdr:x>0.67644</cdr:x>
      <cdr:y>0.28337</cdr:y>
    </cdr:to>
    <cdr:sp macro="" textlink="">
      <cdr:nvSpPr>
        <cdr:cNvPr id="4" name="テキスト ボックス 1">
          <a:extLst xmlns:a="http://schemas.openxmlformats.org/drawingml/2006/main">
            <a:ext uri="{FF2B5EF4-FFF2-40B4-BE49-F238E27FC236}">
              <a16:creationId xmlns:a16="http://schemas.microsoft.com/office/drawing/2014/main" id="{00000000-0008-0000-0600-00000C000000}"/>
            </a:ext>
          </a:extLst>
        </cdr:cNvPr>
        <cdr:cNvSpPr txBox="1"/>
      </cdr:nvSpPr>
      <cdr:spPr>
        <a:xfrm xmlns:a="http://schemas.openxmlformats.org/drawingml/2006/main">
          <a:off x="4070050" y="465667"/>
          <a:ext cx="436280" cy="122190"/>
        </a:xfrm>
        <a:prstGeom xmlns:a="http://schemas.openxmlformats.org/drawingml/2006/main" prst="rect">
          <a:avLst/>
        </a:prstGeom>
        <a:solidFill xmlns:a="http://schemas.openxmlformats.org/drawingml/2006/main">
          <a:schemeClr val="bg1"/>
        </a:solidFill>
      </cdr:spPr>
      <cdr:txBody>
        <a:bodyPr xmlns:a="http://schemas.openxmlformats.org/drawingml/2006/main" wrap="square" lIns="0" tIns="0" rIns="0" bIns="0" rtlCol="0" anchor="ctr" anchorCtr="0">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700"/>
            <a:t>大阪市道</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12518;&#12540;&#12470;&#20316;&#26989;&#29992;&#12501;&#12457;&#12523;&#12480;/&#23433;&#20840;&#12414;&#12385;&#12389;&#12367;&#12426;/15&#12288;&#20132;&#36890;&#23433;&#20840;/R4&#24180;&#24230;/03_&#12381;&#12398;&#20182;/&#20196;&#21644;&#65300;&#24180;&#22823;&#38442;&#24066;&#12398;&#20132;&#36890;&#20107;&#25925;&#65288;&#32113;&#35336;&#36039;&#26009;&#65289;/&#65297;&#12288;&#24220;&#35686;&#20381;&#38972;/&#65288;&#21029;&#28155;&#65289;&#20107;&#25925;&#32113;&#35336;&#12487;&#12540;&#12479;&#65288;R&#65300;&#22823;&#38442;&#24066;&#12398;&#20132;&#36890;&#20107;&#25925;&#12487;&#12540;&#12479;_&#37325;&#20663;&#12354;&#1242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ページ（状況）"/>
      <sheetName val="2ページ（年次推移）"/>
      <sheetName val="3ページ（４５年との比較）"/>
      <sheetName val="4ページ（人口推移）"/>
      <sheetName val="5ページ(月別）"/>
      <sheetName val="★６ページ（行政区別）"/>
      <sheetName val="★７ページの最初の項目用"/>
      <sheetName val="★８ページ（幹線道路名）"/>
      <sheetName val="★９ページ（幹線道路別図）"/>
      <sheetName val="★10ページ（道路種別月率）"/>
      <sheetName val="★11ページ（時間別）"/>
      <sheetName val="★12ページ（時間道路別）"/>
      <sheetName val="★13ページ類型別（対前年比・状態別）"/>
      <sheetName val="★14ページ類型別（信号別）"/>
      <sheetName val="★15ページ（法令違反別）"/>
      <sheetName val="16ページ死亡事故の推移 "/>
      <sheetName val="★17ページ高齢者（推移）"/>
      <sheetName val="★１８ページ高齢者（行政区別）"/>
      <sheetName val="★１９ページ 高齢者(法令違反別)"/>
      <sheetName val="★２０ページ子ども（推移）"/>
      <sheetName val="★２１ページ子ども（年齢別）"/>
      <sheetName val="★２２ページ子ども（行政区別）"/>
      <sheetName val="★２３ページ子ども（法令違反別）"/>
      <sheetName val="★２４ページ若年者（推移）"/>
      <sheetName val="★２５ページ若年者（年齢別）"/>
      <sheetName val="★２６ページ若年者（行政区別） "/>
      <sheetName val="★２７ページ若年者（法令違反別） (2)"/>
      <sheetName val="★２８ページ歩行者（推移） "/>
      <sheetName val="★２９ページ歩行者(類型･月別）"/>
      <sheetName val="★３０ページ歩行者(行政区･状態）"/>
      <sheetName val="★３１ページ歩行者(時間別･状態）"/>
      <sheetName val="★３２ページ自転車（推移）"/>
      <sheetName val="★３３ページ自転車対自転車"/>
      <sheetName val="★３４ページ自転車(事故類型別）"/>
      <sheetName val="★３５ページ自転車(行政区･類型）"/>
      <sheetName val="★３６ぺージ自転車(時間別･類型）"/>
      <sheetName val="★37ページ自動二輪(推移）"/>
      <sheetName val="★３８ページ自動二輪車(類型別）"/>
      <sheetName val="★３９ページ自動二輪車（区別、類型別）"/>
      <sheetName val="★４０ページ自動二輪車(時間、類型別）"/>
      <sheetName val="★４１原付(推移）"/>
      <sheetName val="★４２原付(類型別)"/>
      <sheetName val="★４３原付(行政区）"/>
      <sheetName val="★４４原付(時間別）"/>
      <sheetName val="★４５ページ（飲酒運転）"/>
      <sheetName val="４６ページ大都市の交通事故発生状況"/>
    </sheetNames>
    <sheetDataSet>
      <sheetData sheetId="0" refreshError="1"/>
      <sheetData sheetId="1" refreshError="1">
        <row r="7">
          <cell r="C7" t="str">
            <v>件数</v>
          </cell>
        </row>
        <row r="58">
          <cell r="D58">
            <v>37</v>
          </cell>
          <cell r="E58">
            <v>9493</v>
          </cell>
        </row>
        <row r="59">
          <cell r="D59">
            <v>43</v>
          </cell>
          <cell r="E59">
            <v>9584</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46.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9652DD-8CEC-4EC9-B089-069BFA16E858}">
  <sheetPr>
    <pageSetUpPr fitToPage="1"/>
  </sheetPr>
  <dimension ref="A1:L48"/>
  <sheetViews>
    <sheetView view="pageBreakPreview" topLeftCell="A11" zoomScale="90" zoomScaleNormal="100" zoomScaleSheetLayoutView="90" workbookViewId="0">
      <selection activeCell="T25" sqref="T25"/>
    </sheetView>
  </sheetViews>
  <sheetFormatPr defaultColWidth="9" defaultRowHeight="13.8"/>
  <cols>
    <col min="1" max="1" width="3.44140625" style="331" customWidth="1"/>
    <col min="2" max="2" width="1.21875" style="331" customWidth="1"/>
    <col min="3" max="3" width="5.88671875" style="331" customWidth="1"/>
    <col min="4" max="4" width="7.77734375" style="331" customWidth="1"/>
    <col min="5" max="6" width="12.6640625" style="331" customWidth="1"/>
    <col min="7" max="7" width="2.21875" style="331" customWidth="1"/>
    <col min="8" max="8" width="12.6640625" style="331" customWidth="1"/>
    <col min="9" max="9" width="2.109375" style="331" customWidth="1"/>
    <col min="10" max="10" width="12.6640625" style="331" customWidth="1"/>
    <col min="11" max="11" width="9" style="331"/>
    <col min="12" max="12" width="3.21875" style="331" customWidth="1"/>
    <col min="13" max="16384" width="9" style="331"/>
  </cols>
  <sheetData>
    <row r="1" spans="1:10" ht="23.25" customHeight="1">
      <c r="A1" s="365" t="s">
        <v>561</v>
      </c>
      <c r="B1" s="365"/>
    </row>
    <row r="3" spans="1:10" ht="24" customHeight="1" thickBot="1">
      <c r="A3" s="331" t="s">
        <v>0</v>
      </c>
      <c r="F3" s="1260" t="s">
        <v>1</v>
      </c>
      <c r="G3" s="1301"/>
      <c r="H3" s="1301"/>
      <c r="I3" s="1301"/>
      <c r="J3" s="1301"/>
    </row>
    <row r="4" spans="1:10" ht="20.100000000000001" customHeight="1">
      <c r="A4" s="334"/>
      <c r="B4" s="345"/>
      <c r="C4" s="345"/>
      <c r="D4" s="335" t="s">
        <v>2</v>
      </c>
      <c r="E4" s="1261" t="s">
        <v>552</v>
      </c>
      <c r="F4" s="1303" t="s">
        <v>551</v>
      </c>
      <c r="G4" s="1270" t="s">
        <v>3</v>
      </c>
      <c r="H4" s="1270"/>
      <c r="I4" s="1270"/>
      <c r="J4" s="1271"/>
    </row>
    <row r="5" spans="1:10" ht="20.100000000000001" customHeight="1" thickBot="1">
      <c r="A5" s="343" t="s">
        <v>4</v>
      </c>
      <c r="B5" s="346"/>
      <c r="C5" s="346"/>
      <c r="D5" s="344"/>
      <c r="E5" s="1302"/>
      <c r="F5" s="1304"/>
      <c r="H5" s="366" t="s">
        <v>5</v>
      </c>
      <c r="I5" s="332"/>
      <c r="J5" s="367" t="s">
        <v>6</v>
      </c>
    </row>
    <row r="6" spans="1:10" ht="20.100000000000001" customHeight="1">
      <c r="A6" s="1274" t="s">
        <v>7</v>
      </c>
      <c r="B6" s="1305" t="s">
        <v>8</v>
      </c>
      <c r="C6" s="1306"/>
      <c r="D6" s="1307"/>
      <c r="E6" s="329">
        <v>7849</v>
      </c>
      <c r="F6" s="350">
        <v>7688</v>
      </c>
      <c r="G6" s="368"/>
      <c r="H6" s="353">
        <f t="shared" ref="H6:H29" si="0">E6-F6</f>
        <v>161</v>
      </c>
      <c r="I6" s="369"/>
      <c r="J6" s="354">
        <f t="shared" ref="J6:J29" si="1">(E6/F6-1)*100</f>
        <v>2.0941727367325802</v>
      </c>
    </row>
    <row r="7" spans="1:10" ht="20.100000000000001" customHeight="1">
      <c r="A7" s="1275"/>
      <c r="B7" s="1285" t="s">
        <v>9</v>
      </c>
      <c r="C7" s="1286"/>
      <c r="D7" s="370" t="s">
        <v>10</v>
      </c>
      <c r="E7" s="330">
        <v>43</v>
      </c>
      <c r="F7" s="371">
        <v>43</v>
      </c>
      <c r="G7" s="372"/>
      <c r="H7" s="355">
        <f t="shared" si="0"/>
        <v>0</v>
      </c>
      <c r="I7" s="373"/>
      <c r="J7" s="356">
        <f t="shared" si="1"/>
        <v>0</v>
      </c>
    </row>
    <row r="8" spans="1:10" ht="20.100000000000001" customHeight="1">
      <c r="A8" s="1275"/>
      <c r="B8" s="1287"/>
      <c r="C8" s="1288"/>
      <c r="D8" s="374" t="s">
        <v>503</v>
      </c>
      <c r="E8" s="330">
        <v>1</v>
      </c>
      <c r="F8" s="371">
        <v>1</v>
      </c>
      <c r="G8" s="372"/>
      <c r="H8" s="357">
        <f t="shared" si="0"/>
        <v>0</v>
      </c>
      <c r="I8" s="373"/>
      <c r="J8" s="358" t="s">
        <v>11</v>
      </c>
    </row>
    <row r="9" spans="1:10" ht="20.100000000000001" customHeight="1">
      <c r="A9" s="1275"/>
      <c r="B9" s="1287"/>
      <c r="C9" s="1288"/>
      <c r="D9" s="375" t="s">
        <v>12</v>
      </c>
      <c r="E9" s="330">
        <v>14</v>
      </c>
      <c r="F9" s="371">
        <v>21</v>
      </c>
      <c r="G9" s="372"/>
      <c r="H9" s="355">
        <f t="shared" si="0"/>
        <v>-7</v>
      </c>
      <c r="I9" s="373"/>
      <c r="J9" s="356">
        <f t="shared" si="1"/>
        <v>-33.333333333333336</v>
      </c>
    </row>
    <row r="10" spans="1:10" ht="20.100000000000001" customHeight="1">
      <c r="A10" s="1275"/>
      <c r="B10" s="1281" t="s">
        <v>13</v>
      </c>
      <c r="C10" s="1282"/>
      <c r="D10" s="370" t="s">
        <v>14</v>
      </c>
      <c r="E10" s="330">
        <v>8916</v>
      </c>
      <c r="F10" s="371">
        <v>8722</v>
      </c>
      <c r="G10" s="372"/>
      <c r="H10" s="357">
        <f t="shared" si="0"/>
        <v>194</v>
      </c>
      <c r="I10" s="373"/>
      <c r="J10" s="356">
        <f t="shared" si="1"/>
        <v>2.2242604907131369</v>
      </c>
    </row>
    <row r="11" spans="1:10" ht="20.100000000000001" customHeight="1">
      <c r="A11" s="1275"/>
      <c r="B11" s="1283"/>
      <c r="C11" s="1283"/>
      <c r="D11" s="374" t="s">
        <v>503</v>
      </c>
      <c r="E11" s="330">
        <v>366</v>
      </c>
      <c r="F11" s="371">
        <v>343</v>
      </c>
      <c r="G11" s="372"/>
      <c r="H11" s="355">
        <f t="shared" si="0"/>
        <v>23</v>
      </c>
      <c r="I11" s="373"/>
      <c r="J11" s="356">
        <f t="shared" si="1"/>
        <v>6.7055393586005874</v>
      </c>
    </row>
    <row r="12" spans="1:10" ht="20.100000000000001" customHeight="1">
      <c r="A12" s="1275"/>
      <c r="B12" s="1283"/>
      <c r="C12" s="1284"/>
      <c r="D12" s="375" t="s">
        <v>12</v>
      </c>
      <c r="E12" s="408">
        <v>1122</v>
      </c>
      <c r="F12" s="376">
        <v>1101</v>
      </c>
      <c r="G12" s="377"/>
      <c r="H12" s="357">
        <f t="shared" si="0"/>
        <v>21</v>
      </c>
      <c r="I12" s="378"/>
      <c r="J12" s="359">
        <f t="shared" si="1"/>
        <v>1.9073569482288777</v>
      </c>
    </row>
    <row r="13" spans="1:10" ht="20.100000000000001" customHeight="1">
      <c r="A13" s="1276"/>
      <c r="B13" s="379"/>
      <c r="C13" s="1289" t="s">
        <v>15</v>
      </c>
      <c r="D13" s="370" t="s">
        <v>14</v>
      </c>
      <c r="E13" s="330">
        <v>937</v>
      </c>
      <c r="F13" s="371">
        <v>927</v>
      </c>
      <c r="G13" s="372"/>
      <c r="H13" s="355">
        <f t="shared" si="0"/>
        <v>10</v>
      </c>
      <c r="I13" s="373"/>
      <c r="J13" s="356">
        <f t="shared" si="1"/>
        <v>1.0787486515641875</v>
      </c>
    </row>
    <row r="14" spans="1:10" ht="20.100000000000001" customHeight="1">
      <c r="A14" s="1276"/>
      <c r="B14" s="380"/>
      <c r="C14" s="1289"/>
      <c r="D14" s="381" t="s">
        <v>503</v>
      </c>
      <c r="E14" s="330">
        <v>27</v>
      </c>
      <c r="F14" s="371">
        <v>26</v>
      </c>
      <c r="G14" s="372"/>
      <c r="H14" s="355">
        <f t="shared" si="0"/>
        <v>1</v>
      </c>
      <c r="I14" s="373"/>
      <c r="J14" s="356">
        <f t="shared" si="1"/>
        <v>3.8461538461538547</v>
      </c>
    </row>
    <row r="15" spans="1:10" ht="20.100000000000001" customHeight="1" thickBot="1">
      <c r="A15" s="1277"/>
      <c r="B15" s="382"/>
      <c r="C15" s="1290"/>
      <c r="D15" s="383" t="s">
        <v>12</v>
      </c>
      <c r="E15" s="409">
        <v>270</v>
      </c>
      <c r="F15" s="351">
        <v>272</v>
      </c>
      <c r="G15" s="384"/>
      <c r="H15" s="360">
        <f t="shared" si="0"/>
        <v>-2</v>
      </c>
      <c r="I15" s="385"/>
      <c r="J15" s="361">
        <f t="shared" si="1"/>
        <v>-0.73529411764705621</v>
      </c>
    </row>
    <row r="16" spans="1:10" ht="20.100000000000001" customHeight="1">
      <c r="A16" s="1274" t="s">
        <v>16</v>
      </c>
      <c r="B16" s="1278" t="s">
        <v>8</v>
      </c>
      <c r="C16" s="1279"/>
      <c r="D16" s="1280"/>
      <c r="E16" s="329">
        <v>25056</v>
      </c>
      <c r="F16" s="350">
        <v>24780</v>
      </c>
      <c r="G16" s="368"/>
      <c r="H16" s="362">
        <f t="shared" si="0"/>
        <v>276</v>
      </c>
      <c r="I16" s="369"/>
      <c r="J16" s="354">
        <f t="shared" si="1"/>
        <v>1.1138014527845019</v>
      </c>
    </row>
    <row r="17" spans="1:12" ht="20.100000000000001" customHeight="1">
      <c r="A17" s="1275"/>
      <c r="B17" s="1281" t="s">
        <v>9</v>
      </c>
      <c r="C17" s="1282"/>
      <c r="D17" s="386" t="s">
        <v>14</v>
      </c>
      <c r="E17" s="330">
        <v>120</v>
      </c>
      <c r="F17" s="371">
        <v>127</v>
      </c>
      <c r="G17" s="372"/>
      <c r="H17" s="363">
        <f t="shared" si="0"/>
        <v>-7</v>
      </c>
      <c r="I17" s="373"/>
      <c r="J17" s="356">
        <f t="shared" si="1"/>
        <v>-5.5118110236220481</v>
      </c>
    </row>
    <row r="18" spans="1:12" ht="20.100000000000001" customHeight="1">
      <c r="A18" s="1275"/>
      <c r="B18" s="1283"/>
      <c r="C18" s="1283"/>
      <c r="D18" s="374" t="s">
        <v>503</v>
      </c>
      <c r="E18" s="330">
        <v>3</v>
      </c>
      <c r="F18" s="371">
        <v>2</v>
      </c>
      <c r="G18" s="372"/>
      <c r="H18" s="363">
        <f t="shared" si="0"/>
        <v>1</v>
      </c>
      <c r="I18" s="373"/>
      <c r="J18" s="356">
        <f t="shared" si="1"/>
        <v>50</v>
      </c>
    </row>
    <row r="19" spans="1:12" ht="20.100000000000001" customHeight="1">
      <c r="A19" s="1275"/>
      <c r="B19" s="1284"/>
      <c r="C19" s="1284"/>
      <c r="D19" s="375" t="s">
        <v>12</v>
      </c>
      <c r="E19" s="330">
        <v>50</v>
      </c>
      <c r="F19" s="371">
        <v>60</v>
      </c>
      <c r="G19" s="372"/>
      <c r="H19" s="363">
        <f t="shared" si="0"/>
        <v>-10</v>
      </c>
      <c r="I19" s="373"/>
      <c r="J19" s="356">
        <f t="shared" si="1"/>
        <v>-16.666666666666664</v>
      </c>
    </row>
    <row r="20" spans="1:12" ht="20.100000000000001" customHeight="1">
      <c r="A20" s="1275"/>
      <c r="B20" s="1285" t="s">
        <v>13</v>
      </c>
      <c r="C20" s="1286"/>
      <c r="D20" s="370" t="s">
        <v>14</v>
      </c>
      <c r="E20" s="330">
        <v>28865</v>
      </c>
      <c r="F20" s="371">
        <v>28690</v>
      </c>
      <c r="G20" s="372"/>
      <c r="H20" s="363">
        <f t="shared" si="0"/>
        <v>175</v>
      </c>
      <c r="I20" s="373"/>
      <c r="J20" s="356">
        <f t="shared" si="1"/>
        <v>0.6099686301847429</v>
      </c>
    </row>
    <row r="21" spans="1:12" ht="20.100000000000001" customHeight="1">
      <c r="A21" s="1275"/>
      <c r="B21" s="1287"/>
      <c r="C21" s="1288"/>
      <c r="D21" s="374" t="s">
        <v>503</v>
      </c>
      <c r="E21" s="330">
        <v>1574</v>
      </c>
      <c r="F21" s="371">
        <v>1556</v>
      </c>
      <c r="G21" s="372"/>
      <c r="H21" s="363">
        <f t="shared" si="0"/>
        <v>18</v>
      </c>
      <c r="I21" s="373"/>
      <c r="J21" s="356">
        <f t="shared" si="1"/>
        <v>1.1568123393316254</v>
      </c>
    </row>
    <row r="22" spans="1:12" ht="20.100000000000001" customHeight="1">
      <c r="A22" s="1275"/>
      <c r="B22" s="1287"/>
      <c r="C22" s="1288"/>
      <c r="D22" s="375" t="s">
        <v>12</v>
      </c>
      <c r="E22" s="408">
        <v>3985</v>
      </c>
      <c r="F22" s="376">
        <v>4045</v>
      </c>
      <c r="G22" s="377"/>
      <c r="H22" s="357">
        <f t="shared" si="0"/>
        <v>-60</v>
      </c>
      <c r="I22" s="378"/>
      <c r="J22" s="359">
        <f t="shared" si="1"/>
        <v>-1.4833127317676165</v>
      </c>
    </row>
    <row r="23" spans="1:12" ht="20.100000000000001" customHeight="1">
      <c r="A23" s="1276"/>
      <c r="B23" s="380"/>
      <c r="C23" s="1281" t="s">
        <v>15</v>
      </c>
      <c r="D23" s="370" t="s">
        <v>14</v>
      </c>
      <c r="E23" s="330">
        <v>3100</v>
      </c>
      <c r="F23" s="371">
        <v>2885</v>
      </c>
      <c r="G23" s="372"/>
      <c r="H23" s="355">
        <f t="shared" si="0"/>
        <v>215</v>
      </c>
      <c r="I23" s="373"/>
      <c r="J23" s="356">
        <f t="shared" si="1"/>
        <v>7.4523396880415982</v>
      </c>
    </row>
    <row r="24" spans="1:12" ht="20.100000000000001" customHeight="1">
      <c r="A24" s="1276"/>
      <c r="B24" s="380"/>
      <c r="C24" s="1289"/>
      <c r="D24" s="381" t="s">
        <v>503</v>
      </c>
      <c r="E24" s="330">
        <v>112</v>
      </c>
      <c r="F24" s="371">
        <v>97</v>
      </c>
      <c r="G24" s="372"/>
      <c r="H24" s="355">
        <f t="shared" si="0"/>
        <v>15</v>
      </c>
      <c r="I24" s="373"/>
      <c r="J24" s="356">
        <f t="shared" si="1"/>
        <v>15.463917525773185</v>
      </c>
    </row>
    <row r="25" spans="1:12" ht="20.100000000000001" customHeight="1" thickBot="1">
      <c r="A25" s="1277"/>
      <c r="B25" s="382"/>
      <c r="C25" s="1290"/>
      <c r="D25" s="383" t="s">
        <v>12</v>
      </c>
      <c r="E25" s="409">
        <v>951</v>
      </c>
      <c r="F25" s="351">
        <v>900</v>
      </c>
      <c r="G25" s="384"/>
      <c r="H25" s="360">
        <f t="shared" si="0"/>
        <v>51</v>
      </c>
      <c r="I25" s="385"/>
      <c r="J25" s="361">
        <f t="shared" si="1"/>
        <v>5.6666666666666643</v>
      </c>
    </row>
    <row r="26" spans="1:12" ht="20.100000000000001" customHeight="1">
      <c r="A26" s="1291" t="s">
        <v>17</v>
      </c>
      <c r="B26" s="1294" t="s">
        <v>18</v>
      </c>
      <c r="C26" s="1279"/>
      <c r="D26" s="1280"/>
      <c r="E26" s="410">
        <v>287023</v>
      </c>
      <c r="F26" s="336">
        <v>290896</v>
      </c>
      <c r="G26" s="387"/>
      <c r="H26" s="357">
        <f t="shared" si="0"/>
        <v>-3873</v>
      </c>
      <c r="I26" s="388"/>
      <c r="J26" s="364">
        <f t="shared" si="1"/>
        <v>-1.3314036631648429</v>
      </c>
    </row>
    <row r="27" spans="1:12" ht="20.100000000000001" customHeight="1">
      <c r="A27" s="1292"/>
      <c r="B27" s="1295" t="s">
        <v>19</v>
      </c>
      <c r="C27" s="1296"/>
      <c r="D27" s="1297"/>
      <c r="E27" s="330">
        <v>2547</v>
      </c>
      <c r="F27" s="371">
        <v>2663</v>
      </c>
      <c r="G27" s="372"/>
      <c r="H27" s="355">
        <f t="shared" si="0"/>
        <v>-116</v>
      </c>
      <c r="I27" s="373"/>
      <c r="J27" s="356">
        <f t="shared" si="1"/>
        <v>-4.3559894855426222</v>
      </c>
    </row>
    <row r="28" spans="1:12" ht="20.100000000000001" customHeight="1">
      <c r="A28" s="1292"/>
      <c r="B28" s="1298" t="s">
        <v>20</v>
      </c>
      <c r="C28" s="1296"/>
      <c r="D28" s="1297"/>
      <c r="E28" s="408">
        <v>338508</v>
      </c>
      <c r="F28" s="376">
        <v>344398</v>
      </c>
      <c r="G28" s="377"/>
      <c r="H28" s="357">
        <f t="shared" si="0"/>
        <v>-5890</v>
      </c>
      <c r="I28" s="378"/>
      <c r="J28" s="359">
        <f t="shared" si="1"/>
        <v>-1.7102306052880656</v>
      </c>
    </row>
    <row r="29" spans="1:12" ht="20.100000000000001" customHeight="1" thickBot="1">
      <c r="A29" s="1293"/>
      <c r="B29" s="352"/>
      <c r="C29" s="1299" t="s">
        <v>21</v>
      </c>
      <c r="D29" s="1300"/>
      <c r="E29" s="411">
        <v>27563</v>
      </c>
      <c r="F29" s="389">
        <v>27281</v>
      </c>
      <c r="G29" s="390"/>
      <c r="H29" s="360">
        <f t="shared" si="0"/>
        <v>282</v>
      </c>
      <c r="I29" s="385"/>
      <c r="J29" s="361">
        <f t="shared" si="1"/>
        <v>1.0336864484439712</v>
      </c>
    </row>
    <row r="30" spans="1:12" s="1945" customFormat="1" ht="18.75" customHeight="1">
      <c r="A30" s="1944" t="s">
        <v>898</v>
      </c>
      <c r="B30" s="1944"/>
      <c r="C30" s="1944"/>
      <c r="D30" s="1944"/>
      <c r="E30" s="1944"/>
      <c r="F30" s="1944"/>
      <c r="G30" s="1944"/>
      <c r="H30" s="1944"/>
    </row>
    <row r="31" spans="1:12" ht="22.5" customHeight="1"/>
    <row r="32" spans="1:12" ht="14.4" thickBot="1">
      <c r="A32" s="331" t="s">
        <v>22</v>
      </c>
      <c r="K32" s="1260" t="s">
        <v>23</v>
      </c>
      <c r="L32" s="1260"/>
    </row>
    <row r="33" spans="1:12">
      <c r="A33" s="334"/>
      <c r="B33" s="345"/>
      <c r="C33" s="345"/>
      <c r="D33" s="345"/>
      <c r="E33" s="335" t="s">
        <v>2</v>
      </c>
      <c r="F33" s="1261" t="s">
        <v>552</v>
      </c>
      <c r="G33" s="1262"/>
      <c r="H33" s="1265" t="s">
        <v>551</v>
      </c>
      <c r="I33" s="1266"/>
      <c r="J33" s="1269" t="s">
        <v>24</v>
      </c>
      <c r="K33" s="1270"/>
      <c r="L33" s="1271"/>
    </row>
    <row r="34" spans="1:12" ht="14.4" thickBot="1">
      <c r="A34" s="343" t="s">
        <v>4</v>
      </c>
      <c r="B34" s="346"/>
      <c r="C34" s="346"/>
      <c r="D34" s="346"/>
      <c r="E34" s="344"/>
      <c r="F34" s="1263"/>
      <c r="G34" s="1264"/>
      <c r="H34" s="1267"/>
      <c r="I34" s="1268"/>
      <c r="J34" s="391" t="s">
        <v>25</v>
      </c>
      <c r="K34" s="1272" t="s">
        <v>26</v>
      </c>
      <c r="L34" s="1273"/>
    </row>
    <row r="35" spans="1:12">
      <c r="A35" s="420" t="s">
        <v>27</v>
      </c>
      <c r="B35" s="340"/>
      <c r="C35" s="340"/>
      <c r="D35" s="340"/>
      <c r="E35" s="421"/>
      <c r="F35" s="340">
        <v>43</v>
      </c>
      <c r="G35" s="340"/>
      <c r="H35" s="339">
        <v>43</v>
      </c>
      <c r="I35" s="422"/>
      <c r="J35" s="423">
        <f t="shared" ref="J35:J48" si="2">F35-H35</f>
        <v>0</v>
      </c>
      <c r="K35" s="1257">
        <f>(F35/H35-1)*100</f>
        <v>0</v>
      </c>
      <c r="L35" s="1258">
        <f>(G35/H35-1)*100</f>
        <v>-100</v>
      </c>
    </row>
    <row r="36" spans="1:12">
      <c r="A36" s="1234" t="s">
        <v>28</v>
      </c>
      <c r="B36" s="1237" t="s">
        <v>29</v>
      </c>
      <c r="C36" s="1238"/>
      <c r="D36" s="333"/>
      <c r="E36" s="341"/>
      <c r="F36" s="331">
        <v>14</v>
      </c>
      <c r="H36" s="413">
        <v>21</v>
      </c>
      <c r="I36" s="424"/>
      <c r="J36" s="425">
        <f t="shared" si="2"/>
        <v>-7</v>
      </c>
      <c r="K36" s="1249">
        <f>(F36/H36-1)*100</f>
        <v>-33.333333333333336</v>
      </c>
      <c r="L36" s="1250">
        <f>(G36/H36-1)*100</f>
        <v>-100</v>
      </c>
    </row>
    <row r="37" spans="1:12">
      <c r="A37" s="1235"/>
      <c r="B37" s="1256" t="s">
        <v>504</v>
      </c>
      <c r="C37" s="1238"/>
      <c r="D37" s="338"/>
      <c r="E37" s="396"/>
      <c r="F37" s="338">
        <v>1</v>
      </c>
      <c r="G37" s="338"/>
      <c r="H37" s="337">
        <v>1</v>
      </c>
      <c r="I37" s="426"/>
      <c r="J37" s="427">
        <f t="shared" si="2"/>
        <v>0</v>
      </c>
      <c r="K37" s="1249">
        <f>(F37/H37-1)*100</f>
        <v>0</v>
      </c>
      <c r="L37" s="1250">
        <f>(G37/H37-1)*100</f>
        <v>-100</v>
      </c>
    </row>
    <row r="38" spans="1:12">
      <c r="A38" s="1247"/>
      <c r="B38" s="1237" t="s">
        <v>30</v>
      </c>
      <c r="C38" s="1238"/>
      <c r="D38" s="397"/>
      <c r="E38" s="428"/>
      <c r="F38" s="397">
        <v>28</v>
      </c>
      <c r="G38" s="397"/>
      <c r="H38" s="395">
        <v>21</v>
      </c>
      <c r="I38" s="429"/>
      <c r="J38" s="425">
        <f t="shared" si="2"/>
        <v>7</v>
      </c>
      <c r="K38" s="1251">
        <f t="shared" ref="K38:K47" si="3">(F38/H38-1)*100</f>
        <v>33.333333333333329</v>
      </c>
      <c r="L38" s="1252">
        <f t="shared" ref="L38:L47" si="4">(G38/H38-1)*100</f>
        <v>-100</v>
      </c>
    </row>
    <row r="39" spans="1:12">
      <c r="A39" s="1234" t="s">
        <v>31</v>
      </c>
      <c r="B39" s="1253" t="s">
        <v>32</v>
      </c>
      <c r="C39" s="1254"/>
      <c r="D39" s="1254"/>
      <c r="E39" s="1255"/>
      <c r="F39" s="331">
        <v>2</v>
      </c>
      <c r="H39" s="413">
        <v>5</v>
      </c>
      <c r="I39" s="424"/>
      <c r="J39" s="427">
        <f t="shared" si="2"/>
        <v>-3</v>
      </c>
      <c r="K39" s="1240">
        <f t="shared" si="3"/>
        <v>-60</v>
      </c>
      <c r="L39" s="1241">
        <f t="shared" si="4"/>
        <v>-100</v>
      </c>
    </row>
    <row r="40" spans="1:12">
      <c r="A40" s="1235"/>
      <c r="B40" s="392"/>
      <c r="C40" s="1248" t="s">
        <v>33</v>
      </c>
      <c r="D40" s="1238"/>
      <c r="E40" s="1239"/>
      <c r="F40" s="338">
        <v>2</v>
      </c>
      <c r="G40" s="338"/>
      <c r="H40" s="337">
        <v>3</v>
      </c>
      <c r="I40" s="426"/>
      <c r="J40" s="425">
        <f t="shared" si="2"/>
        <v>-1</v>
      </c>
      <c r="K40" s="1240">
        <f t="shared" si="3"/>
        <v>-33.333333333333336</v>
      </c>
      <c r="L40" s="1241">
        <f t="shared" si="4"/>
        <v>-100</v>
      </c>
    </row>
    <row r="41" spans="1:12">
      <c r="A41" s="1235"/>
      <c r="B41" s="1256" t="s">
        <v>562</v>
      </c>
      <c r="C41" s="1238"/>
      <c r="D41" s="1238"/>
      <c r="E41" s="1239"/>
      <c r="F41" s="331">
        <v>11</v>
      </c>
      <c r="H41" s="413">
        <v>12</v>
      </c>
      <c r="I41" s="424"/>
      <c r="J41" s="427">
        <f t="shared" si="2"/>
        <v>-1</v>
      </c>
      <c r="K41" s="1249">
        <f t="shared" si="3"/>
        <v>-8.3333333333333375</v>
      </c>
      <c r="L41" s="1250">
        <f t="shared" si="4"/>
        <v>-100</v>
      </c>
    </row>
    <row r="42" spans="1:12">
      <c r="A42" s="1235"/>
      <c r="B42" s="1256" t="s">
        <v>563</v>
      </c>
      <c r="C42" s="1238"/>
      <c r="D42" s="1238"/>
      <c r="E42" s="1239"/>
      <c r="F42" s="338">
        <v>4</v>
      </c>
      <c r="G42" s="338"/>
      <c r="H42" s="337">
        <v>1</v>
      </c>
      <c r="I42" s="426"/>
      <c r="J42" s="425">
        <f t="shared" si="2"/>
        <v>3</v>
      </c>
      <c r="K42" s="1249">
        <f t="shared" si="3"/>
        <v>300</v>
      </c>
      <c r="L42" s="1250">
        <f t="shared" si="4"/>
        <v>-100</v>
      </c>
    </row>
    <row r="43" spans="1:12">
      <c r="A43" s="1235"/>
      <c r="B43" s="1237" t="s">
        <v>34</v>
      </c>
      <c r="C43" s="1238"/>
      <c r="D43" s="1238"/>
      <c r="E43" s="1239"/>
      <c r="F43" s="331">
        <v>12</v>
      </c>
      <c r="H43" s="413">
        <v>9</v>
      </c>
      <c r="I43" s="424"/>
      <c r="J43" s="427">
        <f t="shared" si="2"/>
        <v>3</v>
      </c>
      <c r="K43" s="1240">
        <f t="shared" si="3"/>
        <v>33.333333333333329</v>
      </c>
      <c r="L43" s="1241">
        <f t="shared" si="4"/>
        <v>-100</v>
      </c>
    </row>
    <row r="44" spans="1:12">
      <c r="A44" s="1247"/>
      <c r="B44" s="1237" t="s">
        <v>30</v>
      </c>
      <c r="C44" s="1238"/>
      <c r="D44" s="1238"/>
      <c r="E44" s="1239"/>
      <c r="F44" s="338">
        <v>14</v>
      </c>
      <c r="G44" s="338"/>
      <c r="H44" s="337">
        <v>16</v>
      </c>
      <c r="I44" s="426"/>
      <c r="J44" s="425">
        <f t="shared" si="2"/>
        <v>-2</v>
      </c>
      <c r="K44" s="1251">
        <f t="shared" si="3"/>
        <v>-12.5</v>
      </c>
      <c r="L44" s="1252">
        <f t="shared" si="4"/>
        <v>-100</v>
      </c>
    </row>
    <row r="45" spans="1:12">
      <c r="A45" s="1234" t="s">
        <v>35</v>
      </c>
      <c r="B45" s="1237" t="s">
        <v>36</v>
      </c>
      <c r="C45" s="1238"/>
      <c r="D45" s="1238"/>
      <c r="E45" s="1239"/>
      <c r="F45" s="331">
        <v>13</v>
      </c>
      <c r="H45" s="413">
        <v>15</v>
      </c>
      <c r="I45" s="424"/>
      <c r="J45" s="427">
        <f t="shared" si="2"/>
        <v>-2</v>
      </c>
      <c r="K45" s="1240">
        <f t="shared" si="3"/>
        <v>-13.33333333333333</v>
      </c>
      <c r="L45" s="1241">
        <f t="shared" si="4"/>
        <v>-100</v>
      </c>
    </row>
    <row r="46" spans="1:12">
      <c r="A46" s="1235"/>
      <c r="B46" s="1237" t="s">
        <v>37</v>
      </c>
      <c r="C46" s="1238"/>
      <c r="D46" s="1238"/>
      <c r="E46" s="1239"/>
      <c r="F46" s="338">
        <v>26</v>
      </c>
      <c r="G46" s="338"/>
      <c r="H46" s="337">
        <v>21</v>
      </c>
      <c r="I46" s="426"/>
      <c r="J46" s="425">
        <f t="shared" si="2"/>
        <v>5</v>
      </c>
      <c r="K46" s="1240">
        <f t="shared" si="3"/>
        <v>23.809523809523814</v>
      </c>
      <c r="L46" s="1241">
        <f t="shared" si="4"/>
        <v>-100</v>
      </c>
    </row>
    <row r="47" spans="1:12">
      <c r="A47" s="1235"/>
      <c r="B47" s="1237" t="s">
        <v>38</v>
      </c>
      <c r="C47" s="1238"/>
      <c r="D47" s="1238"/>
      <c r="E47" s="1239"/>
      <c r="F47" s="338">
        <v>3</v>
      </c>
      <c r="G47" s="338"/>
      <c r="H47" s="337">
        <v>6</v>
      </c>
      <c r="I47" s="426"/>
      <c r="J47" s="425">
        <f t="shared" si="2"/>
        <v>-3</v>
      </c>
      <c r="K47" s="1240">
        <f t="shared" si="3"/>
        <v>-50</v>
      </c>
      <c r="L47" s="1241">
        <f t="shared" si="4"/>
        <v>-100</v>
      </c>
    </row>
    <row r="48" spans="1:12" ht="14.4" thickBot="1">
      <c r="A48" s="1236"/>
      <c r="B48" s="1242" t="s">
        <v>39</v>
      </c>
      <c r="C48" s="1243"/>
      <c r="D48" s="1243"/>
      <c r="E48" s="1244"/>
      <c r="F48" s="346">
        <v>1</v>
      </c>
      <c r="G48" s="346"/>
      <c r="H48" s="407">
        <v>1</v>
      </c>
      <c r="I48" s="430"/>
      <c r="J48" s="431">
        <f t="shared" si="2"/>
        <v>0</v>
      </c>
      <c r="K48" s="1245">
        <f t="shared" ref="K48" si="5">(F48/H48-1)*100</f>
        <v>0</v>
      </c>
      <c r="L48" s="1246">
        <f t="shared" ref="L48" si="6">(G48/H48-1)*100</f>
        <v>-100</v>
      </c>
    </row>
  </sheetData>
  <mergeCells count="54">
    <mergeCell ref="F3:J3"/>
    <mergeCell ref="E4:E5"/>
    <mergeCell ref="F4:F5"/>
    <mergeCell ref="G4:J4"/>
    <mergeCell ref="A6:A15"/>
    <mergeCell ref="B6:D6"/>
    <mergeCell ref="B7:C9"/>
    <mergeCell ref="B10:C12"/>
    <mergeCell ref="C13:C15"/>
    <mergeCell ref="A26:A29"/>
    <mergeCell ref="B26:D26"/>
    <mergeCell ref="B27:D27"/>
    <mergeCell ref="B28:D28"/>
    <mergeCell ref="C29:D29"/>
    <mergeCell ref="A16:A25"/>
    <mergeCell ref="B16:D16"/>
    <mergeCell ref="B17:C19"/>
    <mergeCell ref="B20:C22"/>
    <mergeCell ref="C23:C25"/>
    <mergeCell ref="K32:L32"/>
    <mergeCell ref="F33:G34"/>
    <mergeCell ref="H33:I34"/>
    <mergeCell ref="J33:L33"/>
    <mergeCell ref="K34:L34"/>
    <mergeCell ref="K35:L35"/>
    <mergeCell ref="A36:A38"/>
    <mergeCell ref="B36:C36"/>
    <mergeCell ref="K36:L36"/>
    <mergeCell ref="B37:C37"/>
    <mergeCell ref="K37:L37"/>
    <mergeCell ref="B38:C38"/>
    <mergeCell ref="K38:L38"/>
    <mergeCell ref="A39:A44"/>
    <mergeCell ref="K39:L39"/>
    <mergeCell ref="C40:E40"/>
    <mergeCell ref="K40:L40"/>
    <mergeCell ref="K41:L41"/>
    <mergeCell ref="K42:L42"/>
    <mergeCell ref="B43:E43"/>
    <mergeCell ref="K43:L43"/>
    <mergeCell ref="B44:E44"/>
    <mergeCell ref="K44:L44"/>
    <mergeCell ref="B39:E39"/>
    <mergeCell ref="B41:E41"/>
    <mergeCell ref="B42:E42"/>
    <mergeCell ref="A45:A48"/>
    <mergeCell ref="B45:E45"/>
    <mergeCell ref="K45:L45"/>
    <mergeCell ref="B46:E46"/>
    <mergeCell ref="K46:L46"/>
    <mergeCell ref="B47:E47"/>
    <mergeCell ref="K47:L47"/>
    <mergeCell ref="B48:E48"/>
    <mergeCell ref="K48:L48"/>
  </mergeCells>
  <phoneticPr fontId="4"/>
  <printOptions horizontalCentered="1"/>
  <pageMargins left="0.78740157480314965" right="0.39370078740157483" top="0.98425196850393704" bottom="0.98425196850393704" header="0.31496062992125984" footer="0.51181102362204722"/>
  <pageSetup paperSize="9" scale="87" firstPageNumber="0" orientation="portrait" r:id="rId1"/>
  <headerFooter scaleWithDoc="0" alignWithMargins="0">
    <oddFooter>&amp;C- &amp;P -</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3EABF-7D22-484F-8D3F-6687C3FED962}">
  <sheetPr>
    <pageSetUpPr fitToPage="1"/>
  </sheetPr>
  <dimension ref="A1:N43"/>
  <sheetViews>
    <sheetView view="pageBreakPreview" topLeftCell="A27" zoomScale="80" zoomScaleNormal="100" zoomScaleSheetLayoutView="80" workbookViewId="0">
      <selection activeCell="T39" sqref="T39"/>
    </sheetView>
  </sheetViews>
  <sheetFormatPr defaultColWidth="9" defaultRowHeight="13.8"/>
  <cols>
    <col min="1" max="1" width="1.44140625" style="497" customWidth="1"/>
    <col min="2" max="2" width="7.6640625" style="497" customWidth="1"/>
    <col min="3" max="14" width="8.109375" style="497" customWidth="1"/>
    <col min="15" max="16384" width="9" style="497"/>
  </cols>
  <sheetData>
    <row r="1" spans="1:14" ht="21" customHeight="1" thickBot="1">
      <c r="A1" s="500" t="s">
        <v>602</v>
      </c>
      <c r="B1" s="500"/>
      <c r="G1" s="1260" t="s">
        <v>311</v>
      </c>
      <c r="H1" s="1260"/>
      <c r="I1" s="1260"/>
      <c r="J1" s="1260"/>
      <c r="K1" s="1260"/>
      <c r="L1" s="1477"/>
      <c r="M1" s="1477"/>
      <c r="N1" s="1477"/>
    </row>
    <row r="2" spans="1:14" ht="5.25" customHeight="1">
      <c r="A2" s="1478" t="s">
        <v>312</v>
      </c>
      <c r="B2" s="1479"/>
      <c r="C2" s="1291" t="s">
        <v>603</v>
      </c>
      <c r="D2" s="1482"/>
      <c r="E2" s="1483"/>
      <c r="F2" s="1291" t="s">
        <v>604</v>
      </c>
      <c r="G2" s="1314"/>
      <c r="H2" s="1433"/>
      <c r="I2" s="1291" t="s">
        <v>605</v>
      </c>
      <c r="J2" s="1314"/>
      <c r="K2" s="1314"/>
      <c r="L2" s="1488"/>
      <c r="M2" s="1270"/>
      <c r="N2" s="1271"/>
    </row>
    <row r="3" spans="1:14" ht="19.5" customHeight="1">
      <c r="A3" s="1480"/>
      <c r="B3" s="1481"/>
      <c r="C3" s="1484"/>
      <c r="D3" s="1485"/>
      <c r="E3" s="1486"/>
      <c r="F3" s="1434"/>
      <c r="G3" s="1487"/>
      <c r="H3" s="1317"/>
      <c r="I3" s="1434"/>
      <c r="J3" s="1487"/>
      <c r="K3" s="1317"/>
      <c r="L3" s="1489" t="s">
        <v>606</v>
      </c>
      <c r="M3" s="1490"/>
      <c r="N3" s="1491"/>
    </row>
    <row r="4" spans="1:14" ht="24.6" thickBot="1">
      <c r="A4" s="993" t="s">
        <v>550</v>
      </c>
      <c r="B4" s="711"/>
      <c r="C4" s="712" t="s">
        <v>313</v>
      </c>
      <c r="D4" s="509" t="s">
        <v>230</v>
      </c>
      <c r="E4" s="510" t="s">
        <v>314</v>
      </c>
      <c r="F4" s="712" t="s">
        <v>313</v>
      </c>
      <c r="G4" s="509" t="s">
        <v>230</v>
      </c>
      <c r="H4" s="510" t="s">
        <v>314</v>
      </c>
      <c r="I4" s="713" t="s">
        <v>313</v>
      </c>
      <c r="J4" s="509" t="s">
        <v>230</v>
      </c>
      <c r="K4" s="510" t="s">
        <v>314</v>
      </c>
      <c r="L4" s="713" t="s">
        <v>313</v>
      </c>
      <c r="M4" s="509" t="s">
        <v>230</v>
      </c>
      <c r="N4" s="714" t="s">
        <v>314</v>
      </c>
    </row>
    <row r="5" spans="1:14" ht="18" customHeight="1">
      <c r="A5" s="1474">
        <v>1</v>
      </c>
      <c r="B5" s="1280"/>
      <c r="C5" s="1085">
        <v>365</v>
      </c>
      <c r="D5" s="1086">
        <v>279</v>
      </c>
      <c r="E5" s="657">
        <f t="shared" ref="E5:E16" si="0">SUM(C5:D5)</f>
        <v>644</v>
      </c>
      <c r="F5" s="1087">
        <v>0</v>
      </c>
      <c r="G5" s="1088">
        <v>2</v>
      </c>
      <c r="H5" s="657">
        <f t="shared" ref="H5:H16" si="1">SUM(F5:G5)</f>
        <v>2</v>
      </c>
      <c r="I5" s="1087">
        <v>419</v>
      </c>
      <c r="J5" s="1088">
        <v>295</v>
      </c>
      <c r="K5" s="657">
        <f t="shared" ref="K5:K16" si="2">SUM(I5:J5)</f>
        <v>714</v>
      </c>
      <c r="L5" s="1087">
        <v>29</v>
      </c>
      <c r="M5" s="1088">
        <v>32</v>
      </c>
      <c r="N5" s="657">
        <f t="shared" ref="N5:N16" si="3">SUM(L5:M5)</f>
        <v>61</v>
      </c>
    </row>
    <row r="6" spans="1:14" ht="18" customHeight="1">
      <c r="A6" s="1475">
        <v>2</v>
      </c>
      <c r="B6" s="1476"/>
      <c r="C6" s="1089">
        <v>361</v>
      </c>
      <c r="D6" s="1090">
        <v>232</v>
      </c>
      <c r="E6" s="658">
        <f t="shared" si="0"/>
        <v>593</v>
      </c>
      <c r="F6" s="1091">
        <v>2</v>
      </c>
      <c r="G6" s="1092">
        <v>1</v>
      </c>
      <c r="H6" s="658">
        <f t="shared" si="1"/>
        <v>3</v>
      </c>
      <c r="I6" s="1091">
        <v>426</v>
      </c>
      <c r="J6" s="1092">
        <v>265</v>
      </c>
      <c r="K6" s="658">
        <f t="shared" si="2"/>
        <v>691</v>
      </c>
      <c r="L6" s="1091">
        <v>36</v>
      </c>
      <c r="M6" s="1092">
        <v>21</v>
      </c>
      <c r="N6" s="658">
        <f t="shared" si="3"/>
        <v>57</v>
      </c>
    </row>
    <row r="7" spans="1:14" ht="18" customHeight="1">
      <c r="A7" s="1475">
        <v>3</v>
      </c>
      <c r="B7" s="1476"/>
      <c r="C7" s="1089">
        <v>384</v>
      </c>
      <c r="D7" s="1090">
        <v>269</v>
      </c>
      <c r="E7" s="658">
        <f t="shared" si="0"/>
        <v>653</v>
      </c>
      <c r="F7" s="1091">
        <v>2</v>
      </c>
      <c r="G7" s="1092">
        <v>1</v>
      </c>
      <c r="H7" s="658">
        <f t="shared" si="1"/>
        <v>3</v>
      </c>
      <c r="I7" s="1091">
        <v>462</v>
      </c>
      <c r="J7" s="1092">
        <v>287</v>
      </c>
      <c r="K7" s="658">
        <f t="shared" si="2"/>
        <v>749</v>
      </c>
      <c r="L7" s="1091">
        <v>32</v>
      </c>
      <c r="M7" s="1092">
        <v>38</v>
      </c>
      <c r="N7" s="658">
        <f t="shared" si="3"/>
        <v>70</v>
      </c>
    </row>
    <row r="8" spans="1:14" ht="18" customHeight="1">
      <c r="A8" s="1475">
        <v>4</v>
      </c>
      <c r="B8" s="1476"/>
      <c r="C8" s="1089">
        <v>367</v>
      </c>
      <c r="D8" s="1090">
        <v>261</v>
      </c>
      <c r="E8" s="658">
        <f t="shared" si="0"/>
        <v>628</v>
      </c>
      <c r="F8" s="1091">
        <v>3</v>
      </c>
      <c r="G8" s="1092">
        <v>1</v>
      </c>
      <c r="H8" s="658">
        <f t="shared" si="1"/>
        <v>4</v>
      </c>
      <c r="I8" s="1091">
        <v>429</v>
      </c>
      <c r="J8" s="1092">
        <v>274</v>
      </c>
      <c r="K8" s="658">
        <f t="shared" si="2"/>
        <v>703</v>
      </c>
      <c r="L8" s="1091">
        <v>37</v>
      </c>
      <c r="M8" s="1092">
        <v>46</v>
      </c>
      <c r="N8" s="658">
        <f t="shared" si="3"/>
        <v>83</v>
      </c>
    </row>
    <row r="9" spans="1:14" ht="18" customHeight="1">
      <c r="A9" s="1475">
        <v>5</v>
      </c>
      <c r="B9" s="1476"/>
      <c r="C9" s="1089">
        <v>335</v>
      </c>
      <c r="D9" s="1090">
        <v>264</v>
      </c>
      <c r="E9" s="658">
        <f t="shared" si="0"/>
        <v>599</v>
      </c>
      <c r="F9" s="1091">
        <v>2</v>
      </c>
      <c r="G9" s="1092">
        <v>1</v>
      </c>
      <c r="H9" s="658">
        <f t="shared" si="1"/>
        <v>3</v>
      </c>
      <c r="I9" s="1091">
        <v>404</v>
      </c>
      <c r="J9" s="1092">
        <v>284</v>
      </c>
      <c r="K9" s="658">
        <f t="shared" si="2"/>
        <v>688</v>
      </c>
      <c r="L9" s="1091">
        <v>36</v>
      </c>
      <c r="M9" s="1092">
        <v>32</v>
      </c>
      <c r="N9" s="658">
        <f t="shared" si="3"/>
        <v>68</v>
      </c>
    </row>
    <row r="10" spans="1:14" ht="18" customHeight="1">
      <c r="A10" s="1475">
        <v>6</v>
      </c>
      <c r="B10" s="1476"/>
      <c r="C10" s="1089">
        <v>384</v>
      </c>
      <c r="D10" s="1090">
        <v>270</v>
      </c>
      <c r="E10" s="658">
        <f t="shared" si="0"/>
        <v>654</v>
      </c>
      <c r="F10" s="1091">
        <v>1</v>
      </c>
      <c r="G10" s="1092">
        <v>1</v>
      </c>
      <c r="H10" s="658">
        <f t="shared" si="1"/>
        <v>2</v>
      </c>
      <c r="I10" s="1091">
        <v>470</v>
      </c>
      <c r="J10" s="1092">
        <v>293</v>
      </c>
      <c r="K10" s="658">
        <f t="shared" si="2"/>
        <v>763</v>
      </c>
      <c r="L10" s="1091">
        <v>47</v>
      </c>
      <c r="M10" s="1092">
        <v>41</v>
      </c>
      <c r="N10" s="658">
        <f t="shared" si="3"/>
        <v>88</v>
      </c>
    </row>
    <row r="11" spans="1:14" ht="18" customHeight="1">
      <c r="A11" s="1475">
        <v>7</v>
      </c>
      <c r="B11" s="1476"/>
      <c r="C11" s="1089">
        <v>430</v>
      </c>
      <c r="D11" s="1090">
        <v>274</v>
      </c>
      <c r="E11" s="658">
        <f t="shared" si="0"/>
        <v>704</v>
      </c>
      <c r="F11" s="1091">
        <v>0</v>
      </c>
      <c r="G11" s="1092">
        <v>2</v>
      </c>
      <c r="H11" s="658">
        <f t="shared" si="1"/>
        <v>2</v>
      </c>
      <c r="I11" s="1091">
        <v>506</v>
      </c>
      <c r="J11" s="1092">
        <v>296</v>
      </c>
      <c r="K11" s="658">
        <f t="shared" si="2"/>
        <v>802</v>
      </c>
      <c r="L11" s="1091">
        <v>52</v>
      </c>
      <c r="M11" s="1092">
        <v>45</v>
      </c>
      <c r="N11" s="658">
        <f t="shared" si="3"/>
        <v>97</v>
      </c>
    </row>
    <row r="12" spans="1:14" ht="18" customHeight="1">
      <c r="A12" s="1475">
        <v>8</v>
      </c>
      <c r="B12" s="1476"/>
      <c r="C12" s="1089">
        <v>386</v>
      </c>
      <c r="D12" s="1090">
        <v>233</v>
      </c>
      <c r="E12" s="658">
        <f t="shared" si="0"/>
        <v>619</v>
      </c>
      <c r="F12" s="1091">
        <v>2</v>
      </c>
      <c r="G12" s="1092">
        <v>0</v>
      </c>
      <c r="H12" s="658">
        <f t="shared" si="1"/>
        <v>2</v>
      </c>
      <c r="I12" s="1091">
        <v>436</v>
      </c>
      <c r="J12" s="1092">
        <v>259</v>
      </c>
      <c r="K12" s="658">
        <f t="shared" si="2"/>
        <v>695</v>
      </c>
      <c r="L12" s="1091">
        <v>39</v>
      </c>
      <c r="M12" s="1092">
        <v>33</v>
      </c>
      <c r="N12" s="658">
        <f t="shared" si="3"/>
        <v>72</v>
      </c>
    </row>
    <row r="13" spans="1:14" ht="18" customHeight="1">
      <c r="A13" s="1475">
        <v>9</v>
      </c>
      <c r="B13" s="1476"/>
      <c r="C13" s="1089">
        <v>373</v>
      </c>
      <c r="D13" s="1090">
        <v>266</v>
      </c>
      <c r="E13" s="658">
        <f t="shared" si="0"/>
        <v>639</v>
      </c>
      <c r="F13" s="1091">
        <v>1</v>
      </c>
      <c r="G13" s="1092">
        <v>1</v>
      </c>
      <c r="H13" s="658">
        <f t="shared" si="1"/>
        <v>2</v>
      </c>
      <c r="I13" s="1091">
        <v>432</v>
      </c>
      <c r="J13" s="1092">
        <v>297</v>
      </c>
      <c r="K13" s="658">
        <f t="shared" si="2"/>
        <v>729</v>
      </c>
      <c r="L13" s="1091">
        <v>44</v>
      </c>
      <c r="M13" s="1092">
        <v>38</v>
      </c>
      <c r="N13" s="658">
        <f t="shared" si="3"/>
        <v>82</v>
      </c>
    </row>
    <row r="14" spans="1:14" ht="18" customHeight="1">
      <c r="A14" s="1475">
        <v>10</v>
      </c>
      <c r="B14" s="1476"/>
      <c r="C14" s="1089">
        <v>434</v>
      </c>
      <c r="D14" s="1090">
        <v>252</v>
      </c>
      <c r="E14" s="658">
        <f t="shared" si="0"/>
        <v>686</v>
      </c>
      <c r="F14" s="1091">
        <v>4</v>
      </c>
      <c r="G14" s="1092">
        <v>3</v>
      </c>
      <c r="H14" s="658">
        <f t="shared" si="1"/>
        <v>7</v>
      </c>
      <c r="I14" s="1091">
        <v>512</v>
      </c>
      <c r="J14" s="1092">
        <v>264</v>
      </c>
      <c r="K14" s="658">
        <f t="shared" si="2"/>
        <v>776</v>
      </c>
      <c r="L14" s="1091">
        <v>47</v>
      </c>
      <c r="M14" s="1092">
        <v>37</v>
      </c>
      <c r="N14" s="658">
        <f t="shared" si="3"/>
        <v>84</v>
      </c>
    </row>
    <row r="15" spans="1:14" ht="18" customHeight="1">
      <c r="A15" s="1475">
        <v>11</v>
      </c>
      <c r="B15" s="1476"/>
      <c r="C15" s="1089">
        <v>379</v>
      </c>
      <c r="D15" s="1090">
        <v>234</v>
      </c>
      <c r="E15" s="658">
        <f t="shared" si="0"/>
        <v>613</v>
      </c>
      <c r="F15" s="1091">
        <v>4</v>
      </c>
      <c r="G15" s="1092">
        <v>4</v>
      </c>
      <c r="H15" s="658">
        <f t="shared" si="1"/>
        <v>8</v>
      </c>
      <c r="I15" s="1091">
        <v>433</v>
      </c>
      <c r="J15" s="1092">
        <v>247</v>
      </c>
      <c r="K15" s="658">
        <f t="shared" si="2"/>
        <v>680</v>
      </c>
      <c r="L15" s="1091">
        <v>40</v>
      </c>
      <c r="M15" s="1092">
        <v>28</v>
      </c>
      <c r="N15" s="658">
        <f t="shared" si="3"/>
        <v>68</v>
      </c>
    </row>
    <row r="16" spans="1:14" ht="18" customHeight="1" thickBot="1">
      <c r="A16" s="1362">
        <v>12</v>
      </c>
      <c r="B16" s="1473"/>
      <c r="C16" s="1093">
        <v>501</v>
      </c>
      <c r="D16" s="1094">
        <v>316</v>
      </c>
      <c r="E16" s="659">
        <f t="shared" si="0"/>
        <v>817</v>
      </c>
      <c r="F16" s="1095">
        <v>2</v>
      </c>
      <c r="G16" s="1096">
        <v>3</v>
      </c>
      <c r="H16" s="659">
        <f t="shared" si="1"/>
        <v>5</v>
      </c>
      <c r="I16" s="1095">
        <v>586</v>
      </c>
      <c r="J16" s="1096">
        <v>340</v>
      </c>
      <c r="K16" s="659">
        <f t="shared" si="2"/>
        <v>926</v>
      </c>
      <c r="L16" s="1095">
        <v>64</v>
      </c>
      <c r="M16" s="1096">
        <v>43</v>
      </c>
      <c r="N16" s="659">
        <f t="shared" si="3"/>
        <v>107</v>
      </c>
    </row>
    <row r="17" spans="1:14" ht="18" customHeight="1" thickBot="1">
      <c r="A17" s="1468" t="s">
        <v>293</v>
      </c>
      <c r="B17" s="1469"/>
      <c r="C17" s="660">
        <f>SUM(C5:C16)</f>
        <v>4699</v>
      </c>
      <c r="D17" s="661">
        <f>SUM(D5:D16)</f>
        <v>3150</v>
      </c>
      <c r="E17" s="662">
        <f t="shared" ref="E17:N17" si="4">SUM(E5:E16)</f>
        <v>7849</v>
      </c>
      <c r="F17" s="660">
        <f t="shared" si="4"/>
        <v>23</v>
      </c>
      <c r="G17" s="661">
        <f t="shared" si="4"/>
        <v>20</v>
      </c>
      <c r="H17" s="663">
        <f t="shared" si="4"/>
        <v>43</v>
      </c>
      <c r="I17" s="660">
        <f t="shared" si="4"/>
        <v>5515</v>
      </c>
      <c r="J17" s="661">
        <f t="shared" si="4"/>
        <v>3401</v>
      </c>
      <c r="K17" s="663">
        <f t="shared" si="4"/>
        <v>8916</v>
      </c>
      <c r="L17" s="660">
        <f t="shared" si="4"/>
        <v>503</v>
      </c>
      <c r="M17" s="661">
        <f t="shared" si="4"/>
        <v>434</v>
      </c>
      <c r="N17" s="663">
        <f t="shared" si="4"/>
        <v>937</v>
      </c>
    </row>
    <row r="18" spans="1:14" ht="18">
      <c r="A18" s="1889" t="s">
        <v>908</v>
      </c>
    </row>
    <row r="21" spans="1:14" ht="14.4" thickBot="1">
      <c r="A21" s="497" t="s">
        <v>607</v>
      </c>
      <c r="G21" s="1385" t="s">
        <v>315</v>
      </c>
      <c r="H21" s="1385"/>
      <c r="I21" s="1385"/>
      <c r="J21" s="1385"/>
      <c r="K21" s="1385"/>
      <c r="L21" s="1385"/>
      <c r="M21" s="1385"/>
      <c r="N21" s="1385"/>
    </row>
    <row r="22" spans="1:14" ht="14.25" customHeight="1">
      <c r="A22" s="543"/>
      <c r="B22" s="649"/>
      <c r="C22" s="667" t="s">
        <v>608</v>
      </c>
      <c r="D22" s="1470" t="s">
        <v>609</v>
      </c>
      <c r="E22" s="1387" t="s">
        <v>610</v>
      </c>
      <c r="F22" s="1387" t="s">
        <v>611</v>
      </c>
      <c r="G22" s="1387" t="s">
        <v>612</v>
      </c>
      <c r="H22" s="1387" t="s">
        <v>613</v>
      </c>
      <c r="I22" s="1387" t="s">
        <v>614</v>
      </c>
      <c r="J22" s="1387" t="s">
        <v>615</v>
      </c>
      <c r="K22" s="1387" t="s">
        <v>616</v>
      </c>
      <c r="L22" s="1355" t="s">
        <v>617</v>
      </c>
      <c r="M22" s="1471" t="s">
        <v>618</v>
      </c>
      <c r="N22" s="1472" t="s">
        <v>555</v>
      </c>
    </row>
    <row r="23" spans="1:14" ht="14.4" thickBot="1">
      <c r="A23" s="499" t="s">
        <v>619</v>
      </c>
      <c r="B23" s="651"/>
      <c r="C23" s="716" t="s">
        <v>316</v>
      </c>
      <c r="D23" s="1263"/>
      <c r="E23" s="1388"/>
      <c r="F23" s="1388"/>
      <c r="G23" s="1388"/>
      <c r="H23" s="1388"/>
      <c r="I23" s="1388"/>
      <c r="J23" s="1388"/>
      <c r="K23" s="1388"/>
      <c r="L23" s="1267"/>
      <c r="M23" s="1267"/>
      <c r="N23" s="1304"/>
    </row>
    <row r="24" spans="1:14" ht="18" customHeight="1">
      <c r="A24" s="1291" t="s">
        <v>620</v>
      </c>
      <c r="B24" s="1306"/>
      <c r="C24" s="717" t="s">
        <v>313</v>
      </c>
      <c r="D24" s="63">
        <v>12747</v>
      </c>
      <c r="E24" s="64">
        <v>7269</v>
      </c>
      <c r="F24" s="64">
        <v>6723</v>
      </c>
      <c r="G24" s="64">
        <v>6306</v>
      </c>
      <c r="H24" s="64">
        <v>5891</v>
      </c>
      <c r="I24" s="64">
        <v>4845</v>
      </c>
      <c r="J24" s="65">
        <v>4838</v>
      </c>
      <c r="K24" s="64">
        <v>4750</v>
      </c>
      <c r="L24" s="64">
        <v>4693</v>
      </c>
      <c r="M24" s="64">
        <v>4615</v>
      </c>
      <c r="N24" s="1097">
        <v>4699</v>
      </c>
    </row>
    <row r="25" spans="1:14" ht="18" customHeight="1">
      <c r="A25" s="1292"/>
      <c r="B25" s="1463"/>
      <c r="C25" s="718" t="s">
        <v>230</v>
      </c>
      <c r="D25" s="66">
        <v>10633</v>
      </c>
      <c r="E25" s="67">
        <v>4904</v>
      </c>
      <c r="F25" s="67">
        <v>4609</v>
      </c>
      <c r="G25" s="67">
        <v>4579</v>
      </c>
      <c r="H25" s="67">
        <v>4189</v>
      </c>
      <c r="I25" s="67">
        <v>3411</v>
      </c>
      <c r="J25" s="68">
        <v>3458</v>
      </c>
      <c r="K25" s="67">
        <v>3356</v>
      </c>
      <c r="L25" s="67">
        <v>3506</v>
      </c>
      <c r="M25" s="67">
        <v>3073</v>
      </c>
      <c r="N25" s="1098">
        <v>3150</v>
      </c>
    </row>
    <row r="26" spans="1:14" ht="18" customHeight="1">
      <c r="A26" s="1292"/>
      <c r="B26" s="1463"/>
      <c r="C26" s="719" t="s">
        <v>317</v>
      </c>
      <c r="D26" s="69">
        <f t="shared" ref="D26:M26" si="5">D24+D25</f>
        <v>23380</v>
      </c>
      <c r="E26" s="67">
        <f t="shared" si="5"/>
        <v>12173</v>
      </c>
      <c r="F26" s="67">
        <f t="shared" si="5"/>
        <v>11332</v>
      </c>
      <c r="G26" s="67">
        <f t="shared" si="5"/>
        <v>10885</v>
      </c>
      <c r="H26" s="67">
        <f t="shared" si="5"/>
        <v>10080</v>
      </c>
      <c r="I26" s="67">
        <f t="shared" si="5"/>
        <v>8256</v>
      </c>
      <c r="J26" s="67">
        <f t="shared" si="5"/>
        <v>8296</v>
      </c>
      <c r="K26" s="67">
        <f t="shared" si="5"/>
        <v>8106</v>
      </c>
      <c r="L26" s="67">
        <f t="shared" si="5"/>
        <v>8199</v>
      </c>
      <c r="M26" s="67">
        <f t="shared" si="5"/>
        <v>7688</v>
      </c>
      <c r="N26" s="1098">
        <v>7849</v>
      </c>
    </row>
    <row r="27" spans="1:14" ht="35.25" customHeight="1" thickBot="1">
      <c r="A27" s="1464"/>
      <c r="B27" s="1465"/>
      <c r="C27" s="720" t="s">
        <v>496</v>
      </c>
      <c r="D27" s="721">
        <f>D24/D26*100</f>
        <v>54.52095808383234</v>
      </c>
      <c r="E27" s="722">
        <f t="shared" ref="E27:N27" si="6">E24/E26*100</f>
        <v>59.714121416249078</v>
      </c>
      <c r="F27" s="722">
        <f t="shared" si="6"/>
        <v>59.327567949170486</v>
      </c>
      <c r="G27" s="722">
        <f t="shared" si="6"/>
        <v>57.932935231970603</v>
      </c>
      <c r="H27" s="722">
        <f t="shared" si="6"/>
        <v>58.442460317460323</v>
      </c>
      <c r="I27" s="722">
        <f t="shared" si="6"/>
        <v>58.684593023255815</v>
      </c>
      <c r="J27" s="723">
        <f t="shared" si="6"/>
        <v>58.317261330761816</v>
      </c>
      <c r="K27" s="722">
        <f t="shared" si="6"/>
        <v>58.598568961263261</v>
      </c>
      <c r="L27" s="722">
        <f t="shared" si="6"/>
        <v>57.238687644834741</v>
      </c>
      <c r="M27" s="722">
        <f t="shared" si="6"/>
        <v>60.028616024973992</v>
      </c>
      <c r="N27" s="1099">
        <f t="shared" si="6"/>
        <v>59.867499044464267</v>
      </c>
    </row>
    <row r="28" spans="1:14" ht="18" customHeight="1">
      <c r="A28" s="1291" t="s">
        <v>621</v>
      </c>
      <c r="B28" s="1466"/>
      <c r="C28" s="724" t="s">
        <v>313</v>
      </c>
      <c r="D28" s="63">
        <v>111</v>
      </c>
      <c r="E28" s="64">
        <v>30</v>
      </c>
      <c r="F28" s="64">
        <v>33</v>
      </c>
      <c r="G28" s="64">
        <v>29</v>
      </c>
      <c r="H28" s="64">
        <v>23</v>
      </c>
      <c r="I28" s="64">
        <v>29</v>
      </c>
      <c r="J28" s="65">
        <v>34</v>
      </c>
      <c r="K28" s="64">
        <v>25</v>
      </c>
      <c r="L28" s="64">
        <v>33</v>
      </c>
      <c r="M28" s="64">
        <v>31</v>
      </c>
      <c r="N28" s="1097">
        <v>23</v>
      </c>
    </row>
    <row r="29" spans="1:14" ht="18" customHeight="1">
      <c r="A29" s="1292"/>
      <c r="B29" s="1288"/>
      <c r="C29" s="725" t="s">
        <v>230</v>
      </c>
      <c r="D29" s="66">
        <v>111</v>
      </c>
      <c r="E29" s="67">
        <v>19</v>
      </c>
      <c r="F29" s="67">
        <v>11</v>
      </c>
      <c r="G29" s="67">
        <v>15</v>
      </c>
      <c r="H29" s="67">
        <v>11</v>
      </c>
      <c r="I29" s="67">
        <v>8</v>
      </c>
      <c r="J29" s="68">
        <v>9</v>
      </c>
      <c r="K29" s="67">
        <v>15</v>
      </c>
      <c r="L29" s="67">
        <v>7</v>
      </c>
      <c r="M29" s="67">
        <v>12</v>
      </c>
      <c r="N29" s="1098">
        <v>20</v>
      </c>
    </row>
    <row r="30" spans="1:14" ht="18" customHeight="1">
      <c r="A30" s="1292"/>
      <c r="B30" s="1288"/>
      <c r="C30" s="726" t="s">
        <v>317</v>
      </c>
      <c r="D30" s="69">
        <f t="shared" ref="D30:M30" si="7">D28+D29</f>
        <v>222</v>
      </c>
      <c r="E30" s="68">
        <f t="shared" si="7"/>
        <v>49</v>
      </c>
      <c r="F30" s="68">
        <f t="shared" si="7"/>
        <v>44</v>
      </c>
      <c r="G30" s="68">
        <f t="shared" si="7"/>
        <v>44</v>
      </c>
      <c r="H30" s="68">
        <f t="shared" si="7"/>
        <v>34</v>
      </c>
      <c r="I30" s="68">
        <f t="shared" si="7"/>
        <v>37</v>
      </c>
      <c r="J30" s="68">
        <f t="shared" si="7"/>
        <v>43</v>
      </c>
      <c r="K30" s="68">
        <f t="shared" si="7"/>
        <v>40</v>
      </c>
      <c r="L30" s="67">
        <f t="shared" si="7"/>
        <v>40</v>
      </c>
      <c r="M30" s="67">
        <f t="shared" si="7"/>
        <v>43</v>
      </c>
      <c r="N30" s="1098">
        <v>43</v>
      </c>
    </row>
    <row r="31" spans="1:14" ht="35.25" customHeight="1" thickBot="1">
      <c r="A31" s="1464"/>
      <c r="B31" s="1467"/>
      <c r="C31" s="727" t="s">
        <v>496</v>
      </c>
      <c r="D31" s="721">
        <f>D28/D30*100</f>
        <v>50</v>
      </c>
      <c r="E31" s="722">
        <f t="shared" ref="E31:N31" si="8">E28/E30*100</f>
        <v>61.224489795918366</v>
      </c>
      <c r="F31" s="722">
        <f t="shared" si="8"/>
        <v>75</v>
      </c>
      <c r="G31" s="722">
        <f t="shared" si="8"/>
        <v>65.909090909090907</v>
      </c>
      <c r="H31" s="722">
        <f t="shared" si="8"/>
        <v>67.64705882352942</v>
      </c>
      <c r="I31" s="722">
        <f t="shared" si="8"/>
        <v>78.378378378378372</v>
      </c>
      <c r="J31" s="723">
        <f t="shared" si="8"/>
        <v>79.069767441860463</v>
      </c>
      <c r="K31" s="722">
        <f t="shared" si="8"/>
        <v>62.5</v>
      </c>
      <c r="L31" s="722">
        <f t="shared" si="8"/>
        <v>82.5</v>
      </c>
      <c r="M31" s="722">
        <f t="shared" si="8"/>
        <v>72.093023255813947</v>
      </c>
      <c r="N31" s="1099">
        <f t="shared" si="8"/>
        <v>53.488372093023251</v>
      </c>
    </row>
    <row r="32" spans="1:14" ht="18" customHeight="1">
      <c r="A32" s="1291" t="s">
        <v>622</v>
      </c>
      <c r="B32" s="1466"/>
      <c r="C32" s="728" t="s">
        <v>313</v>
      </c>
      <c r="D32" s="63">
        <v>10103</v>
      </c>
      <c r="E32" s="64">
        <v>8791</v>
      </c>
      <c r="F32" s="64">
        <v>8266</v>
      </c>
      <c r="G32" s="64">
        <v>7663</v>
      </c>
      <c r="H32" s="64">
        <v>7146</v>
      </c>
      <c r="I32" s="64">
        <v>5765</v>
      </c>
      <c r="J32" s="65">
        <v>5780</v>
      </c>
      <c r="K32" s="64">
        <v>5647</v>
      </c>
      <c r="L32" s="64">
        <v>5578</v>
      </c>
      <c r="M32" s="64">
        <v>5401</v>
      </c>
      <c r="N32" s="1097">
        <v>5515</v>
      </c>
    </row>
    <row r="33" spans="1:14" ht="18" customHeight="1">
      <c r="A33" s="1292"/>
      <c r="B33" s="1288"/>
      <c r="C33" s="725" t="s">
        <v>230</v>
      </c>
      <c r="D33" s="66">
        <v>6315</v>
      </c>
      <c r="E33" s="67">
        <v>5440</v>
      </c>
      <c r="F33" s="67">
        <v>5132</v>
      </c>
      <c r="G33" s="67">
        <v>5060</v>
      </c>
      <c r="H33" s="67">
        <v>4554</v>
      </c>
      <c r="I33" s="67">
        <v>3728</v>
      </c>
      <c r="J33" s="68">
        <v>3804</v>
      </c>
      <c r="K33" s="67">
        <v>3631</v>
      </c>
      <c r="L33" s="67">
        <v>3814</v>
      </c>
      <c r="M33" s="67">
        <v>3321</v>
      </c>
      <c r="N33" s="1098">
        <v>3401</v>
      </c>
    </row>
    <row r="34" spans="1:14" ht="18" customHeight="1">
      <c r="A34" s="1292"/>
      <c r="B34" s="1288"/>
      <c r="C34" s="726" t="s">
        <v>317</v>
      </c>
      <c r="D34" s="69">
        <f t="shared" ref="D34:M34" si="9">D32+D33</f>
        <v>16418</v>
      </c>
      <c r="E34" s="68">
        <f t="shared" si="9"/>
        <v>14231</v>
      </c>
      <c r="F34" s="68">
        <f t="shared" si="9"/>
        <v>13398</v>
      </c>
      <c r="G34" s="68">
        <f t="shared" si="9"/>
        <v>12723</v>
      </c>
      <c r="H34" s="68">
        <f t="shared" si="9"/>
        <v>11700</v>
      </c>
      <c r="I34" s="68">
        <f t="shared" si="9"/>
        <v>9493</v>
      </c>
      <c r="J34" s="68">
        <f t="shared" si="9"/>
        <v>9584</v>
      </c>
      <c r="K34" s="68">
        <f t="shared" si="9"/>
        <v>9278</v>
      </c>
      <c r="L34" s="67">
        <f t="shared" si="9"/>
        <v>9392</v>
      </c>
      <c r="M34" s="67">
        <f t="shared" si="9"/>
        <v>8722</v>
      </c>
      <c r="N34" s="1098">
        <v>8916</v>
      </c>
    </row>
    <row r="35" spans="1:14" ht="35.25" customHeight="1" thickBot="1">
      <c r="A35" s="1292"/>
      <c r="B35" s="1467"/>
      <c r="C35" s="727" t="s">
        <v>496</v>
      </c>
      <c r="D35" s="721">
        <f>D32/D34*100</f>
        <v>61.536118893896941</v>
      </c>
      <c r="E35" s="729">
        <f t="shared" ref="E35:N35" si="10">E32/E34*100</f>
        <v>61.773592860656315</v>
      </c>
      <c r="F35" s="729">
        <f t="shared" si="10"/>
        <v>61.695775488878937</v>
      </c>
      <c r="G35" s="729">
        <f t="shared" si="10"/>
        <v>60.229505619743776</v>
      </c>
      <c r="H35" s="729">
        <f t="shared" si="10"/>
        <v>61.076923076923073</v>
      </c>
      <c r="I35" s="730">
        <f t="shared" si="10"/>
        <v>60.72895817971137</v>
      </c>
      <c r="J35" s="729">
        <f t="shared" si="10"/>
        <v>60.308848080133558</v>
      </c>
      <c r="K35" s="730">
        <f t="shared" si="10"/>
        <v>60.864410433283034</v>
      </c>
      <c r="L35" s="730">
        <f t="shared" si="10"/>
        <v>59.390971039182283</v>
      </c>
      <c r="M35" s="730">
        <f t="shared" si="10"/>
        <v>61.923870671864258</v>
      </c>
      <c r="N35" s="1100">
        <f t="shared" si="10"/>
        <v>61.855091969493046</v>
      </c>
    </row>
    <row r="36" spans="1:14" ht="18" customHeight="1">
      <c r="A36" s="1457"/>
      <c r="B36" s="1460" t="s">
        <v>623</v>
      </c>
      <c r="C36" s="717" t="s">
        <v>313</v>
      </c>
      <c r="D36" s="70" t="s">
        <v>11</v>
      </c>
      <c r="E36" s="71" t="s">
        <v>11</v>
      </c>
      <c r="F36" s="71" t="s">
        <v>11</v>
      </c>
      <c r="G36" s="64">
        <v>564</v>
      </c>
      <c r="H36" s="64">
        <v>531</v>
      </c>
      <c r="I36" s="64">
        <v>489</v>
      </c>
      <c r="J36" s="65">
        <v>490</v>
      </c>
      <c r="K36" s="64">
        <v>460</v>
      </c>
      <c r="L36" s="64">
        <v>544</v>
      </c>
      <c r="M36" s="64">
        <v>494</v>
      </c>
      <c r="N36" s="1097">
        <v>503</v>
      </c>
    </row>
    <row r="37" spans="1:14" ht="18" customHeight="1">
      <c r="A37" s="1458"/>
      <c r="B37" s="1461"/>
      <c r="C37" s="718" t="s">
        <v>230</v>
      </c>
      <c r="D37" s="72" t="s">
        <v>11</v>
      </c>
      <c r="E37" s="73" t="s">
        <v>11</v>
      </c>
      <c r="F37" s="73" t="s">
        <v>11</v>
      </c>
      <c r="G37" s="67">
        <v>521</v>
      </c>
      <c r="H37" s="67">
        <v>446</v>
      </c>
      <c r="I37" s="67">
        <v>389</v>
      </c>
      <c r="J37" s="68">
        <v>389</v>
      </c>
      <c r="K37" s="67">
        <v>434</v>
      </c>
      <c r="L37" s="67">
        <v>437</v>
      </c>
      <c r="M37" s="67">
        <v>433</v>
      </c>
      <c r="N37" s="1098">
        <v>434</v>
      </c>
    </row>
    <row r="38" spans="1:14" ht="18" customHeight="1">
      <c r="A38" s="1458"/>
      <c r="B38" s="1461"/>
      <c r="C38" s="719" t="s">
        <v>317</v>
      </c>
      <c r="D38" s="66">
        <v>2744</v>
      </c>
      <c r="E38" s="68">
        <v>935</v>
      </c>
      <c r="F38" s="68">
        <v>908</v>
      </c>
      <c r="G38" s="67">
        <f t="shared" ref="G38:M38" si="11">G36+G37</f>
        <v>1085</v>
      </c>
      <c r="H38" s="67">
        <f t="shared" si="11"/>
        <v>977</v>
      </c>
      <c r="I38" s="67">
        <f t="shared" si="11"/>
        <v>878</v>
      </c>
      <c r="J38" s="67">
        <f t="shared" si="11"/>
        <v>879</v>
      </c>
      <c r="K38" s="67">
        <f t="shared" si="11"/>
        <v>894</v>
      </c>
      <c r="L38" s="67">
        <f t="shared" si="11"/>
        <v>981</v>
      </c>
      <c r="M38" s="67">
        <f t="shared" si="11"/>
        <v>927</v>
      </c>
      <c r="N38" s="1098">
        <v>937</v>
      </c>
    </row>
    <row r="39" spans="1:14" ht="35.25" customHeight="1" thickBot="1">
      <c r="A39" s="1459"/>
      <c r="B39" s="1462"/>
      <c r="C39" s="731" t="s">
        <v>496</v>
      </c>
      <c r="D39" s="74" t="s">
        <v>11</v>
      </c>
      <c r="E39" s="75" t="s">
        <v>11</v>
      </c>
      <c r="F39" s="75" t="s">
        <v>11</v>
      </c>
      <c r="G39" s="729">
        <f t="shared" ref="G39:N39" si="12">G36/G38*100</f>
        <v>51.981566820276491</v>
      </c>
      <c r="H39" s="729">
        <f t="shared" si="12"/>
        <v>54.350051177072665</v>
      </c>
      <c r="I39" s="730">
        <f t="shared" si="12"/>
        <v>55.694760820045566</v>
      </c>
      <c r="J39" s="729">
        <f t="shared" si="12"/>
        <v>55.745164960182024</v>
      </c>
      <c r="K39" s="730">
        <f t="shared" si="12"/>
        <v>51.454138702460853</v>
      </c>
      <c r="L39" s="730">
        <f t="shared" si="12"/>
        <v>55.45361875637105</v>
      </c>
      <c r="M39" s="730">
        <f t="shared" si="12"/>
        <v>53.290183387270758</v>
      </c>
      <c r="N39" s="1100">
        <f t="shared" si="12"/>
        <v>53.681963713980785</v>
      </c>
    </row>
    <row r="40" spans="1:14" ht="4.8" customHeight="1">
      <c r="A40" s="1965"/>
      <c r="B40" s="1966"/>
      <c r="C40" s="1967"/>
      <c r="D40" s="1968"/>
      <c r="E40" s="1968"/>
      <c r="F40" s="1968"/>
      <c r="G40" s="1969"/>
      <c r="H40" s="1969"/>
      <c r="I40" s="1969"/>
      <c r="J40" s="1969"/>
      <c r="K40" s="1969"/>
      <c r="L40" s="1969"/>
      <c r="M40" s="1969"/>
      <c r="N40" s="1969"/>
    </row>
    <row r="41" spans="1:14" s="864" customFormat="1" ht="13.8" customHeight="1">
      <c r="B41" s="1970" t="s">
        <v>909</v>
      </c>
      <c r="C41" s="1970"/>
      <c r="D41" s="1970"/>
      <c r="E41" s="1970"/>
      <c r="F41" s="1970"/>
      <c r="G41" s="1970"/>
      <c r="H41" s="1970"/>
      <c r="I41" s="1970"/>
      <c r="J41" s="1970"/>
      <c r="K41" s="1970"/>
      <c r="L41" s="1970"/>
      <c r="M41" s="1970"/>
      <c r="N41" s="1970"/>
    </row>
    <row r="42" spans="1:14" s="864" customFormat="1" ht="13.8" customHeight="1">
      <c r="B42" s="1964" t="s">
        <v>910</v>
      </c>
      <c r="C42" s="1893"/>
      <c r="D42" s="1893"/>
      <c r="E42" s="1893"/>
      <c r="F42" s="1893"/>
      <c r="G42" s="1893"/>
      <c r="H42" s="1893"/>
      <c r="I42" s="1893"/>
      <c r="J42" s="1893"/>
      <c r="K42" s="1893"/>
      <c r="L42" s="1893"/>
      <c r="M42" s="1893"/>
      <c r="N42" s="1893"/>
    </row>
    <row r="43" spans="1:14" s="864" customFormat="1" ht="13.8" customHeight="1">
      <c r="B43" s="1893" t="s">
        <v>911</v>
      </c>
      <c r="C43" s="1893"/>
      <c r="D43" s="1893"/>
      <c r="E43" s="1893"/>
      <c r="F43" s="1893"/>
      <c r="G43" s="1893"/>
      <c r="H43" s="1893"/>
      <c r="I43" s="1893"/>
      <c r="J43" s="1893"/>
      <c r="K43" s="1893"/>
      <c r="L43" s="1893"/>
      <c r="M43" s="1893"/>
      <c r="N43" s="1893"/>
    </row>
  </sheetData>
  <mergeCells count="40">
    <mergeCell ref="B42:N42"/>
    <mergeCell ref="B41:N41"/>
    <mergeCell ref="B43:N43"/>
    <mergeCell ref="G1:N1"/>
    <mergeCell ref="A2:B3"/>
    <mergeCell ref="C2:E3"/>
    <mergeCell ref="F2:H3"/>
    <mergeCell ref="I2:K3"/>
    <mergeCell ref="L2:N2"/>
    <mergeCell ref="L3:N3"/>
    <mergeCell ref="A16:B16"/>
    <mergeCell ref="A5:B5"/>
    <mergeCell ref="A6:B6"/>
    <mergeCell ref="A7:B7"/>
    <mergeCell ref="A8:B8"/>
    <mergeCell ref="A9:B9"/>
    <mergeCell ref="A10:B10"/>
    <mergeCell ref="A11:B11"/>
    <mergeCell ref="A12:B12"/>
    <mergeCell ref="A13:B13"/>
    <mergeCell ref="A14:B14"/>
    <mergeCell ref="A15:B15"/>
    <mergeCell ref="A17:B17"/>
    <mergeCell ref="D22:D23"/>
    <mergeCell ref="E22:E23"/>
    <mergeCell ref="F22:F23"/>
    <mergeCell ref="G21:N21"/>
    <mergeCell ref="M22:M23"/>
    <mergeCell ref="N22:N23"/>
    <mergeCell ref="A36:A39"/>
    <mergeCell ref="B36:B39"/>
    <mergeCell ref="J22:J23"/>
    <mergeCell ref="K22:K23"/>
    <mergeCell ref="L22:L23"/>
    <mergeCell ref="A24:B27"/>
    <mergeCell ref="A28:B31"/>
    <mergeCell ref="A32:B35"/>
    <mergeCell ref="G22:G23"/>
    <mergeCell ref="H22:H23"/>
    <mergeCell ref="I22:I23"/>
  </mergeCells>
  <phoneticPr fontId="4"/>
  <printOptions horizontalCentered="1"/>
  <pageMargins left="0.78740157480314965" right="0.39370078740157483" top="0.98425196850393704" bottom="0.98425196850393704" header="0.31496062992125984" footer="0.51181102362204722"/>
  <pageSetup paperSize="9" scale="85" firstPageNumber="0" orientation="portrait" r:id="rId1"/>
  <headerFooter scaleWithDoc="0" alignWithMargins="0">
    <oddFooter>&amp;C- &amp;P -</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7BFFF-84A8-4B99-AF34-412EA1D375AF}">
  <sheetPr>
    <pageSetUpPr fitToPage="1"/>
  </sheetPr>
  <dimension ref="A1:N16"/>
  <sheetViews>
    <sheetView view="pageBreakPreview" topLeftCell="A3" zoomScale="90" zoomScaleNormal="100" zoomScaleSheetLayoutView="90" workbookViewId="0">
      <selection activeCell="U12" sqref="U12"/>
    </sheetView>
  </sheetViews>
  <sheetFormatPr defaultColWidth="9" defaultRowHeight="13.8"/>
  <cols>
    <col min="1" max="1" width="1.21875" style="497" customWidth="1"/>
    <col min="2" max="2" width="5.44140625" style="497" customWidth="1"/>
    <col min="3" max="3" width="5.77734375" style="497" customWidth="1"/>
    <col min="4" max="12" width="8.109375" style="497" customWidth="1"/>
    <col min="13" max="16384" width="9" style="497"/>
  </cols>
  <sheetData>
    <row r="1" spans="1:14" ht="21.75" customHeight="1">
      <c r="A1" s="595" t="s">
        <v>318</v>
      </c>
      <c r="B1" s="595"/>
    </row>
    <row r="3" spans="1:14" ht="14.4" thickBot="1">
      <c r="A3" s="497" t="s">
        <v>624</v>
      </c>
      <c r="I3" s="1385" t="s">
        <v>319</v>
      </c>
      <c r="J3" s="1385"/>
      <c r="K3" s="1385"/>
      <c r="L3" s="1385"/>
    </row>
    <row r="4" spans="1:14" ht="25.5" customHeight="1">
      <c r="A4" s="1495" t="s">
        <v>320</v>
      </c>
      <c r="B4" s="1496"/>
      <c r="C4" s="1497"/>
      <c r="D4" s="1500" t="s">
        <v>321</v>
      </c>
      <c r="E4" s="1501"/>
      <c r="F4" s="1502"/>
      <c r="G4" s="1503" t="s">
        <v>322</v>
      </c>
      <c r="H4" s="1504"/>
      <c r="I4" s="1505"/>
      <c r="J4" s="1506" t="s">
        <v>323</v>
      </c>
      <c r="K4" s="1507"/>
      <c r="L4" s="1508"/>
    </row>
    <row r="5" spans="1:14" ht="14.4" thickBot="1">
      <c r="A5" s="1498"/>
      <c r="B5" s="1301"/>
      <c r="C5" s="1499"/>
      <c r="D5" s="234" t="s">
        <v>324</v>
      </c>
      <c r="E5" s="235" t="s">
        <v>325</v>
      </c>
      <c r="F5" s="236" t="s">
        <v>326</v>
      </c>
      <c r="G5" s="234" t="s">
        <v>324</v>
      </c>
      <c r="H5" s="235" t="s">
        <v>325</v>
      </c>
      <c r="I5" s="237" t="s">
        <v>326</v>
      </c>
      <c r="J5" s="238" t="s">
        <v>324</v>
      </c>
      <c r="K5" s="235" t="s">
        <v>325</v>
      </c>
      <c r="L5" s="237" t="s">
        <v>326</v>
      </c>
    </row>
    <row r="6" spans="1:14" ht="24.9" customHeight="1">
      <c r="A6" s="1492" t="s">
        <v>327</v>
      </c>
      <c r="B6" s="1466"/>
      <c r="C6" s="1101" t="s">
        <v>556</v>
      </c>
      <c r="D6" s="1102">
        <v>3117</v>
      </c>
      <c r="E6" s="1103">
        <v>2388</v>
      </c>
      <c r="F6" s="239">
        <f t="shared" ref="F6:F12" si="0">D6+E6</f>
        <v>5505</v>
      </c>
      <c r="G6" s="1102">
        <v>1582</v>
      </c>
      <c r="H6" s="1103">
        <v>762</v>
      </c>
      <c r="I6" s="240">
        <f t="shared" ref="I6:I12" si="1">G6+H6</f>
        <v>2344</v>
      </c>
      <c r="J6" s="241">
        <f>D6/(D6+G6)*100</f>
        <v>66.333262396254526</v>
      </c>
      <c r="K6" s="242">
        <f>E6/(E6+H6)*100</f>
        <v>75.80952380952381</v>
      </c>
      <c r="L6" s="243">
        <f>F6/(F6+I6)*100</f>
        <v>70.136323098483885</v>
      </c>
    </row>
    <row r="7" spans="1:14" ht="24.9" customHeight="1" thickBot="1">
      <c r="A7" s="1464"/>
      <c r="B7" s="1467"/>
      <c r="C7" s="244" t="s">
        <v>558</v>
      </c>
      <c r="D7" s="245">
        <v>3060</v>
      </c>
      <c r="E7" s="246">
        <v>2320</v>
      </c>
      <c r="F7" s="247">
        <v>5380</v>
      </c>
      <c r="G7" s="245">
        <v>1555</v>
      </c>
      <c r="H7" s="246">
        <v>753</v>
      </c>
      <c r="I7" s="248">
        <v>2308</v>
      </c>
      <c r="J7" s="249">
        <v>66.305525460455044</v>
      </c>
      <c r="K7" s="250">
        <v>75.496257728603965</v>
      </c>
      <c r="L7" s="251">
        <v>69.97918834547346</v>
      </c>
    </row>
    <row r="8" spans="1:14" ht="24.9" customHeight="1">
      <c r="A8" s="1492" t="s">
        <v>328</v>
      </c>
      <c r="B8" s="1466"/>
      <c r="C8" s="1101" t="s">
        <v>556</v>
      </c>
      <c r="D8" s="1102">
        <v>10</v>
      </c>
      <c r="E8" s="1103">
        <v>12</v>
      </c>
      <c r="F8" s="239">
        <f t="shared" si="0"/>
        <v>22</v>
      </c>
      <c r="G8" s="1102">
        <v>13</v>
      </c>
      <c r="H8" s="1103">
        <v>8</v>
      </c>
      <c r="I8" s="240">
        <f t="shared" si="1"/>
        <v>21</v>
      </c>
      <c r="J8" s="241">
        <f>D8/(D8+G8)*100</f>
        <v>43.478260869565219</v>
      </c>
      <c r="K8" s="242">
        <f>E8/(E8+H8)*100</f>
        <v>60</v>
      </c>
      <c r="L8" s="243">
        <f>F8/(F8+I8)*100</f>
        <v>51.162790697674424</v>
      </c>
    </row>
    <row r="9" spans="1:14" ht="24.9" customHeight="1" thickBot="1">
      <c r="A9" s="1464"/>
      <c r="B9" s="1467"/>
      <c r="C9" s="252" t="s">
        <v>557</v>
      </c>
      <c r="D9" s="253">
        <v>14</v>
      </c>
      <c r="E9" s="254">
        <v>7</v>
      </c>
      <c r="F9" s="255">
        <v>21</v>
      </c>
      <c r="G9" s="253">
        <v>17</v>
      </c>
      <c r="H9" s="254">
        <v>5</v>
      </c>
      <c r="I9" s="248">
        <v>22</v>
      </c>
      <c r="J9" s="249">
        <v>45.161290322580641</v>
      </c>
      <c r="K9" s="250">
        <v>58.333333333333336</v>
      </c>
      <c r="L9" s="251">
        <v>48.837209302325576</v>
      </c>
    </row>
    <row r="10" spans="1:14" ht="24.9" customHeight="1">
      <c r="A10" s="1492" t="s">
        <v>329</v>
      </c>
      <c r="B10" s="1466"/>
      <c r="C10" s="1101" t="s">
        <v>556</v>
      </c>
      <c r="D10" s="1102">
        <v>3651</v>
      </c>
      <c r="E10" s="1103">
        <v>2585</v>
      </c>
      <c r="F10" s="240">
        <f t="shared" si="0"/>
        <v>6236</v>
      </c>
      <c r="G10" s="1102">
        <v>1864</v>
      </c>
      <c r="H10" s="1103">
        <v>816</v>
      </c>
      <c r="I10" s="240">
        <f t="shared" si="1"/>
        <v>2680</v>
      </c>
      <c r="J10" s="256">
        <f>D10/(D10+G10)*100</f>
        <v>66.201269265639155</v>
      </c>
      <c r="K10" s="257">
        <f>E10/(E10+H10)*100</f>
        <v>76.007056748015287</v>
      </c>
      <c r="L10" s="258">
        <f>F10/(F10+I10)*100</f>
        <v>69.941677882458492</v>
      </c>
    </row>
    <row r="11" spans="1:14" ht="24.9" customHeight="1" thickBot="1">
      <c r="A11" s="1292"/>
      <c r="B11" s="1467"/>
      <c r="C11" s="252" t="s">
        <v>557</v>
      </c>
      <c r="D11" s="253">
        <v>3588</v>
      </c>
      <c r="E11" s="254">
        <v>2493</v>
      </c>
      <c r="F11" s="248">
        <v>6081</v>
      </c>
      <c r="G11" s="253">
        <v>1813</v>
      </c>
      <c r="H11" s="254">
        <v>828</v>
      </c>
      <c r="I11" s="248">
        <v>2641</v>
      </c>
      <c r="J11" s="259">
        <v>66.432142195889654</v>
      </c>
      <c r="K11" s="250">
        <v>75.06775067750678</v>
      </c>
      <c r="L11" s="251">
        <v>69.720247649621641</v>
      </c>
    </row>
    <row r="12" spans="1:14" ht="24.9" customHeight="1">
      <c r="A12" s="1493"/>
      <c r="B12" s="1494" t="s">
        <v>330</v>
      </c>
      <c r="C12" s="1101" t="s">
        <v>556</v>
      </c>
      <c r="D12" s="1102">
        <v>291</v>
      </c>
      <c r="E12" s="1103">
        <v>335</v>
      </c>
      <c r="F12" s="240">
        <f t="shared" si="0"/>
        <v>626</v>
      </c>
      <c r="G12" s="1102">
        <v>212</v>
      </c>
      <c r="H12" s="1103">
        <v>99</v>
      </c>
      <c r="I12" s="240">
        <f t="shared" si="1"/>
        <v>311</v>
      </c>
      <c r="J12" s="256">
        <f>D12/(D12+G12)*100</f>
        <v>57.852882703777333</v>
      </c>
      <c r="K12" s="257">
        <f>E12/(E12+H12)*100</f>
        <v>77.188940092165907</v>
      </c>
      <c r="L12" s="258">
        <f>F12/(F12+I12)*100</f>
        <v>66.808964781216645</v>
      </c>
    </row>
    <row r="13" spans="1:14" ht="24.9" customHeight="1" thickBot="1">
      <c r="A13" s="1459"/>
      <c r="B13" s="1462"/>
      <c r="C13" s="252" t="s">
        <v>557</v>
      </c>
      <c r="D13" s="253">
        <v>292</v>
      </c>
      <c r="E13" s="254">
        <v>345</v>
      </c>
      <c r="F13" s="248">
        <v>637</v>
      </c>
      <c r="G13" s="253">
        <v>202</v>
      </c>
      <c r="H13" s="254">
        <v>88</v>
      </c>
      <c r="I13" s="248">
        <v>290</v>
      </c>
      <c r="J13" s="259">
        <v>59.109311740890689</v>
      </c>
      <c r="K13" s="250">
        <v>79.676674364896073</v>
      </c>
      <c r="L13" s="251">
        <v>68.716289104638619</v>
      </c>
    </row>
    <row r="14" spans="1:14" s="680" customFormat="1" ht="15">
      <c r="A14" s="1939" t="s">
        <v>908</v>
      </c>
    </row>
    <row r="15" spans="1:14">
      <c r="A15" s="680"/>
      <c r="B15" s="680"/>
      <c r="C15" s="680"/>
      <c r="D15" s="680"/>
      <c r="E15" s="680"/>
      <c r="F15" s="680"/>
      <c r="G15" s="680"/>
      <c r="H15" s="680"/>
      <c r="I15" s="680"/>
      <c r="J15" s="680"/>
      <c r="K15" s="680"/>
      <c r="L15" s="680"/>
    </row>
    <row r="16" spans="1:14">
      <c r="A16" s="260"/>
      <c r="B16" s="260"/>
      <c r="C16" s="614"/>
      <c r="D16" s="614"/>
      <c r="E16" s="614"/>
      <c r="F16" s="614"/>
      <c r="G16" s="614"/>
      <c r="H16" s="614"/>
      <c r="I16" s="614"/>
      <c r="J16" s="614"/>
      <c r="K16" s="614"/>
      <c r="L16" s="614"/>
      <c r="M16" s="614"/>
      <c r="N16" s="614"/>
    </row>
  </sheetData>
  <mergeCells count="10">
    <mergeCell ref="A8:B9"/>
    <mergeCell ref="A10:B11"/>
    <mergeCell ref="A12:A13"/>
    <mergeCell ref="B12:B13"/>
    <mergeCell ref="I3:L3"/>
    <mergeCell ref="A4:C5"/>
    <mergeCell ref="D4:F4"/>
    <mergeCell ref="G4:I4"/>
    <mergeCell ref="J4:L4"/>
    <mergeCell ref="A6:B7"/>
  </mergeCells>
  <phoneticPr fontId="4"/>
  <printOptions horizontalCentered="1"/>
  <pageMargins left="0.78740157480314965" right="0.39370078740157483" top="0.98425196850393704" bottom="0.98425196850393704" header="0.31496062992125984" footer="0.51181102362204722"/>
  <pageSetup paperSize="9" scale="96" firstPageNumber="0" orientation="portrait" r:id="rId1"/>
  <headerFooter scaleWithDoc="0" alignWithMargins="0">
    <oddFooter>&amp;C- &amp;P -</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61BA0-3EAC-4A42-9565-BCBC2C78A6B2}">
  <sheetPr>
    <pageSetUpPr fitToPage="1"/>
  </sheetPr>
  <dimension ref="A1:Y34"/>
  <sheetViews>
    <sheetView view="pageBreakPreview" topLeftCell="A31" zoomScale="70" zoomScaleNormal="100" zoomScaleSheetLayoutView="70" workbookViewId="0">
      <selection activeCell="AC38" sqref="AC38:AC41"/>
    </sheetView>
  </sheetViews>
  <sheetFormatPr defaultColWidth="9" defaultRowHeight="13.8"/>
  <cols>
    <col min="1" max="1" width="4.5546875" style="497" customWidth="1"/>
    <col min="2" max="2" width="4.88671875" style="497" customWidth="1"/>
    <col min="3" max="3" width="7.6640625" style="497" customWidth="1"/>
    <col min="4" max="4" width="9.109375" style="497" customWidth="1"/>
    <col min="5" max="6" width="7.6640625" style="497" customWidth="1"/>
    <col min="7" max="7" width="9.109375" style="497" customWidth="1"/>
    <col min="8" max="9" width="7.6640625" style="497" customWidth="1"/>
    <col min="10" max="10" width="9.109375" style="497" customWidth="1"/>
    <col min="11" max="12" width="7.6640625" style="497" customWidth="1"/>
    <col min="13" max="13" width="9.109375" style="497" customWidth="1"/>
    <col min="14" max="14" width="7.6640625" style="497" customWidth="1"/>
    <col min="15" max="16384" width="9" style="497"/>
  </cols>
  <sheetData>
    <row r="1" spans="1:14" s="650" customFormat="1" ht="19.5" customHeight="1" thickBot="1">
      <c r="A1" s="650" t="s">
        <v>331</v>
      </c>
    </row>
    <row r="2" spans="1:14" ht="8.25" customHeight="1" thickBot="1">
      <c r="A2" s="543"/>
      <c r="B2" s="1517" t="s">
        <v>332</v>
      </c>
      <c r="C2" s="1519" t="s">
        <v>333</v>
      </c>
      <c r="D2" s="1314"/>
      <c r="E2" s="1520" t="s">
        <v>625</v>
      </c>
      <c r="F2" s="1470" t="s">
        <v>626</v>
      </c>
      <c r="G2" s="1262"/>
      <c r="H2" s="1520" t="s">
        <v>627</v>
      </c>
      <c r="I2" s="1291" t="s">
        <v>628</v>
      </c>
      <c r="J2" s="1314"/>
      <c r="K2" s="1509" t="s">
        <v>629</v>
      </c>
      <c r="L2" s="1512"/>
      <c r="M2" s="1262"/>
      <c r="N2" s="515"/>
    </row>
    <row r="3" spans="1:14">
      <c r="A3" s="639"/>
      <c r="B3" s="1518"/>
      <c r="C3" s="1434"/>
      <c r="D3" s="1487"/>
      <c r="E3" s="1521"/>
      <c r="F3" s="1522"/>
      <c r="G3" s="1523"/>
      <c r="H3" s="1521"/>
      <c r="I3" s="1434"/>
      <c r="J3" s="1487"/>
      <c r="K3" s="1511"/>
      <c r="L3" s="1435" t="s">
        <v>606</v>
      </c>
      <c r="M3" s="1270"/>
      <c r="N3" s="518" t="s">
        <v>629</v>
      </c>
    </row>
    <row r="4" spans="1:14">
      <c r="A4" s="639"/>
      <c r="C4" s="732" t="s">
        <v>630</v>
      </c>
      <c r="D4" s="504"/>
      <c r="E4" s="504"/>
      <c r="F4" s="732" t="s">
        <v>630</v>
      </c>
      <c r="G4" s="504"/>
      <c r="H4" s="665"/>
      <c r="I4" s="732" t="s">
        <v>630</v>
      </c>
      <c r="J4" s="504"/>
      <c r="K4" s="665"/>
      <c r="L4" s="732" t="s">
        <v>630</v>
      </c>
      <c r="M4" s="504"/>
      <c r="N4" s="665"/>
    </row>
    <row r="5" spans="1:14" ht="14.4" thickBot="1">
      <c r="A5" s="733" t="s">
        <v>334</v>
      </c>
      <c r="B5" s="651"/>
      <c r="C5" s="524"/>
      <c r="D5" s="511" t="s">
        <v>324</v>
      </c>
      <c r="E5" s="510" t="s">
        <v>230</v>
      </c>
      <c r="F5" s="524"/>
      <c r="G5" s="511" t="s">
        <v>324</v>
      </c>
      <c r="H5" s="714" t="s">
        <v>230</v>
      </c>
      <c r="I5" s="524"/>
      <c r="J5" s="511" t="s">
        <v>324</v>
      </c>
      <c r="K5" s="714" t="s">
        <v>230</v>
      </c>
      <c r="L5" s="524"/>
      <c r="M5" s="511" t="s">
        <v>324</v>
      </c>
      <c r="N5" s="714" t="s">
        <v>230</v>
      </c>
    </row>
    <row r="6" spans="1:14" ht="18" customHeight="1">
      <c r="A6" s="652"/>
      <c r="B6" s="525">
        <v>0</v>
      </c>
      <c r="C6" s="198">
        <f t="shared" ref="C6:C29" si="0">SUM(D6:E6)</f>
        <v>174</v>
      </c>
      <c r="D6" s="13">
        <v>122</v>
      </c>
      <c r="E6" s="12">
        <v>52</v>
      </c>
      <c r="F6" s="198">
        <f t="shared" ref="F6:F29" si="1">SUM(G6:H6)</f>
        <v>3</v>
      </c>
      <c r="G6" s="13">
        <v>2</v>
      </c>
      <c r="H6" s="12">
        <v>1</v>
      </c>
      <c r="I6" s="198">
        <f t="shared" ref="I6:I29" si="2">SUM(J6:K6)</f>
        <v>186</v>
      </c>
      <c r="J6" s="13">
        <v>132</v>
      </c>
      <c r="K6" s="12">
        <v>54</v>
      </c>
      <c r="L6" s="198">
        <f t="shared" ref="L6:L29" si="3">SUM(M6:N6)</f>
        <v>23</v>
      </c>
      <c r="M6" s="13">
        <v>15</v>
      </c>
      <c r="N6" s="12">
        <v>8</v>
      </c>
    </row>
    <row r="7" spans="1:14" ht="18" customHeight="1">
      <c r="A7" s="524" t="s">
        <v>631</v>
      </c>
      <c r="B7" s="695">
        <v>1</v>
      </c>
      <c r="C7" s="36">
        <f t="shared" si="0"/>
        <v>122</v>
      </c>
      <c r="D7" s="23">
        <v>87</v>
      </c>
      <c r="E7" s="22">
        <v>35</v>
      </c>
      <c r="F7" s="36">
        <f>SUM(G7:H7)</f>
        <v>3</v>
      </c>
      <c r="G7" s="23">
        <v>1</v>
      </c>
      <c r="H7" s="22">
        <v>2</v>
      </c>
      <c r="I7" s="36">
        <f t="shared" si="2"/>
        <v>154</v>
      </c>
      <c r="J7" s="23">
        <v>114</v>
      </c>
      <c r="K7" s="22">
        <v>40</v>
      </c>
      <c r="L7" s="36">
        <f t="shared" si="3"/>
        <v>20</v>
      </c>
      <c r="M7" s="23">
        <v>12</v>
      </c>
      <c r="N7" s="22">
        <v>8</v>
      </c>
    </row>
    <row r="8" spans="1:14" ht="18" customHeight="1">
      <c r="A8" s="524"/>
      <c r="B8" s="695">
        <v>2</v>
      </c>
      <c r="C8" s="36">
        <f t="shared" si="0"/>
        <v>94</v>
      </c>
      <c r="D8" s="23">
        <v>70</v>
      </c>
      <c r="E8" s="22">
        <v>24</v>
      </c>
      <c r="F8" s="36">
        <f>SUM(G8:H8)</f>
        <v>2</v>
      </c>
      <c r="G8" s="23">
        <v>2</v>
      </c>
      <c r="H8" s="22">
        <v>0</v>
      </c>
      <c r="I8" s="36">
        <f t="shared" si="2"/>
        <v>109</v>
      </c>
      <c r="J8" s="23">
        <v>82</v>
      </c>
      <c r="K8" s="22">
        <v>27</v>
      </c>
      <c r="L8" s="36">
        <f t="shared" si="3"/>
        <v>11</v>
      </c>
      <c r="M8" s="23">
        <v>9</v>
      </c>
      <c r="N8" s="22">
        <v>2</v>
      </c>
    </row>
    <row r="9" spans="1:14" ht="18" customHeight="1">
      <c r="A9" s="524" t="s">
        <v>632</v>
      </c>
      <c r="B9" s="695">
        <v>3</v>
      </c>
      <c r="C9" s="36">
        <f t="shared" si="0"/>
        <v>67</v>
      </c>
      <c r="D9" s="23">
        <v>46</v>
      </c>
      <c r="E9" s="22">
        <v>21</v>
      </c>
      <c r="F9" s="36">
        <f>SUM(G9:H9)</f>
        <v>0</v>
      </c>
      <c r="G9" s="23">
        <v>0</v>
      </c>
      <c r="H9" s="22">
        <v>0</v>
      </c>
      <c r="I9" s="36">
        <f t="shared" si="2"/>
        <v>78</v>
      </c>
      <c r="J9" s="23">
        <v>55</v>
      </c>
      <c r="K9" s="22">
        <v>23</v>
      </c>
      <c r="L9" s="36">
        <f t="shared" si="3"/>
        <v>6</v>
      </c>
      <c r="M9" s="23">
        <v>5</v>
      </c>
      <c r="N9" s="22">
        <v>1</v>
      </c>
    </row>
    <row r="10" spans="1:14" ht="18" customHeight="1">
      <c r="A10" s="524"/>
      <c r="B10" s="695">
        <v>4</v>
      </c>
      <c r="C10" s="36">
        <f t="shared" si="0"/>
        <v>82</v>
      </c>
      <c r="D10" s="23">
        <v>60</v>
      </c>
      <c r="E10" s="22">
        <v>22</v>
      </c>
      <c r="F10" s="36">
        <f>SUM(G10:H10)</f>
        <v>3</v>
      </c>
      <c r="G10" s="23">
        <v>2</v>
      </c>
      <c r="H10" s="22">
        <v>1</v>
      </c>
      <c r="I10" s="36">
        <f t="shared" si="2"/>
        <v>95</v>
      </c>
      <c r="J10" s="23">
        <v>69</v>
      </c>
      <c r="K10" s="22">
        <v>26</v>
      </c>
      <c r="L10" s="36">
        <f t="shared" si="3"/>
        <v>19</v>
      </c>
      <c r="M10" s="23">
        <v>13</v>
      </c>
      <c r="N10" s="22">
        <v>6</v>
      </c>
    </row>
    <row r="11" spans="1:14" ht="18" customHeight="1">
      <c r="A11" s="551"/>
      <c r="B11" s="695">
        <v>5</v>
      </c>
      <c r="C11" s="36">
        <f t="shared" si="0"/>
        <v>96</v>
      </c>
      <c r="D11" s="23">
        <v>69</v>
      </c>
      <c r="E11" s="22">
        <v>27</v>
      </c>
      <c r="F11" s="36">
        <f>SUM(G11:H11)</f>
        <v>4</v>
      </c>
      <c r="G11" s="23">
        <v>4</v>
      </c>
      <c r="H11" s="22">
        <v>0</v>
      </c>
      <c r="I11" s="36">
        <f t="shared" si="2"/>
        <v>98</v>
      </c>
      <c r="J11" s="23">
        <v>71</v>
      </c>
      <c r="K11" s="22">
        <v>27</v>
      </c>
      <c r="L11" s="36">
        <f t="shared" si="3"/>
        <v>20</v>
      </c>
      <c r="M11" s="23">
        <v>15</v>
      </c>
      <c r="N11" s="22">
        <v>5</v>
      </c>
    </row>
    <row r="12" spans="1:14" ht="18" customHeight="1">
      <c r="A12" s="529"/>
      <c r="B12" s="734">
        <v>6</v>
      </c>
      <c r="C12" s="36">
        <f t="shared" si="0"/>
        <v>188</v>
      </c>
      <c r="D12" s="23">
        <v>130</v>
      </c>
      <c r="E12" s="22">
        <v>58</v>
      </c>
      <c r="F12" s="36">
        <f t="shared" si="1"/>
        <v>3</v>
      </c>
      <c r="G12" s="23">
        <v>2</v>
      </c>
      <c r="H12" s="22">
        <v>1</v>
      </c>
      <c r="I12" s="36">
        <f t="shared" si="2"/>
        <v>206</v>
      </c>
      <c r="J12" s="23">
        <v>145</v>
      </c>
      <c r="K12" s="22">
        <v>61</v>
      </c>
      <c r="L12" s="36">
        <f t="shared" si="3"/>
        <v>31</v>
      </c>
      <c r="M12" s="23">
        <v>20</v>
      </c>
      <c r="N12" s="22">
        <v>11</v>
      </c>
    </row>
    <row r="13" spans="1:14" ht="18" customHeight="1">
      <c r="A13" s="529"/>
      <c r="B13" s="734">
        <v>7</v>
      </c>
      <c r="C13" s="36">
        <f t="shared" si="0"/>
        <v>381</v>
      </c>
      <c r="D13" s="23">
        <v>235</v>
      </c>
      <c r="E13" s="22">
        <v>146</v>
      </c>
      <c r="F13" s="36">
        <f t="shared" si="1"/>
        <v>4</v>
      </c>
      <c r="G13" s="23">
        <v>1</v>
      </c>
      <c r="H13" s="22">
        <v>3</v>
      </c>
      <c r="I13" s="36">
        <f t="shared" si="2"/>
        <v>408</v>
      </c>
      <c r="J13" s="23">
        <v>253</v>
      </c>
      <c r="K13" s="22">
        <v>155</v>
      </c>
      <c r="L13" s="36">
        <f t="shared" si="3"/>
        <v>43</v>
      </c>
      <c r="M13" s="23">
        <v>23</v>
      </c>
      <c r="N13" s="22">
        <v>20</v>
      </c>
    </row>
    <row r="14" spans="1:14" ht="18" customHeight="1">
      <c r="A14" s="529"/>
      <c r="B14" s="734">
        <v>8</v>
      </c>
      <c r="C14" s="36">
        <f t="shared" si="0"/>
        <v>602</v>
      </c>
      <c r="D14" s="23">
        <v>324</v>
      </c>
      <c r="E14" s="22">
        <v>278</v>
      </c>
      <c r="F14" s="36">
        <f t="shared" si="1"/>
        <v>3</v>
      </c>
      <c r="G14" s="23">
        <v>1</v>
      </c>
      <c r="H14" s="22">
        <v>2</v>
      </c>
      <c r="I14" s="36">
        <f t="shared" si="2"/>
        <v>659</v>
      </c>
      <c r="J14" s="23">
        <v>368</v>
      </c>
      <c r="K14" s="22">
        <v>291</v>
      </c>
      <c r="L14" s="36">
        <f t="shared" si="3"/>
        <v>69</v>
      </c>
      <c r="M14" s="23">
        <v>33</v>
      </c>
      <c r="N14" s="22">
        <v>36</v>
      </c>
    </row>
    <row r="15" spans="1:14" ht="18" customHeight="1">
      <c r="A15" s="529"/>
      <c r="B15" s="734">
        <v>9</v>
      </c>
      <c r="C15" s="36">
        <f t="shared" si="0"/>
        <v>552</v>
      </c>
      <c r="D15" s="23">
        <v>289</v>
      </c>
      <c r="E15" s="22">
        <v>263</v>
      </c>
      <c r="F15" s="36">
        <f t="shared" si="1"/>
        <v>5</v>
      </c>
      <c r="G15" s="23">
        <v>2</v>
      </c>
      <c r="H15" s="22">
        <v>3</v>
      </c>
      <c r="I15" s="36">
        <f t="shared" si="2"/>
        <v>606</v>
      </c>
      <c r="J15" s="23">
        <v>323</v>
      </c>
      <c r="K15" s="22">
        <v>283</v>
      </c>
      <c r="L15" s="36">
        <f t="shared" si="3"/>
        <v>79</v>
      </c>
      <c r="M15" s="23">
        <v>34</v>
      </c>
      <c r="N15" s="22">
        <v>45</v>
      </c>
    </row>
    <row r="16" spans="1:14" ht="18" customHeight="1">
      <c r="A16" s="529"/>
      <c r="B16" s="734">
        <v>10</v>
      </c>
      <c r="C16" s="36">
        <f t="shared" si="0"/>
        <v>513</v>
      </c>
      <c r="D16" s="23">
        <v>283</v>
      </c>
      <c r="E16" s="22">
        <v>230</v>
      </c>
      <c r="F16" s="36">
        <f t="shared" si="1"/>
        <v>0</v>
      </c>
      <c r="G16" s="23">
        <v>0</v>
      </c>
      <c r="H16" s="22">
        <v>0</v>
      </c>
      <c r="I16" s="36">
        <f t="shared" si="2"/>
        <v>577</v>
      </c>
      <c r="J16" s="23">
        <v>328</v>
      </c>
      <c r="K16" s="22">
        <v>249</v>
      </c>
      <c r="L16" s="36">
        <f t="shared" si="3"/>
        <v>59</v>
      </c>
      <c r="M16" s="23">
        <v>23</v>
      </c>
      <c r="N16" s="22">
        <v>36</v>
      </c>
    </row>
    <row r="17" spans="1:25" ht="18" customHeight="1">
      <c r="A17" s="529"/>
      <c r="B17" s="734">
        <v>11</v>
      </c>
      <c r="C17" s="36">
        <f t="shared" si="0"/>
        <v>436</v>
      </c>
      <c r="D17" s="23">
        <v>241</v>
      </c>
      <c r="E17" s="22">
        <v>195</v>
      </c>
      <c r="F17" s="36">
        <f t="shared" si="1"/>
        <v>3</v>
      </c>
      <c r="G17" s="23">
        <v>2</v>
      </c>
      <c r="H17" s="22">
        <v>1</v>
      </c>
      <c r="I17" s="36">
        <f t="shared" si="2"/>
        <v>487</v>
      </c>
      <c r="J17" s="23">
        <v>274</v>
      </c>
      <c r="K17" s="22">
        <v>213</v>
      </c>
      <c r="L17" s="36">
        <f t="shared" si="3"/>
        <v>40</v>
      </c>
      <c r="M17" s="23">
        <v>16</v>
      </c>
      <c r="N17" s="22">
        <v>24</v>
      </c>
    </row>
    <row r="18" spans="1:25" ht="18" customHeight="1">
      <c r="A18" s="529"/>
      <c r="B18" s="734">
        <v>12</v>
      </c>
      <c r="C18" s="36">
        <f t="shared" si="0"/>
        <v>435</v>
      </c>
      <c r="D18" s="23">
        <v>255</v>
      </c>
      <c r="E18" s="22">
        <v>180</v>
      </c>
      <c r="F18" s="36">
        <f t="shared" si="1"/>
        <v>1</v>
      </c>
      <c r="G18" s="23">
        <v>1</v>
      </c>
      <c r="H18" s="22">
        <v>0</v>
      </c>
      <c r="I18" s="36">
        <f t="shared" si="2"/>
        <v>494</v>
      </c>
      <c r="J18" s="23">
        <v>289</v>
      </c>
      <c r="K18" s="22">
        <v>205</v>
      </c>
      <c r="L18" s="36">
        <f t="shared" si="3"/>
        <v>61</v>
      </c>
      <c r="M18" s="23">
        <v>26</v>
      </c>
      <c r="N18" s="22">
        <v>35</v>
      </c>
    </row>
    <row r="19" spans="1:25" ht="18" customHeight="1">
      <c r="A19" s="529"/>
      <c r="B19" s="734">
        <v>13</v>
      </c>
      <c r="C19" s="36">
        <f t="shared" si="0"/>
        <v>400</v>
      </c>
      <c r="D19" s="23">
        <v>227</v>
      </c>
      <c r="E19" s="22">
        <v>173</v>
      </c>
      <c r="F19" s="36">
        <f t="shared" si="1"/>
        <v>0</v>
      </c>
      <c r="G19" s="23">
        <v>0</v>
      </c>
      <c r="H19" s="22">
        <v>0</v>
      </c>
      <c r="I19" s="36">
        <f t="shared" si="2"/>
        <v>457</v>
      </c>
      <c r="J19" s="23">
        <v>272</v>
      </c>
      <c r="K19" s="22">
        <v>185</v>
      </c>
      <c r="L19" s="36">
        <f t="shared" si="3"/>
        <v>42</v>
      </c>
      <c r="M19" s="23">
        <v>20</v>
      </c>
      <c r="N19" s="22">
        <v>22</v>
      </c>
    </row>
    <row r="20" spans="1:25" ht="18" customHeight="1">
      <c r="A20" s="529"/>
      <c r="B20" s="734">
        <v>14</v>
      </c>
      <c r="C20" s="36">
        <f t="shared" si="0"/>
        <v>438</v>
      </c>
      <c r="D20" s="23">
        <v>232</v>
      </c>
      <c r="E20" s="22">
        <v>206</v>
      </c>
      <c r="F20" s="36">
        <f t="shared" si="1"/>
        <v>0</v>
      </c>
      <c r="G20" s="23">
        <v>0</v>
      </c>
      <c r="H20" s="22">
        <v>0</v>
      </c>
      <c r="I20" s="36">
        <f t="shared" si="2"/>
        <v>512</v>
      </c>
      <c r="J20" s="23">
        <v>295</v>
      </c>
      <c r="K20" s="22">
        <v>217</v>
      </c>
      <c r="L20" s="36">
        <f t="shared" si="3"/>
        <v>53</v>
      </c>
      <c r="M20" s="23">
        <v>20</v>
      </c>
      <c r="N20" s="22">
        <v>33</v>
      </c>
    </row>
    <row r="21" spans="1:25" ht="18" customHeight="1">
      <c r="A21" s="529"/>
      <c r="B21" s="734">
        <v>15</v>
      </c>
      <c r="C21" s="36">
        <f t="shared" si="0"/>
        <v>513</v>
      </c>
      <c r="D21" s="23">
        <v>285</v>
      </c>
      <c r="E21" s="22">
        <v>228</v>
      </c>
      <c r="F21" s="36">
        <f t="shared" si="1"/>
        <v>1</v>
      </c>
      <c r="G21" s="23">
        <v>0</v>
      </c>
      <c r="H21" s="22">
        <v>1</v>
      </c>
      <c r="I21" s="36">
        <f t="shared" si="2"/>
        <v>610</v>
      </c>
      <c r="J21" s="23">
        <v>360</v>
      </c>
      <c r="K21" s="22">
        <v>250</v>
      </c>
      <c r="L21" s="36">
        <f t="shared" si="3"/>
        <v>49</v>
      </c>
      <c r="M21" s="23">
        <v>20</v>
      </c>
      <c r="N21" s="22">
        <v>29</v>
      </c>
    </row>
    <row r="22" spans="1:25" ht="18" customHeight="1">
      <c r="A22" s="529"/>
      <c r="B22" s="734">
        <v>16</v>
      </c>
      <c r="C22" s="36">
        <f t="shared" si="0"/>
        <v>495</v>
      </c>
      <c r="D22" s="23">
        <v>288</v>
      </c>
      <c r="E22" s="22">
        <v>207</v>
      </c>
      <c r="F22" s="36">
        <f t="shared" si="1"/>
        <v>1</v>
      </c>
      <c r="G22" s="23">
        <v>1</v>
      </c>
      <c r="H22" s="22">
        <v>0</v>
      </c>
      <c r="I22" s="36">
        <f t="shared" si="2"/>
        <v>578</v>
      </c>
      <c r="J22" s="23">
        <v>348</v>
      </c>
      <c r="K22" s="22">
        <v>230</v>
      </c>
      <c r="L22" s="36">
        <f t="shared" si="3"/>
        <v>43</v>
      </c>
      <c r="M22" s="23">
        <v>24</v>
      </c>
      <c r="N22" s="22">
        <v>19</v>
      </c>
    </row>
    <row r="23" spans="1:25" ht="18" customHeight="1">
      <c r="A23" s="529"/>
      <c r="B23" s="734">
        <v>17</v>
      </c>
      <c r="C23" s="36">
        <f t="shared" si="0"/>
        <v>552</v>
      </c>
      <c r="D23" s="23">
        <v>328</v>
      </c>
      <c r="E23" s="22">
        <v>224</v>
      </c>
      <c r="F23" s="36">
        <f t="shared" si="1"/>
        <v>1</v>
      </c>
      <c r="G23" s="23">
        <v>0</v>
      </c>
      <c r="H23" s="22">
        <v>1</v>
      </c>
      <c r="I23" s="36">
        <f t="shared" si="2"/>
        <v>642</v>
      </c>
      <c r="J23" s="23">
        <v>396</v>
      </c>
      <c r="K23" s="22">
        <v>246</v>
      </c>
      <c r="L23" s="36">
        <f t="shared" si="3"/>
        <v>57</v>
      </c>
      <c r="M23" s="23">
        <v>32</v>
      </c>
      <c r="N23" s="22">
        <v>25</v>
      </c>
    </row>
    <row r="24" spans="1:25" ht="18" customHeight="1">
      <c r="A24" s="531"/>
      <c r="B24" s="695">
        <v>18</v>
      </c>
      <c r="C24" s="36">
        <f t="shared" si="0"/>
        <v>570</v>
      </c>
      <c r="D24" s="23">
        <v>375</v>
      </c>
      <c r="E24" s="22">
        <v>195</v>
      </c>
      <c r="F24" s="36">
        <f t="shared" si="1"/>
        <v>0</v>
      </c>
      <c r="G24" s="23">
        <v>0</v>
      </c>
      <c r="H24" s="22">
        <v>0</v>
      </c>
      <c r="I24" s="36">
        <f t="shared" si="2"/>
        <v>655</v>
      </c>
      <c r="J24" s="23">
        <v>445</v>
      </c>
      <c r="K24" s="22">
        <v>210</v>
      </c>
      <c r="L24" s="36">
        <f t="shared" si="3"/>
        <v>64</v>
      </c>
      <c r="M24" s="23">
        <v>43</v>
      </c>
      <c r="N24" s="22">
        <v>21</v>
      </c>
    </row>
    <row r="25" spans="1:25" ht="18" customHeight="1">
      <c r="A25" s="524" t="s">
        <v>631</v>
      </c>
      <c r="B25" s="695">
        <v>19</v>
      </c>
      <c r="C25" s="36">
        <f t="shared" si="0"/>
        <v>383</v>
      </c>
      <c r="D25" s="23">
        <v>233</v>
      </c>
      <c r="E25" s="22">
        <v>150</v>
      </c>
      <c r="F25" s="36">
        <f t="shared" si="1"/>
        <v>3</v>
      </c>
      <c r="G25" s="23">
        <v>1</v>
      </c>
      <c r="H25" s="22">
        <v>2</v>
      </c>
      <c r="I25" s="36">
        <f t="shared" si="2"/>
        <v>419</v>
      </c>
      <c r="J25" s="23">
        <v>262</v>
      </c>
      <c r="K25" s="22">
        <v>157</v>
      </c>
      <c r="L25" s="36">
        <f t="shared" si="3"/>
        <v>49</v>
      </c>
      <c r="M25" s="23">
        <v>28</v>
      </c>
      <c r="N25" s="22">
        <v>21</v>
      </c>
      <c r="Q25" s="1894"/>
      <c r="R25" s="1894"/>
      <c r="S25" s="1894"/>
      <c r="T25" s="1894"/>
      <c r="U25" s="1894"/>
      <c r="V25" s="1894"/>
      <c r="W25" s="1894"/>
      <c r="X25" s="1894"/>
      <c r="Y25" s="1894"/>
    </row>
    <row r="26" spans="1:25" ht="18" customHeight="1">
      <c r="A26" s="524"/>
      <c r="B26" s="695">
        <v>20</v>
      </c>
      <c r="C26" s="36">
        <f t="shared" si="0"/>
        <v>243</v>
      </c>
      <c r="D26" s="23">
        <v>154</v>
      </c>
      <c r="E26" s="22">
        <v>89</v>
      </c>
      <c r="F26" s="36">
        <f t="shared" si="1"/>
        <v>0</v>
      </c>
      <c r="G26" s="23">
        <v>0</v>
      </c>
      <c r="H26" s="22">
        <v>0</v>
      </c>
      <c r="I26" s="36">
        <f t="shared" si="2"/>
        <v>285</v>
      </c>
      <c r="J26" s="23">
        <v>189</v>
      </c>
      <c r="K26" s="22">
        <v>96</v>
      </c>
      <c r="L26" s="36">
        <f t="shared" si="3"/>
        <v>28</v>
      </c>
      <c r="M26" s="23">
        <v>18</v>
      </c>
      <c r="N26" s="22">
        <v>10</v>
      </c>
      <c r="Q26" s="1894"/>
      <c r="R26" s="1894"/>
      <c r="S26" s="1894"/>
      <c r="T26" s="1894"/>
      <c r="U26" s="1894"/>
      <c r="V26" s="1894"/>
      <c r="W26" s="1894"/>
      <c r="X26" s="1894"/>
      <c r="Y26" s="1894"/>
    </row>
    <row r="27" spans="1:25" ht="18" customHeight="1">
      <c r="A27" s="524" t="s">
        <v>632</v>
      </c>
      <c r="B27" s="695">
        <v>21</v>
      </c>
      <c r="C27" s="36">
        <f t="shared" si="0"/>
        <v>194</v>
      </c>
      <c r="D27" s="23">
        <v>139</v>
      </c>
      <c r="E27" s="22">
        <v>55</v>
      </c>
      <c r="F27" s="36">
        <f>SUM(G27:H27)</f>
        <v>0</v>
      </c>
      <c r="G27" s="23">
        <v>0</v>
      </c>
      <c r="H27" s="22">
        <v>0</v>
      </c>
      <c r="I27" s="36">
        <f t="shared" si="2"/>
        <v>218</v>
      </c>
      <c r="J27" s="23">
        <v>162</v>
      </c>
      <c r="K27" s="22">
        <v>56</v>
      </c>
      <c r="L27" s="36">
        <f t="shared" si="3"/>
        <v>23</v>
      </c>
      <c r="M27" s="23">
        <v>18</v>
      </c>
      <c r="N27" s="22">
        <v>5</v>
      </c>
    </row>
    <row r="28" spans="1:25" ht="18" customHeight="1">
      <c r="A28" s="524"/>
      <c r="B28" s="695">
        <v>22</v>
      </c>
      <c r="C28" s="36">
        <f t="shared" si="0"/>
        <v>162</v>
      </c>
      <c r="D28" s="23">
        <v>117</v>
      </c>
      <c r="E28" s="22">
        <v>45</v>
      </c>
      <c r="F28" s="36">
        <f t="shared" si="1"/>
        <v>3</v>
      </c>
      <c r="G28" s="23">
        <v>1</v>
      </c>
      <c r="H28" s="22">
        <v>2</v>
      </c>
      <c r="I28" s="36">
        <f t="shared" si="2"/>
        <v>186</v>
      </c>
      <c r="J28" s="23">
        <v>143</v>
      </c>
      <c r="K28" s="22">
        <v>43</v>
      </c>
      <c r="L28" s="36">
        <f t="shared" si="3"/>
        <v>22</v>
      </c>
      <c r="M28" s="23">
        <v>17</v>
      </c>
      <c r="N28" s="22">
        <v>5</v>
      </c>
    </row>
    <row r="29" spans="1:25" ht="18" customHeight="1" thickBot="1">
      <c r="A29" s="522"/>
      <c r="B29" s="636">
        <v>23</v>
      </c>
      <c r="C29" s="167">
        <f t="shared" si="0"/>
        <v>157</v>
      </c>
      <c r="D29" s="39">
        <v>110</v>
      </c>
      <c r="E29" s="168">
        <v>47</v>
      </c>
      <c r="F29" s="167">
        <f t="shared" si="1"/>
        <v>0</v>
      </c>
      <c r="G29" s="39">
        <v>0</v>
      </c>
      <c r="H29" s="168">
        <v>0</v>
      </c>
      <c r="I29" s="167">
        <f t="shared" si="2"/>
        <v>197</v>
      </c>
      <c r="J29" s="39">
        <v>140</v>
      </c>
      <c r="K29" s="168">
        <v>57</v>
      </c>
      <c r="L29" s="167">
        <f t="shared" si="3"/>
        <v>26</v>
      </c>
      <c r="M29" s="39">
        <v>19</v>
      </c>
      <c r="N29" s="168">
        <v>7</v>
      </c>
    </row>
    <row r="30" spans="1:25" ht="18" customHeight="1">
      <c r="A30" s="1513" t="s">
        <v>633</v>
      </c>
      <c r="B30" s="1383"/>
      <c r="C30" s="198">
        <f t="shared" ref="C30:N30" si="4">SUM(C12:C23)</f>
        <v>5505</v>
      </c>
      <c r="D30" s="13">
        <f>SUM(D12:D23)</f>
        <v>3117</v>
      </c>
      <c r="E30" s="12">
        <f>SUM(E12:E23)</f>
        <v>2388</v>
      </c>
      <c r="F30" s="198">
        <f t="shared" si="4"/>
        <v>22</v>
      </c>
      <c r="G30" s="13">
        <f t="shared" si="4"/>
        <v>10</v>
      </c>
      <c r="H30" s="12">
        <f t="shared" si="4"/>
        <v>12</v>
      </c>
      <c r="I30" s="198">
        <f t="shared" si="4"/>
        <v>6236</v>
      </c>
      <c r="J30" s="13">
        <f t="shared" si="4"/>
        <v>3651</v>
      </c>
      <c r="K30" s="12">
        <f t="shared" si="4"/>
        <v>2585</v>
      </c>
      <c r="L30" s="198">
        <f t="shared" si="4"/>
        <v>626</v>
      </c>
      <c r="M30" s="13">
        <f t="shared" si="4"/>
        <v>291</v>
      </c>
      <c r="N30" s="12">
        <f t="shared" si="4"/>
        <v>335</v>
      </c>
    </row>
    <row r="31" spans="1:25" ht="18" customHeight="1">
      <c r="A31" s="1514" t="s">
        <v>634</v>
      </c>
      <c r="B31" s="1366"/>
      <c r="C31" s="36">
        <f t="shared" ref="C31:N31" si="5">C32-C30</f>
        <v>2344</v>
      </c>
      <c r="D31" s="23">
        <f t="shared" si="5"/>
        <v>1582</v>
      </c>
      <c r="E31" s="22">
        <f>E32-E30</f>
        <v>762</v>
      </c>
      <c r="F31" s="36">
        <f t="shared" si="5"/>
        <v>21</v>
      </c>
      <c r="G31" s="23">
        <f t="shared" si="5"/>
        <v>13</v>
      </c>
      <c r="H31" s="22">
        <f t="shared" si="5"/>
        <v>8</v>
      </c>
      <c r="I31" s="36">
        <f t="shared" si="5"/>
        <v>2680</v>
      </c>
      <c r="J31" s="23">
        <f t="shared" si="5"/>
        <v>1864</v>
      </c>
      <c r="K31" s="22">
        <f t="shared" si="5"/>
        <v>816</v>
      </c>
      <c r="L31" s="36">
        <f t="shared" si="5"/>
        <v>311</v>
      </c>
      <c r="M31" s="23">
        <f t="shared" si="5"/>
        <v>212</v>
      </c>
      <c r="N31" s="22">
        <f t="shared" si="5"/>
        <v>99</v>
      </c>
    </row>
    <row r="32" spans="1:25" ht="18" customHeight="1" thickBot="1">
      <c r="A32" s="1515" t="s">
        <v>635</v>
      </c>
      <c r="B32" s="1516"/>
      <c r="C32" s="167">
        <f t="shared" ref="C32:N32" si="6">SUM(C6:C29)</f>
        <v>7849</v>
      </c>
      <c r="D32" s="39">
        <f t="shared" si="6"/>
        <v>4699</v>
      </c>
      <c r="E32" s="168">
        <f t="shared" si="6"/>
        <v>3150</v>
      </c>
      <c r="F32" s="167">
        <f t="shared" si="6"/>
        <v>43</v>
      </c>
      <c r="G32" s="39">
        <f t="shared" si="6"/>
        <v>23</v>
      </c>
      <c r="H32" s="168">
        <f t="shared" si="6"/>
        <v>20</v>
      </c>
      <c r="I32" s="167">
        <f t="shared" si="6"/>
        <v>8916</v>
      </c>
      <c r="J32" s="39">
        <f t="shared" si="6"/>
        <v>5515</v>
      </c>
      <c r="K32" s="168">
        <f t="shared" si="6"/>
        <v>3401</v>
      </c>
      <c r="L32" s="167">
        <f t="shared" si="6"/>
        <v>937</v>
      </c>
      <c r="M32" s="39">
        <f t="shared" si="6"/>
        <v>503</v>
      </c>
      <c r="N32" s="168">
        <f t="shared" si="6"/>
        <v>434</v>
      </c>
    </row>
    <row r="33" spans="1:14" s="779" customFormat="1" ht="18" customHeight="1">
      <c r="A33" s="1962" t="s">
        <v>912</v>
      </c>
      <c r="B33" s="1962"/>
      <c r="C33" s="1962"/>
      <c r="D33" s="1962"/>
      <c r="E33" s="1962"/>
      <c r="F33" s="1962"/>
      <c r="G33" s="1962"/>
      <c r="H33" s="1962"/>
      <c r="I33" s="1962"/>
      <c r="J33" s="1962"/>
      <c r="K33" s="1962"/>
      <c r="L33" s="1962"/>
      <c r="M33" s="1962"/>
      <c r="N33" s="1962"/>
    </row>
    <row r="34" spans="1:14" s="779" customFormat="1" ht="16.2">
      <c r="A34" s="1963" t="s">
        <v>913</v>
      </c>
      <c r="B34" s="1963"/>
      <c r="C34" s="1963"/>
      <c r="D34" s="1963"/>
      <c r="E34" s="1963"/>
      <c r="F34" s="1963"/>
      <c r="G34" s="1963"/>
      <c r="H34" s="1963"/>
      <c r="I34" s="1963"/>
      <c r="J34" s="1963"/>
      <c r="K34" s="1963"/>
      <c r="L34" s="1963"/>
      <c r="M34" s="1963"/>
      <c r="N34" s="1963"/>
    </row>
  </sheetData>
  <mergeCells count="16">
    <mergeCell ref="L2:M2"/>
    <mergeCell ref="L3:M3"/>
    <mergeCell ref="A30:B30"/>
    <mergeCell ref="A31:B31"/>
    <mergeCell ref="A32:B32"/>
    <mergeCell ref="B2:B3"/>
    <mergeCell ref="C2:D3"/>
    <mergeCell ref="E2:E3"/>
    <mergeCell ref="F2:G3"/>
    <mergeCell ref="H2:H3"/>
    <mergeCell ref="I2:J3"/>
    <mergeCell ref="Q25:Y25"/>
    <mergeCell ref="Q26:Y26"/>
    <mergeCell ref="K2:K3"/>
    <mergeCell ref="A33:N33"/>
    <mergeCell ref="A34:N34"/>
  </mergeCells>
  <phoneticPr fontId="4"/>
  <printOptions horizontalCentered="1"/>
  <pageMargins left="0.78740157480314965" right="0.39370078740157483" top="0.98425196850393704" bottom="0.98425196850393704" header="0.31496062992125984" footer="0.51181102362204722"/>
  <pageSetup paperSize="9" scale="79" firstPageNumber="0" orientation="portrait" r:id="rId1"/>
  <headerFooter scaleWithDoc="0" alignWithMargins="0">
    <oddFooter>&amp;C- &amp;P -</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6C3CD-919A-4F51-BBAF-091AB868CE0E}">
  <sheetPr>
    <pageSetUpPr fitToPage="1"/>
  </sheetPr>
  <dimension ref="A1:P55"/>
  <sheetViews>
    <sheetView view="pageBreakPreview" topLeftCell="A38" zoomScaleNormal="100" zoomScaleSheetLayoutView="100" workbookViewId="0">
      <selection activeCell="O48" sqref="O48"/>
    </sheetView>
  </sheetViews>
  <sheetFormatPr defaultColWidth="9" defaultRowHeight="13.8"/>
  <cols>
    <col min="1" max="1" width="1.6640625" style="497" customWidth="1"/>
    <col min="2" max="2" width="8" style="497" customWidth="1"/>
    <col min="3" max="3" width="7.44140625" style="497" customWidth="1"/>
    <col min="4" max="9" width="10.6640625" style="497" customWidth="1"/>
    <col min="10" max="16384" width="9" style="497"/>
  </cols>
  <sheetData>
    <row r="1" spans="1:16" ht="15">
      <c r="A1" s="650" t="s">
        <v>335</v>
      </c>
      <c r="B1" s="650"/>
    </row>
    <row r="2" spans="1:16" ht="8.1" customHeight="1">
      <c r="A2" s="735"/>
      <c r="B2" s="735"/>
      <c r="C2" s="735"/>
      <c r="D2" s="735"/>
      <c r="E2" s="735"/>
      <c r="F2" s="735"/>
      <c r="G2" s="735"/>
      <c r="H2" s="735"/>
    </row>
    <row r="3" spans="1:16" ht="15.6" thickBot="1">
      <c r="A3" s="650" t="s">
        <v>336</v>
      </c>
      <c r="B3" s="650"/>
    </row>
    <row r="4" spans="1:16" ht="12.75" customHeight="1">
      <c r="A4" s="543"/>
      <c r="B4" s="649"/>
      <c r="C4" s="667" t="s">
        <v>636</v>
      </c>
      <c r="D4" s="1551" t="s">
        <v>637</v>
      </c>
      <c r="E4" s="1424" t="s">
        <v>638</v>
      </c>
      <c r="F4" s="1424" t="s">
        <v>639</v>
      </c>
      <c r="G4" s="1555" t="s">
        <v>640</v>
      </c>
      <c r="H4" s="1543" t="s">
        <v>635</v>
      </c>
    </row>
    <row r="5" spans="1:16" ht="10.5" customHeight="1">
      <c r="A5" s="639"/>
      <c r="C5" s="668"/>
      <c r="D5" s="1552"/>
      <c r="E5" s="1554"/>
      <c r="F5" s="1554"/>
      <c r="G5" s="1556"/>
      <c r="H5" s="1544"/>
    </row>
    <row r="6" spans="1:16" ht="15.75" customHeight="1" thickBot="1">
      <c r="A6" s="499" t="s">
        <v>619</v>
      </c>
      <c r="B6" s="651"/>
      <c r="C6" s="991" t="s">
        <v>549</v>
      </c>
      <c r="D6" s="1553"/>
      <c r="E6" s="1425"/>
      <c r="F6" s="1425"/>
      <c r="G6" s="1557"/>
      <c r="H6" s="1545"/>
    </row>
    <row r="7" spans="1:16" ht="18" customHeight="1">
      <c r="A7" s="1519" t="s">
        <v>18</v>
      </c>
      <c r="B7" s="1546"/>
      <c r="C7" s="1104" t="s">
        <v>679</v>
      </c>
      <c r="D7" s="1105">
        <v>971</v>
      </c>
      <c r="E7" s="1106">
        <v>6798</v>
      </c>
      <c r="F7" s="1106">
        <v>79</v>
      </c>
      <c r="G7" s="1107">
        <v>1</v>
      </c>
      <c r="H7" s="762">
        <f t="shared" ref="H7:H18" si="0">SUM(D7:G7)</f>
        <v>7849</v>
      </c>
      <c r="K7" s="621"/>
      <c r="L7" s="700" t="s">
        <v>538</v>
      </c>
      <c r="M7" s="700" t="s">
        <v>539</v>
      </c>
      <c r="N7" s="700" t="s">
        <v>540</v>
      </c>
      <c r="O7" s="700" t="s">
        <v>541</v>
      </c>
      <c r="P7" s="700" t="s">
        <v>536</v>
      </c>
    </row>
    <row r="8" spans="1:16" ht="18" customHeight="1">
      <c r="A8" s="1547"/>
      <c r="B8" s="1548"/>
      <c r="C8" s="626" t="s">
        <v>680</v>
      </c>
      <c r="D8" s="763">
        <v>882</v>
      </c>
      <c r="E8" s="764">
        <v>6731</v>
      </c>
      <c r="F8" s="764">
        <v>73</v>
      </c>
      <c r="G8" s="765">
        <v>2</v>
      </c>
      <c r="H8" s="589">
        <v>7688</v>
      </c>
      <c r="K8" s="700" t="s">
        <v>532</v>
      </c>
      <c r="L8" s="261">
        <f>SUM(F26:F35)</f>
        <v>971</v>
      </c>
      <c r="M8" s="261">
        <f>SUM(F36:F44)</f>
        <v>6798</v>
      </c>
      <c r="N8" s="261">
        <f>SUM(F45:F53)</f>
        <v>79</v>
      </c>
      <c r="O8" s="261">
        <f>F54</f>
        <v>1</v>
      </c>
      <c r="P8" s="261">
        <f>L8+M8+N8+O8</f>
        <v>7849</v>
      </c>
    </row>
    <row r="9" spans="1:16" ht="18" customHeight="1" thickBot="1">
      <c r="A9" s="1558" t="s">
        <v>641</v>
      </c>
      <c r="B9" s="1559"/>
      <c r="C9" s="565" t="s">
        <v>642</v>
      </c>
      <c r="D9" s="736">
        <f>D7-D8</f>
        <v>89</v>
      </c>
      <c r="E9" s="737">
        <f>E7-E8</f>
        <v>67</v>
      </c>
      <c r="F9" s="737">
        <f>F7-F8</f>
        <v>6</v>
      </c>
      <c r="G9" s="738">
        <f>G7-G8</f>
        <v>-1</v>
      </c>
      <c r="H9" s="739">
        <f t="shared" si="0"/>
        <v>161</v>
      </c>
      <c r="K9" s="700" t="s">
        <v>533</v>
      </c>
      <c r="L9" s="261">
        <f>SUM(G26:G35)</f>
        <v>13</v>
      </c>
      <c r="M9" s="261">
        <f>SUM(G36:G44)</f>
        <v>26</v>
      </c>
      <c r="N9" s="261">
        <f>SUM(G45:G53)</f>
        <v>3</v>
      </c>
      <c r="O9" s="261">
        <f>G54</f>
        <v>1</v>
      </c>
      <c r="P9" s="261">
        <f>L9+M9+N9+O9</f>
        <v>43</v>
      </c>
    </row>
    <row r="10" spans="1:16" ht="18" customHeight="1">
      <c r="A10" s="1291" t="s">
        <v>643</v>
      </c>
      <c r="B10" s="1546"/>
      <c r="C10" s="1104" t="s">
        <v>679</v>
      </c>
      <c r="D10" s="1105">
        <v>13</v>
      </c>
      <c r="E10" s="1106">
        <v>26</v>
      </c>
      <c r="F10" s="1106">
        <v>3</v>
      </c>
      <c r="G10" s="1107">
        <v>1</v>
      </c>
      <c r="H10" s="762">
        <f t="shared" si="0"/>
        <v>43</v>
      </c>
      <c r="K10" s="700" t="s">
        <v>534</v>
      </c>
      <c r="L10" s="261">
        <f>SUM(H26:H35)</f>
        <v>976</v>
      </c>
      <c r="M10" s="261">
        <f>SUM(H36:H44)</f>
        <v>7855</v>
      </c>
      <c r="N10" s="261">
        <f>SUM(H45:H53)</f>
        <v>85</v>
      </c>
      <c r="O10" s="261">
        <f>H54</f>
        <v>0</v>
      </c>
      <c r="P10" s="261">
        <f>L10+M10+N10+O10</f>
        <v>8916</v>
      </c>
    </row>
    <row r="11" spans="1:16" ht="18" customHeight="1">
      <c r="A11" s="1547"/>
      <c r="B11" s="1548"/>
      <c r="C11" s="626" t="s">
        <v>680</v>
      </c>
      <c r="D11" s="763">
        <v>15</v>
      </c>
      <c r="E11" s="764">
        <v>21</v>
      </c>
      <c r="F11" s="764">
        <v>6</v>
      </c>
      <c r="G11" s="765">
        <v>1</v>
      </c>
      <c r="H11" s="589">
        <v>43</v>
      </c>
      <c r="K11" s="700" t="s">
        <v>535</v>
      </c>
      <c r="L11" s="261">
        <f>SUM(I26:I35)</f>
        <v>177</v>
      </c>
      <c r="M11" s="261">
        <f>SUM(I36:I44)</f>
        <v>746</v>
      </c>
      <c r="N11" s="261">
        <f>SUM(I45:I53)</f>
        <v>14</v>
      </c>
      <c r="O11" s="261">
        <f>I54</f>
        <v>0</v>
      </c>
      <c r="P11" s="261">
        <f>L11+M11+N11+O11</f>
        <v>937</v>
      </c>
    </row>
    <row r="12" spans="1:16" ht="18.75" customHeight="1" thickBot="1">
      <c r="A12" s="1560" t="s">
        <v>644</v>
      </c>
      <c r="B12" s="1561"/>
      <c r="C12" s="565" t="s">
        <v>645</v>
      </c>
      <c r="D12" s="736">
        <f>D10-D11</f>
        <v>-2</v>
      </c>
      <c r="E12" s="737">
        <f>E10-E11</f>
        <v>5</v>
      </c>
      <c r="F12" s="737">
        <f>F10-F11</f>
        <v>-3</v>
      </c>
      <c r="G12" s="738">
        <f>G10-G11</f>
        <v>0</v>
      </c>
      <c r="H12" s="739">
        <f t="shared" si="0"/>
        <v>0</v>
      </c>
    </row>
    <row r="13" spans="1:16" ht="18" customHeight="1">
      <c r="A13" s="1291" t="s">
        <v>646</v>
      </c>
      <c r="B13" s="1546"/>
      <c r="C13" s="1104" t="s">
        <v>679</v>
      </c>
      <c r="D13" s="1105">
        <v>976</v>
      </c>
      <c r="E13" s="1106">
        <v>7855</v>
      </c>
      <c r="F13" s="1106">
        <v>85</v>
      </c>
      <c r="G13" s="1107">
        <v>0</v>
      </c>
      <c r="H13" s="762">
        <f t="shared" si="0"/>
        <v>8916</v>
      </c>
    </row>
    <row r="14" spans="1:16" ht="18" customHeight="1">
      <c r="A14" s="1547"/>
      <c r="B14" s="1548"/>
      <c r="C14" s="626" t="s">
        <v>680</v>
      </c>
      <c r="D14" s="763">
        <v>15</v>
      </c>
      <c r="E14" s="764">
        <v>21</v>
      </c>
      <c r="F14" s="764">
        <v>6</v>
      </c>
      <c r="G14" s="765">
        <v>1</v>
      </c>
      <c r="H14" s="589">
        <v>43</v>
      </c>
    </row>
    <row r="15" spans="1:16" ht="18" customHeight="1" thickBot="1">
      <c r="A15" s="1562" t="s">
        <v>644</v>
      </c>
      <c r="B15" s="1559"/>
      <c r="C15" s="565" t="s">
        <v>645</v>
      </c>
      <c r="D15" s="736">
        <f>D13-D14</f>
        <v>961</v>
      </c>
      <c r="E15" s="737">
        <f>E13-E14</f>
        <v>7834</v>
      </c>
      <c r="F15" s="737">
        <f>F13-F14</f>
        <v>79</v>
      </c>
      <c r="G15" s="738">
        <f>G13-G14</f>
        <v>-1</v>
      </c>
      <c r="H15" s="739">
        <f t="shared" si="0"/>
        <v>8873</v>
      </c>
    </row>
    <row r="16" spans="1:16" ht="18" customHeight="1">
      <c r="A16" s="508"/>
      <c r="B16" s="1549" t="s">
        <v>647</v>
      </c>
      <c r="C16" s="1104" t="s">
        <v>679</v>
      </c>
      <c r="D16" s="1105">
        <v>177</v>
      </c>
      <c r="E16" s="1106">
        <v>746</v>
      </c>
      <c r="F16" s="1106">
        <v>14</v>
      </c>
      <c r="G16" s="1107">
        <v>0</v>
      </c>
      <c r="H16" s="762">
        <f t="shared" si="0"/>
        <v>937</v>
      </c>
    </row>
    <row r="17" spans="1:9" ht="18" customHeight="1">
      <c r="A17" s="741"/>
      <c r="B17" s="1550"/>
      <c r="C17" s="626" t="s">
        <v>680</v>
      </c>
      <c r="D17" s="763">
        <v>181</v>
      </c>
      <c r="E17" s="764">
        <v>733</v>
      </c>
      <c r="F17" s="764">
        <v>12</v>
      </c>
      <c r="G17" s="765">
        <v>1</v>
      </c>
      <c r="H17" s="589">
        <v>927</v>
      </c>
    </row>
    <row r="18" spans="1:9" ht="18" customHeight="1" thickBot="1">
      <c r="A18" s="742"/>
      <c r="B18" s="743" t="s">
        <v>644</v>
      </c>
      <c r="C18" s="565" t="s">
        <v>645</v>
      </c>
      <c r="D18" s="736">
        <f>D16-D17</f>
        <v>-4</v>
      </c>
      <c r="E18" s="737">
        <f>E16-E17</f>
        <v>13</v>
      </c>
      <c r="F18" s="737">
        <f>F16-F17</f>
        <v>2</v>
      </c>
      <c r="G18" s="738">
        <f>G16-G17</f>
        <v>-1</v>
      </c>
      <c r="H18" s="739">
        <f t="shared" si="0"/>
        <v>10</v>
      </c>
    </row>
    <row r="19" spans="1:9" s="1939" customFormat="1" ht="15">
      <c r="A19" s="1939" t="s">
        <v>914</v>
      </c>
    </row>
    <row r="20" spans="1:9" ht="16.5" customHeight="1"/>
    <row r="21" spans="1:9" ht="15.6" thickBot="1">
      <c r="A21" s="650" t="s">
        <v>337</v>
      </c>
      <c r="B21" s="650"/>
    </row>
    <row r="22" spans="1:9">
      <c r="A22" s="676"/>
      <c r="B22" s="677"/>
      <c r="C22" s="678"/>
      <c r="D22" s="649"/>
      <c r="E22" s="744" t="s">
        <v>619</v>
      </c>
      <c r="F22" s="1537" t="s">
        <v>648</v>
      </c>
      <c r="G22" s="1539" t="s">
        <v>626</v>
      </c>
      <c r="H22" s="1541" t="s">
        <v>649</v>
      </c>
      <c r="I22" s="745"/>
    </row>
    <row r="23" spans="1:9">
      <c r="A23" s="679"/>
      <c r="B23" s="680"/>
      <c r="C23" s="715"/>
      <c r="E23" s="746"/>
      <c r="F23" s="1538"/>
      <c r="G23" s="1540"/>
      <c r="H23" s="1542"/>
      <c r="I23" s="747" t="s">
        <v>650</v>
      </c>
    </row>
    <row r="24" spans="1:9" ht="14.4" thickBot="1">
      <c r="A24" s="748" t="s">
        <v>338</v>
      </c>
      <c r="B24" s="749"/>
      <c r="C24" s="749"/>
      <c r="D24" s="651"/>
      <c r="E24" s="651"/>
      <c r="F24" s="750" t="s">
        <v>641</v>
      </c>
      <c r="G24" s="751" t="s">
        <v>651</v>
      </c>
      <c r="H24" s="752" t="s">
        <v>651</v>
      </c>
      <c r="I24" s="753" t="s">
        <v>651</v>
      </c>
    </row>
    <row r="25" spans="1:9" ht="14.4" thickBot="1">
      <c r="A25" s="1534" t="s">
        <v>652</v>
      </c>
      <c r="B25" s="1535"/>
      <c r="C25" s="1535"/>
      <c r="D25" s="1535"/>
      <c r="E25" s="1536"/>
      <c r="F25" s="273">
        <f>SUM(F26:F54)</f>
        <v>7849</v>
      </c>
      <c r="G25" s="274">
        <f>SUM(G26:G54)</f>
        <v>43</v>
      </c>
      <c r="H25" s="275">
        <f>SUM(H26:H54)</f>
        <v>8916</v>
      </c>
      <c r="I25" s="276">
        <f>SUM(I26:I54)</f>
        <v>937</v>
      </c>
    </row>
    <row r="26" spans="1:9">
      <c r="A26" s="1524" t="s">
        <v>339</v>
      </c>
      <c r="B26" s="1525"/>
      <c r="C26" s="670" t="s">
        <v>653</v>
      </c>
      <c r="F26" s="1108">
        <v>136</v>
      </c>
      <c r="G26" s="1109">
        <v>0</v>
      </c>
      <c r="H26" s="1110">
        <v>138</v>
      </c>
      <c r="I26" s="1111">
        <v>14</v>
      </c>
    </row>
    <row r="27" spans="1:9">
      <c r="A27" s="1526"/>
      <c r="B27" s="1527"/>
      <c r="C27" s="624" t="s">
        <v>654</v>
      </c>
      <c r="D27" s="622"/>
      <c r="E27" s="622"/>
      <c r="F27" s="1112">
        <v>150</v>
      </c>
      <c r="G27" s="68">
        <v>0</v>
      </c>
      <c r="H27" s="67">
        <v>153</v>
      </c>
      <c r="I27" s="1098">
        <v>16</v>
      </c>
    </row>
    <row r="28" spans="1:9" ht="13.5" customHeight="1">
      <c r="A28" s="1526"/>
      <c r="B28" s="1527"/>
      <c r="C28" s="1530" t="s">
        <v>655</v>
      </c>
      <c r="D28" s="497" t="s">
        <v>656</v>
      </c>
      <c r="F28" s="1112">
        <v>278</v>
      </c>
      <c r="G28" s="68">
        <v>3</v>
      </c>
      <c r="H28" s="67">
        <v>281</v>
      </c>
      <c r="I28" s="1098">
        <v>77</v>
      </c>
    </row>
    <row r="29" spans="1:9">
      <c r="A29" s="1526"/>
      <c r="B29" s="1527"/>
      <c r="C29" s="1533"/>
      <c r="D29" s="622" t="s">
        <v>657</v>
      </c>
      <c r="E29" s="622"/>
      <c r="F29" s="1112">
        <v>22</v>
      </c>
      <c r="G29" s="68">
        <v>0</v>
      </c>
      <c r="H29" s="67">
        <v>22</v>
      </c>
      <c r="I29" s="1098">
        <v>10</v>
      </c>
    </row>
    <row r="30" spans="1:9">
      <c r="A30" s="1526"/>
      <c r="B30" s="1527"/>
      <c r="C30" s="1533"/>
      <c r="D30" s="497" t="s">
        <v>658</v>
      </c>
      <c r="F30" s="1112">
        <v>1</v>
      </c>
      <c r="G30" s="68">
        <v>0</v>
      </c>
      <c r="H30" s="67">
        <v>1</v>
      </c>
      <c r="I30" s="1098">
        <v>0</v>
      </c>
    </row>
    <row r="31" spans="1:9">
      <c r="A31" s="1526"/>
      <c r="B31" s="1527"/>
      <c r="C31" s="1531"/>
      <c r="D31" s="622" t="s">
        <v>659</v>
      </c>
      <c r="E31" s="622"/>
      <c r="F31" s="1112">
        <v>187</v>
      </c>
      <c r="G31" s="68">
        <v>4</v>
      </c>
      <c r="H31" s="67">
        <v>185</v>
      </c>
      <c r="I31" s="1098">
        <v>42</v>
      </c>
    </row>
    <row r="32" spans="1:9">
      <c r="A32" s="1526"/>
      <c r="B32" s="1527"/>
      <c r="C32" s="624" t="s">
        <v>660</v>
      </c>
      <c r="F32" s="1112">
        <v>1</v>
      </c>
      <c r="G32" s="68">
        <v>0</v>
      </c>
      <c r="H32" s="67">
        <v>1</v>
      </c>
      <c r="I32" s="1098">
        <v>0</v>
      </c>
    </row>
    <row r="33" spans="1:9">
      <c r="A33" s="1526"/>
      <c r="B33" s="1527"/>
      <c r="C33" s="624" t="s">
        <v>661</v>
      </c>
      <c r="D33" s="622"/>
      <c r="E33" s="622"/>
      <c r="F33" s="1112">
        <v>14</v>
      </c>
      <c r="G33" s="68">
        <v>0</v>
      </c>
      <c r="H33" s="67">
        <v>15</v>
      </c>
      <c r="I33" s="1098">
        <v>0</v>
      </c>
    </row>
    <row r="34" spans="1:9">
      <c r="A34" s="1526"/>
      <c r="B34" s="1527"/>
      <c r="C34" s="624" t="s">
        <v>662</v>
      </c>
      <c r="F34" s="1112">
        <v>29</v>
      </c>
      <c r="G34" s="68">
        <v>0</v>
      </c>
      <c r="H34" s="67">
        <v>29</v>
      </c>
      <c r="I34" s="1098">
        <v>2</v>
      </c>
    </row>
    <row r="35" spans="1:9" ht="14.4" thickBot="1">
      <c r="A35" s="1528"/>
      <c r="B35" s="1529"/>
      <c r="C35" s="754" t="s">
        <v>659</v>
      </c>
      <c r="D35" s="648"/>
      <c r="E35" s="648"/>
      <c r="F35" s="1113">
        <v>153</v>
      </c>
      <c r="G35" s="1114">
        <v>6</v>
      </c>
      <c r="H35" s="1115">
        <v>151</v>
      </c>
      <c r="I35" s="1116">
        <v>16</v>
      </c>
    </row>
    <row r="36" spans="1:9">
      <c r="A36" s="1524" t="s">
        <v>340</v>
      </c>
      <c r="B36" s="1525"/>
      <c r="C36" s="620" t="s">
        <v>663</v>
      </c>
      <c r="F36" s="1117">
        <v>77</v>
      </c>
      <c r="G36" s="65">
        <v>1</v>
      </c>
      <c r="H36" s="64">
        <v>85</v>
      </c>
      <c r="I36" s="1097">
        <v>19</v>
      </c>
    </row>
    <row r="37" spans="1:9">
      <c r="A37" s="1526"/>
      <c r="B37" s="1527"/>
      <c r="C37" s="1530" t="s">
        <v>664</v>
      </c>
      <c r="D37" s="622" t="s">
        <v>665</v>
      </c>
      <c r="E37" s="622"/>
      <c r="F37" s="1112">
        <v>136</v>
      </c>
      <c r="G37" s="68">
        <v>1</v>
      </c>
      <c r="H37" s="67">
        <v>168</v>
      </c>
      <c r="I37" s="1098">
        <v>15</v>
      </c>
    </row>
    <row r="38" spans="1:9">
      <c r="A38" s="1526"/>
      <c r="B38" s="1527"/>
      <c r="C38" s="1531"/>
      <c r="D38" s="497" t="s">
        <v>659</v>
      </c>
      <c r="F38" s="1112">
        <v>1759</v>
      </c>
      <c r="G38" s="68">
        <v>2</v>
      </c>
      <c r="H38" s="67">
        <v>2336</v>
      </c>
      <c r="I38" s="1098">
        <v>42</v>
      </c>
    </row>
    <row r="39" spans="1:9">
      <c r="A39" s="1526"/>
      <c r="B39" s="1527"/>
      <c r="C39" s="755" t="s">
        <v>537</v>
      </c>
      <c r="D39" s="622"/>
      <c r="E39" s="622"/>
      <c r="F39" s="1112">
        <v>2135</v>
      </c>
      <c r="G39" s="68">
        <v>9</v>
      </c>
      <c r="H39" s="67">
        <v>2284</v>
      </c>
      <c r="I39" s="1098">
        <v>333</v>
      </c>
    </row>
    <row r="40" spans="1:9">
      <c r="A40" s="1526"/>
      <c r="B40" s="1527"/>
      <c r="C40" s="624" t="s">
        <v>666</v>
      </c>
      <c r="F40" s="1112">
        <v>430</v>
      </c>
      <c r="G40" s="68">
        <v>0</v>
      </c>
      <c r="H40" s="67">
        <v>484</v>
      </c>
      <c r="I40" s="1098">
        <v>52</v>
      </c>
    </row>
    <row r="41" spans="1:9">
      <c r="A41" s="1526"/>
      <c r="B41" s="1527"/>
      <c r="C41" s="624" t="s">
        <v>667</v>
      </c>
      <c r="D41" s="622"/>
      <c r="E41" s="622"/>
      <c r="F41" s="1112">
        <v>109</v>
      </c>
      <c r="G41" s="68">
        <v>0</v>
      </c>
      <c r="H41" s="67">
        <v>119</v>
      </c>
      <c r="I41" s="1098">
        <v>7</v>
      </c>
    </row>
    <row r="42" spans="1:9">
      <c r="A42" s="1526"/>
      <c r="B42" s="1527"/>
      <c r="C42" s="624" t="s">
        <v>668</v>
      </c>
      <c r="F42" s="1112">
        <v>571</v>
      </c>
      <c r="G42" s="68">
        <v>3</v>
      </c>
      <c r="H42" s="67">
        <v>585</v>
      </c>
      <c r="I42" s="1098">
        <v>49</v>
      </c>
    </row>
    <row r="43" spans="1:9">
      <c r="A43" s="1526"/>
      <c r="B43" s="1527"/>
      <c r="C43" s="624" t="s">
        <v>669</v>
      </c>
      <c r="D43" s="622"/>
      <c r="E43" s="622"/>
      <c r="F43" s="1112">
        <v>733</v>
      </c>
      <c r="G43" s="68">
        <v>5</v>
      </c>
      <c r="H43" s="67">
        <v>822</v>
      </c>
      <c r="I43" s="1098">
        <v>139</v>
      </c>
    </row>
    <row r="44" spans="1:9" ht="14.4" thickBot="1">
      <c r="A44" s="1528"/>
      <c r="B44" s="1529"/>
      <c r="C44" s="705" t="s">
        <v>659</v>
      </c>
      <c r="D44" s="648"/>
      <c r="E44" s="648"/>
      <c r="F44" s="1118">
        <v>848</v>
      </c>
      <c r="G44" s="1119">
        <v>5</v>
      </c>
      <c r="H44" s="1120">
        <v>972</v>
      </c>
      <c r="I44" s="1121">
        <v>90</v>
      </c>
    </row>
    <row r="45" spans="1:9" ht="13.5" customHeight="1">
      <c r="A45" s="1524" t="s">
        <v>341</v>
      </c>
      <c r="B45" s="1525"/>
      <c r="C45" s="1532" t="s">
        <v>670</v>
      </c>
      <c r="D45" s="497" t="s">
        <v>671</v>
      </c>
      <c r="F45" s="1108">
        <v>1</v>
      </c>
      <c r="G45" s="1109">
        <v>0</v>
      </c>
      <c r="H45" s="1110">
        <v>1</v>
      </c>
      <c r="I45" s="1111">
        <v>0</v>
      </c>
    </row>
    <row r="46" spans="1:9">
      <c r="A46" s="1526"/>
      <c r="B46" s="1527"/>
      <c r="C46" s="1533"/>
      <c r="D46" s="622" t="s">
        <v>672</v>
      </c>
      <c r="E46" s="622"/>
      <c r="F46" s="1112">
        <v>0</v>
      </c>
      <c r="G46" s="68">
        <v>0</v>
      </c>
      <c r="H46" s="67">
        <v>0</v>
      </c>
      <c r="I46" s="1098">
        <v>0</v>
      </c>
    </row>
    <row r="47" spans="1:9">
      <c r="A47" s="1526"/>
      <c r="B47" s="1527"/>
      <c r="C47" s="1533"/>
      <c r="D47" s="497" t="s">
        <v>673</v>
      </c>
      <c r="F47" s="1112">
        <v>6</v>
      </c>
      <c r="G47" s="68">
        <v>0</v>
      </c>
      <c r="H47" s="67">
        <v>7</v>
      </c>
      <c r="I47" s="1098">
        <v>1</v>
      </c>
    </row>
    <row r="48" spans="1:9">
      <c r="A48" s="1526"/>
      <c r="B48" s="1527"/>
      <c r="C48" s="1533"/>
      <c r="D48" s="622" t="s">
        <v>674</v>
      </c>
      <c r="E48" s="622"/>
      <c r="F48" s="1112">
        <v>8</v>
      </c>
      <c r="G48" s="68">
        <v>3</v>
      </c>
      <c r="H48" s="67">
        <v>5</v>
      </c>
      <c r="I48" s="1098">
        <v>2</v>
      </c>
    </row>
    <row r="49" spans="1:9">
      <c r="A49" s="1526"/>
      <c r="B49" s="1527"/>
      <c r="C49" s="1531"/>
      <c r="D49" s="497" t="s">
        <v>659</v>
      </c>
      <c r="F49" s="1112">
        <v>10</v>
      </c>
      <c r="G49" s="68">
        <v>0</v>
      </c>
      <c r="H49" s="67">
        <v>11</v>
      </c>
      <c r="I49" s="1098">
        <v>6</v>
      </c>
    </row>
    <row r="50" spans="1:9">
      <c r="A50" s="1526"/>
      <c r="B50" s="1527"/>
      <c r="C50" s="624" t="s">
        <v>675</v>
      </c>
      <c r="D50" s="622"/>
      <c r="E50" s="622"/>
      <c r="F50" s="1112">
        <v>0</v>
      </c>
      <c r="G50" s="68">
        <v>0</v>
      </c>
      <c r="H50" s="67">
        <v>0</v>
      </c>
      <c r="I50" s="1098">
        <v>0</v>
      </c>
    </row>
    <row r="51" spans="1:9">
      <c r="A51" s="1526"/>
      <c r="B51" s="1527"/>
      <c r="C51" s="624" t="s">
        <v>676</v>
      </c>
      <c r="F51" s="1112">
        <v>9</v>
      </c>
      <c r="G51" s="68">
        <v>0</v>
      </c>
      <c r="H51" s="67">
        <v>9</v>
      </c>
      <c r="I51" s="1098">
        <v>0</v>
      </c>
    </row>
    <row r="52" spans="1:9">
      <c r="A52" s="1526"/>
      <c r="B52" s="1527"/>
      <c r="C52" s="624" t="s">
        <v>677</v>
      </c>
      <c r="D52" s="622"/>
      <c r="E52" s="622"/>
      <c r="F52" s="1112">
        <v>4</v>
      </c>
      <c r="G52" s="68">
        <v>0</v>
      </c>
      <c r="H52" s="67">
        <v>5</v>
      </c>
      <c r="I52" s="1098">
        <v>0</v>
      </c>
    </row>
    <row r="53" spans="1:9" ht="14.4" thickBot="1">
      <c r="A53" s="1528"/>
      <c r="B53" s="1529"/>
      <c r="C53" s="705" t="s">
        <v>659</v>
      </c>
      <c r="F53" s="1113">
        <v>41</v>
      </c>
      <c r="G53" s="1114">
        <v>0</v>
      </c>
      <c r="H53" s="1115">
        <v>47</v>
      </c>
      <c r="I53" s="1116">
        <v>5</v>
      </c>
    </row>
    <row r="54" spans="1:9" ht="14.4" thickBot="1">
      <c r="A54" s="1534" t="s">
        <v>678</v>
      </c>
      <c r="B54" s="1535"/>
      <c r="C54" s="1535"/>
      <c r="D54" s="1535"/>
      <c r="E54" s="1536"/>
      <c r="F54" s="1122">
        <v>1</v>
      </c>
      <c r="G54" s="274">
        <v>1</v>
      </c>
      <c r="H54" s="275">
        <v>0</v>
      </c>
      <c r="I54" s="276">
        <v>0</v>
      </c>
    </row>
    <row r="55" spans="1:9" s="680" customFormat="1" ht="15">
      <c r="A55" s="1932" t="s">
        <v>914</v>
      </c>
      <c r="B55" s="1932"/>
      <c r="C55" s="1932"/>
      <c r="D55" s="1932"/>
      <c r="E55" s="1932"/>
      <c r="F55" s="1932"/>
      <c r="G55" s="1932"/>
      <c r="H55" s="1932"/>
      <c r="I55" s="1932"/>
    </row>
  </sheetData>
  <mergeCells count="24">
    <mergeCell ref="A55:I55"/>
    <mergeCell ref="H4:H6"/>
    <mergeCell ref="A7:B8"/>
    <mergeCell ref="B16:B17"/>
    <mergeCell ref="D4:D6"/>
    <mergeCell ref="E4:E6"/>
    <mergeCell ref="F4:F6"/>
    <mergeCell ref="G4:G6"/>
    <mergeCell ref="A9:B9"/>
    <mergeCell ref="A10:B11"/>
    <mergeCell ref="A12:B12"/>
    <mergeCell ref="A13:B14"/>
    <mergeCell ref="A15:B15"/>
    <mergeCell ref="F22:F23"/>
    <mergeCell ref="G22:G23"/>
    <mergeCell ref="H22:H23"/>
    <mergeCell ref="A25:E25"/>
    <mergeCell ref="A26:B35"/>
    <mergeCell ref="C28:C31"/>
    <mergeCell ref="A36:B44"/>
    <mergeCell ref="C37:C38"/>
    <mergeCell ref="A45:B53"/>
    <mergeCell ref="C45:C49"/>
    <mergeCell ref="A54:E54"/>
  </mergeCells>
  <phoneticPr fontId="4"/>
  <printOptions horizontalCentered="1"/>
  <pageMargins left="0.78740157480314965" right="0.39370078740157483" top="0.98425196850393704" bottom="0.98425196850393704" header="0.31496062992125984" footer="0.51181102362204722"/>
  <pageSetup paperSize="9" scale="93" orientation="portrait" r:id="rId1"/>
  <headerFooter scaleWithDoc="0" alignWithMargins="0">
    <oddFooter>&amp;C- &amp;P -</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53386F-72B9-4AE3-85C7-27C8BC0FDFD3}">
  <sheetPr>
    <pageSetUpPr fitToPage="1"/>
  </sheetPr>
  <dimension ref="B1:K25"/>
  <sheetViews>
    <sheetView view="pageBreakPreview" topLeftCell="A12" zoomScale="70" zoomScaleNormal="100" zoomScaleSheetLayoutView="70" workbookViewId="0">
      <selection activeCell="S20" sqref="S20:S21"/>
    </sheetView>
  </sheetViews>
  <sheetFormatPr defaultColWidth="9" defaultRowHeight="13.8"/>
  <cols>
    <col min="1" max="1" width="9" style="497"/>
    <col min="2" max="2" width="4.109375" style="497" customWidth="1"/>
    <col min="3" max="3" width="16.88671875" style="497" customWidth="1"/>
    <col min="4" max="11" width="10.21875" style="497" customWidth="1"/>
    <col min="12" max="16384" width="9" style="497"/>
  </cols>
  <sheetData>
    <row r="1" spans="2:11" ht="15.6" thickBot="1">
      <c r="B1" s="650" t="s">
        <v>342</v>
      </c>
    </row>
    <row r="2" spans="2:11" ht="20.25" customHeight="1">
      <c r="B2" s="513"/>
      <c r="C2" s="515" t="s">
        <v>681</v>
      </c>
      <c r="D2" s="1435" t="s">
        <v>682</v>
      </c>
      <c r="E2" s="1270"/>
      <c r="F2" s="1270"/>
      <c r="G2" s="1563"/>
      <c r="H2" s="1435" t="s">
        <v>683</v>
      </c>
      <c r="I2" s="1270"/>
      <c r="J2" s="1270"/>
      <c r="K2" s="1563"/>
    </row>
    <row r="3" spans="2:11" ht="12" customHeight="1">
      <c r="B3" s="516"/>
      <c r="C3" s="548"/>
      <c r="D3" s="1345" t="s">
        <v>573</v>
      </c>
      <c r="E3" s="1530" t="s">
        <v>643</v>
      </c>
      <c r="F3" s="1564" t="s">
        <v>684</v>
      </c>
      <c r="G3" s="756"/>
      <c r="H3" s="1345" t="s">
        <v>685</v>
      </c>
      <c r="I3" s="1530" t="s">
        <v>686</v>
      </c>
      <c r="J3" s="1564" t="s">
        <v>687</v>
      </c>
      <c r="K3" s="756"/>
    </row>
    <row r="4" spans="2:11" ht="21" customHeight="1">
      <c r="B4" s="516"/>
      <c r="C4" s="548"/>
      <c r="D4" s="1276"/>
      <c r="E4" s="1283"/>
      <c r="F4" s="1565"/>
      <c r="G4" s="757" t="s">
        <v>650</v>
      </c>
      <c r="H4" s="1276"/>
      <c r="I4" s="1283"/>
      <c r="J4" s="1565"/>
      <c r="K4" s="757" t="s">
        <v>650</v>
      </c>
    </row>
    <row r="5" spans="2:11" ht="21" customHeight="1" thickBot="1">
      <c r="B5" s="553" t="s">
        <v>636</v>
      </c>
      <c r="C5" s="554"/>
      <c r="D5" s="758" t="s">
        <v>641</v>
      </c>
      <c r="E5" s="743" t="s">
        <v>644</v>
      </c>
      <c r="F5" s="759" t="s">
        <v>644</v>
      </c>
      <c r="G5" s="760" t="s">
        <v>644</v>
      </c>
      <c r="H5" s="758" t="s">
        <v>641</v>
      </c>
      <c r="I5" s="743" t="s">
        <v>644</v>
      </c>
      <c r="J5" s="759" t="s">
        <v>644</v>
      </c>
      <c r="K5" s="760" t="s">
        <v>644</v>
      </c>
    </row>
    <row r="6" spans="2:11" ht="24.9" customHeight="1" thickBot="1">
      <c r="B6" s="553" t="s">
        <v>688</v>
      </c>
      <c r="C6" s="562"/>
      <c r="D6" s="184">
        <f t="shared" ref="D6:K6" si="0">D7+D11+D19+D23</f>
        <v>3146</v>
      </c>
      <c r="E6" s="57">
        <f t="shared" si="0"/>
        <v>17</v>
      </c>
      <c r="F6" s="324">
        <f t="shared" si="0"/>
        <v>3675</v>
      </c>
      <c r="G6" s="166">
        <f t="shared" si="0"/>
        <v>384</v>
      </c>
      <c r="H6" s="184">
        <f t="shared" si="0"/>
        <v>4703</v>
      </c>
      <c r="I6" s="57">
        <f t="shared" si="0"/>
        <v>26</v>
      </c>
      <c r="J6" s="324">
        <f t="shared" si="0"/>
        <v>5241</v>
      </c>
      <c r="K6" s="166">
        <f t="shared" si="0"/>
        <v>553</v>
      </c>
    </row>
    <row r="7" spans="2:11" ht="24.9" customHeight="1">
      <c r="B7" s="513" t="s">
        <v>689</v>
      </c>
      <c r="C7" s="761"/>
      <c r="D7" s="198">
        <v>295</v>
      </c>
      <c r="E7" s="13">
        <v>4</v>
      </c>
      <c r="F7" s="11">
        <v>297</v>
      </c>
      <c r="G7" s="12">
        <v>79</v>
      </c>
      <c r="H7" s="198">
        <v>676</v>
      </c>
      <c r="I7" s="13">
        <v>9</v>
      </c>
      <c r="J7" s="11">
        <v>679</v>
      </c>
      <c r="K7" s="12">
        <v>98</v>
      </c>
    </row>
    <row r="8" spans="2:11" ht="24.9" customHeight="1">
      <c r="B8" s="508"/>
      <c r="C8" s="695" t="s">
        <v>690</v>
      </c>
      <c r="D8" s="36">
        <v>240</v>
      </c>
      <c r="E8" s="23">
        <v>3</v>
      </c>
      <c r="F8" s="21">
        <v>242</v>
      </c>
      <c r="G8" s="22">
        <v>67</v>
      </c>
      <c r="H8" s="36">
        <v>38</v>
      </c>
      <c r="I8" s="23">
        <v>0</v>
      </c>
      <c r="J8" s="21">
        <v>39</v>
      </c>
      <c r="K8" s="22">
        <v>10</v>
      </c>
    </row>
    <row r="9" spans="2:11" ht="24.9" customHeight="1">
      <c r="B9" s="508"/>
      <c r="C9" s="695" t="s">
        <v>691</v>
      </c>
      <c r="D9" s="36">
        <v>27</v>
      </c>
      <c r="E9" s="23">
        <v>0</v>
      </c>
      <c r="F9" s="21">
        <v>27</v>
      </c>
      <c r="G9" s="22">
        <v>9</v>
      </c>
      <c r="H9" s="36">
        <v>183</v>
      </c>
      <c r="I9" s="23">
        <v>4</v>
      </c>
      <c r="J9" s="21">
        <v>181</v>
      </c>
      <c r="K9" s="22">
        <v>43</v>
      </c>
    </row>
    <row r="10" spans="2:11" ht="24.9" customHeight="1" thickBot="1">
      <c r="B10" s="519"/>
      <c r="C10" s="636" t="s">
        <v>659</v>
      </c>
      <c r="D10" s="167">
        <v>28</v>
      </c>
      <c r="E10" s="39">
        <v>1</v>
      </c>
      <c r="F10" s="40">
        <v>28</v>
      </c>
      <c r="G10" s="168">
        <v>3</v>
      </c>
      <c r="H10" s="167">
        <v>455</v>
      </c>
      <c r="I10" s="39">
        <v>5</v>
      </c>
      <c r="J10" s="40">
        <v>459</v>
      </c>
      <c r="K10" s="168">
        <v>45</v>
      </c>
    </row>
    <row r="11" spans="2:11" ht="24.9" customHeight="1">
      <c r="B11" s="516" t="s">
        <v>692</v>
      </c>
      <c r="C11" s="500"/>
      <c r="D11" s="198">
        <v>2823</v>
      </c>
      <c r="E11" s="13">
        <v>13</v>
      </c>
      <c r="F11" s="11">
        <v>3347</v>
      </c>
      <c r="G11" s="12">
        <v>300</v>
      </c>
      <c r="H11" s="198">
        <v>3975</v>
      </c>
      <c r="I11" s="13">
        <v>13</v>
      </c>
      <c r="J11" s="11">
        <v>4508</v>
      </c>
      <c r="K11" s="12">
        <v>446</v>
      </c>
    </row>
    <row r="12" spans="2:11" ht="24.9" customHeight="1">
      <c r="B12" s="508"/>
      <c r="C12" s="527" t="s">
        <v>693</v>
      </c>
      <c r="D12" s="36">
        <v>392</v>
      </c>
      <c r="E12" s="23">
        <v>4</v>
      </c>
      <c r="F12" s="21">
        <v>427</v>
      </c>
      <c r="G12" s="22">
        <v>73</v>
      </c>
      <c r="H12" s="36">
        <v>1743</v>
      </c>
      <c r="I12" s="23">
        <v>5</v>
      </c>
      <c r="J12" s="21">
        <v>1857</v>
      </c>
      <c r="K12" s="22">
        <v>260</v>
      </c>
    </row>
    <row r="13" spans="2:11" ht="24.9" customHeight="1">
      <c r="B13" s="508"/>
      <c r="C13" s="527" t="s">
        <v>694</v>
      </c>
      <c r="D13" s="36">
        <v>598</v>
      </c>
      <c r="E13" s="23">
        <v>5</v>
      </c>
      <c r="F13" s="21">
        <v>678</v>
      </c>
      <c r="G13" s="22">
        <v>119</v>
      </c>
      <c r="H13" s="36">
        <v>135</v>
      </c>
      <c r="I13" s="23">
        <v>0</v>
      </c>
      <c r="J13" s="21">
        <v>144</v>
      </c>
      <c r="K13" s="22">
        <v>20</v>
      </c>
    </row>
    <row r="14" spans="2:11" ht="24.9" customHeight="1">
      <c r="B14" s="508"/>
      <c r="C14" s="527" t="s">
        <v>695</v>
      </c>
      <c r="D14" s="36">
        <v>398</v>
      </c>
      <c r="E14" s="23">
        <v>2</v>
      </c>
      <c r="F14" s="21">
        <v>406</v>
      </c>
      <c r="G14" s="22">
        <v>39</v>
      </c>
      <c r="H14" s="36">
        <v>173</v>
      </c>
      <c r="I14" s="23">
        <v>1</v>
      </c>
      <c r="J14" s="21">
        <v>179</v>
      </c>
      <c r="K14" s="22">
        <v>10</v>
      </c>
    </row>
    <row r="15" spans="2:11" ht="24.9" customHeight="1">
      <c r="B15" s="508"/>
      <c r="C15" s="527" t="s">
        <v>696</v>
      </c>
      <c r="D15" s="36">
        <v>1014</v>
      </c>
      <c r="E15" s="23">
        <v>1</v>
      </c>
      <c r="F15" s="21">
        <v>1330</v>
      </c>
      <c r="G15" s="22">
        <v>25</v>
      </c>
      <c r="H15" s="36">
        <v>881</v>
      </c>
      <c r="I15" s="23">
        <v>2</v>
      </c>
      <c r="J15" s="21">
        <v>1174</v>
      </c>
      <c r="K15" s="22">
        <v>32</v>
      </c>
    </row>
    <row r="16" spans="2:11" ht="24.9" customHeight="1">
      <c r="B16" s="508"/>
      <c r="C16" s="527" t="s">
        <v>663</v>
      </c>
      <c r="D16" s="36">
        <v>11</v>
      </c>
      <c r="E16" s="23">
        <v>0</v>
      </c>
      <c r="F16" s="21">
        <v>11</v>
      </c>
      <c r="G16" s="22">
        <v>3</v>
      </c>
      <c r="H16" s="36">
        <v>66</v>
      </c>
      <c r="I16" s="23">
        <v>1</v>
      </c>
      <c r="J16" s="21">
        <v>74</v>
      </c>
      <c r="K16" s="22">
        <v>16</v>
      </c>
    </row>
    <row r="17" spans="2:11" ht="24.9" customHeight="1">
      <c r="B17" s="508"/>
      <c r="C17" s="527" t="s">
        <v>697</v>
      </c>
      <c r="D17" s="36">
        <v>142</v>
      </c>
      <c r="E17" s="23">
        <v>0</v>
      </c>
      <c r="F17" s="21">
        <v>170</v>
      </c>
      <c r="G17" s="22">
        <v>16</v>
      </c>
      <c r="H17" s="36">
        <v>288</v>
      </c>
      <c r="I17" s="23">
        <v>0</v>
      </c>
      <c r="J17" s="21">
        <v>314</v>
      </c>
      <c r="K17" s="22">
        <v>36</v>
      </c>
    </row>
    <row r="18" spans="2:11" ht="24.9" customHeight="1" thickBot="1">
      <c r="B18" s="508"/>
      <c r="C18" s="547" t="s">
        <v>659</v>
      </c>
      <c r="D18" s="167">
        <v>268</v>
      </c>
      <c r="E18" s="39">
        <v>1</v>
      </c>
      <c r="F18" s="40">
        <v>325</v>
      </c>
      <c r="G18" s="168">
        <v>25</v>
      </c>
      <c r="H18" s="167">
        <v>689</v>
      </c>
      <c r="I18" s="39">
        <v>4</v>
      </c>
      <c r="J18" s="40">
        <v>766</v>
      </c>
      <c r="K18" s="168">
        <v>72</v>
      </c>
    </row>
    <row r="19" spans="2:11" ht="24.9" customHeight="1">
      <c r="B19" s="513" t="s">
        <v>698</v>
      </c>
      <c r="C19" s="545"/>
      <c r="D19" s="198">
        <v>28</v>
      </c>
      <c r="E19" s="13">
        <v>0</v>
      </c>
      <c r="F19" s="11">
        <v>31</v>
      </c>
      <c r="G19" s="12">
        <v>5</v>
      </c>
      <c r="H19" s="198">
        <v>51</v>
      </c>
      <c r="I19" s="13">
        <v>3</v>
      </c>
      <c r="J19" s="11">
        <v>54</v>
      </c>
      <c r="K19" s="12">
        <v>9</v>
      </c>
    </row>
    <row r="20" spans="2:11" ht="24.9" customHeight="1">
      <c r="B20" s="508" t="s">
        <v>699</v>
      </c>
      <c r="C20" s="527" t="s">
        <v>700</v>
      </c>
      <c r="D20" s="36">
        <v>9</v>
      </c>
      <c r="E20" s="23">
        <v>0</v>
      </c>
      <c r="F20" s="21">
        <v>10</v>
      </c>
      <c r="G20" s="22">
        <v>5</v>
      </c>
      <c r="H20" s="36">
        <v>16</v>
      </c>
      <c r="I20" s="23">
        <v>3</v>
      </c>
      <c r="J20" s="21">
        <v>14</v>
      </c>
      <c r="K20" s="22">
        <v>4</v>
      </c>
    </row>
    <row r="21" spans="2:11" ht="24.9" customHeight="1">
      <c r="B21" s="508"/>
      <c r="C21" s="527" t="s">
        <v>677</v>
      </c>
      <c r="D21" s="36">
        <v>1</v>
      </c>
      <c r="E21" s="23">
        <v>0</v>
      </c>
      <c r="F21" s="21">
        <v>1</v>
      </c>
      <c r="G21" s="22">
        <v>0</v>
      </c>
      <c r="H21" s="36">
        <v>3</v>
      </c>
      <c r="I21" s="23">
        <v>0</v>
      </c>
      <c r="J21" s="21">
        <v>4</v>
      </c>
      <c r="K21" s="22">
        <v>0</v>
      </c>
    </row>
    <row r="22" spans="2:11" ht="24.9" customHeight="1" thickBot="1">
      <c r="B22" s="508"/>
      <c r="C22" s="547" t="s">
        <v>659</v>
      </c>
      <c r="D22" s="167">
        <v>18</v>
      </c>
      <c r="E22" s="39">
        <v>0</v>
      </c>
      <c r="F22" s="40">
        <v>20</v>
      </c>
      <c r="G22" s="168">
        <v>0</v>
      </c>
      <c r="H22" s="167">
        <v>32</v>
      </c>
      <c r="I22" s="39">
        <v>0</v>
      </c>
      <c r="J22" s="40">
        <v>36</v>
      </c>
      <c r="K22" s="168">
        <v>5</v>
      </c>
    </row>
    <row r="23" spans="2:11" ht="24.9" customHeight="1" thickBot="1">
      <c r="B23" s="549" t="s">
        <v>701</v>
      </c>
      <c r="C23" s="550"/>
      <c r="D23" s="183">
        <v>0</v>
      </c>
      <c r="E23" s="1123">
        <v>0</v>
      </c>
      <c r="F23" s="263">
        <v>0</v>
      </c>
      <c r="G23" s="1124">
        <v>0</v>
      </c>
      <c r="H23" s="183">
        <v>1</v>
      </c>
      <c r="I23" s="1123">
        <v>1</v>
      </c>
      <c r="J23" s="263">
        <v>0</v>
      </c>
      <c r="K23" s="1124">
        <v>0</v>
      </c>
    </row>
    <row r="24" spans="2:11" s="779" customFormat="1" ht="16.2">
      <c r="B24" s="1971" t="s">
        <v>915</v>
      </c>
      <c r="C24" s="1971"/>
      <c r="D24" s="1971"/>
      <c r="E24" s="1971"/>
      <c r="F24" s="1971"/>
      <c r="G24" s="1971"/>
      <c r="H24" s="1971"/>
      <c r="I24" s="1971"/>
      <c r="J24" s="1971"/>
      <c r="K24" s="1971"/>
    </row>
    <row r="25" spans="2:11" s="779" customFormat="1" ht="16.2">
      <c r="B25" s="1890" t="s">
        <v>916</v>
      </c>
      <c r="C25" s="1890"/>
      <c r="D25" s="1890"/>
      <c r="E25" s="1890"/>
      <c r="F25" s="1890"/>
      <c r="G25" s="1890"/>
      <c r="H25" s="1890"/>
      <c r="I25" s="1890"/>
      <c r="J25" s="1890"/>
      <c r="K25" s="1890"/>
    </row>
  </sheetData>
  <mergeCells count="9">
    <mergeCell ref="B24:K24"/>
    <mergeCell ref="D2:G2"/>
    <mergeCell ref="H2:K2"/>
    <mergeCell ref="D3:D4"/>
    <mergeCell ref="E3:E4"/>
    <mergeCell ref="F3:F4"/>
    <mergeCell ref="H3:H4"/>
    <mergeCell ref="I3:I4"/>
    <mergeCell ref="J3:J4"/>
  </mergeCells>
  <phoneticPr fontId="4"/>
  <printOptions horizontalCentered="1"/>
  <pageMargins left="0.78740157480314965" right="0.39370078740157483" top="0.98425196850393704" bottom="0.98425196850393704" header="0.31496062992125984" footer="0.51181102362204722"/>
  <pageSetup paperSize="9" scale="83" orientation="portrait" r:id="rId1"/>
  <headerFooter scaleWithDoc="0" alignWithMargins="0">
    <oddFooter>&amp;C- &amp;P -</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2E839-A621-40BD-BE59-F87758F925D6}">
  <sheetPr>
    <pageSetUpPr fitToPage="1"/>
  </sheetPr>
  <dimension ref="A1:M47"/>
  <sheetViews>
    <sheetView view="pageBreakPreview" topLeftCell="A28" zoomScaleNormal="100" zoomScaleSheetLayoutView="100" workbookViewId="0">
      <selection activeCell="N39" sqref="N39"/>
    </sheetView>
  </sheetViews>
  <sheetFormatPr defaultColWidth="9" defaultRowHeight="13.8"/>
  <cols>
    <col min="1" max="1" width="4.21875" style="497" customWidth="1"/>
    <col min="2" max="2" width="3" style="497" customWidth="1"/>
    <col min="3" max="3" width="3.44140625" style="497" customWidth="1"/>
    <col min="4" max="4" width="21.88671875" style="497" customWidth="1"/>
    <col min="5" max="8" width="11.88671875" style="497" customWidth="1"/>
    <col min="9" max="16384" width="9" style="497"/>
  </cols>
  <sheetData>
    <row r="1" spans="1:9" ht="15">
      <c r="A1" s="650" t="s">
        <v>343</v>
      </c>
    </row>
    <row r="2" spans="1:9" ht="14.25" customHeight="1">
      <c r="B2" s="1566"/>
      <c r="C2" s="1566"/>
      <c r="D2" s="1566"/>
      <c r="E2" s="1566"/>
      <c r="F2" s="1566"/>
      <c r="G2" s="1566"/>
      <c r="H2" s="1566"/>
      <c r="I2" s="1566"/>
    </row>
    <row r="3" spans="1:9" ht="15.6" thickBot="1">
      <c r="B3" s="595" t="s">
        <v>344</v>
      </c>
    </row>
    <row r="4" spans="1:9" ht="13.5" customHeight="1" thickBot="1">
      <c r="B4" s="676"/>
      <c r="C4" s="677"/>
      <c r="D4" s="767"/>
      <c r="E4" s="768"/>
      <c r="F4" s="761"/>
      <c r="G4" s="513"/>
      <c r="H4" s="761"/>
    </row>
    <row r="5" spans="1:9">
      <c r="B5" s="679"/>
      <c r="C5" s="680"/>
      <c r="D5" s="769" t="s">
        <v>345</v>
      </c>
      <c r="E5" s="770" t="s">
        <v>573</v>
      </c>
      <c r="F5" s="771" t="s">
        <v>643</v>
      </c>
      <c r="G5" s="770" t="s">
        <v>684</v>
      </c>
      <c r="H5" s="772" t="s">
        <v>650</v>
      </c>
    </row>
    <row r="6" spans="1:9" ht="14.4" thickBot="1">
      <c r="B6" s="748" t="s">
        <v>346</v>
      </c>
      <c r="C6" s="749"/>
      <c r="D6" s="716"/>
      <c r="E6" s="773" t="s">
        <v>641</v>
      </c>
      <c r="F6" s="585" t="s">
        <v>644</v>
      </c>
      <c r="G6" s="773" t="s">
        <v>644</v>
      </c>
      <c r="H6" s="773" t="s">
        <v>644</v>
      </c>
    </row>
    <row r="7" spans="1:9" ht="15.9" customHeight="1">
      <c r="B7" s="774"/>
      <c r="C7" s="544" t="s">
        <v>702</v>
      </c>
      <c r="D7" s="545"/>
      <c r="E7" s="1125">
        <v>298</v>
      </c>
      <c r="F7" s="1125">
        <v>5</v>
      </c>
      <c r="G7" s="1125">
        <v>344</v>
      </c>
      <c r="H7" s="1125">
        <v>56</v>
      </c>
    </row>
    <row r="8" spans="1:9" ht="15.9" customHeight="1">
      <c r="B8" s="546"/>
      <c r="C8" s="527" t="s">
        <v>703</v>
      </c>
      <c r="D8" s="734"/>
      <c r="E8" s="267">
        <v>12</v>
      </c>
      <c r="F8" s="267">
        <v>1</v>
      </c>
      <c r="G8" s="267">
        <v>13</v>
      </c>
      <c r="H8" s="267">
        <v>2</v>
      </c>
    </row>
    <row r="9" spans="1:9" ht="15.9" customHeight="1">
      <c r="B9" s="546"/>
      <c r="C9" s="527" t="s">
        <v>704</v>
      </c>
      <c r="D9" s="530"/>
      <c r="E9" s="267">
        <v>19</v>
      </c>
      <c r="F9" s="267">
        <v>0</v>
      </c>
      <c r="G9" s="267">
        <v>20</v>
      </c>
      <c r="H9" s="267">
        <v>2</v>
      </c>
    </row>
    <row r="10" spans="1:9" ht="15.9" customHeight="1">
      <c r="B10" s="546" t="s">
        <v>705</v>
      </c>
      <c r="C10" s="527" t="s">
        <v>706</v>
      </c>
      <c r="D10" s="530"/>
      <c r="E10" s="267">
        <v>2</v>
      </c>
      <c r="F10" s="267">
        <v>1</v>
      </c>
      <c r="G10" s="267">
        <v>5</v>
      </c>
      <c r="H10" s="267">
        <v>5</v>
      </c>
    </row>
    <row r="11" spans="1:9" ht="15.9" customHeight="1">
      <c r="B11" s="546"/>
      <c r="C11" s="527" t="s">
        <v>707</v>
      </c>
      <c r="D11" s="530"/>
      <c r="E11" s="267">
        <v>9</v>
      </c>
      <c r="F11" s="267">
        <v>0</v>
      </c>
      <c r="G11" s="267">
        <v>9</v>
      </c>
      <c r="H11" s="267">
        <v>2</v>
      </c>
    </row>
    <row r="12" spans="1:9" ht="15.9" customHeight="1">
      <c r="B12" s="546"/>
      <c r="C12" s="527" t="s">
        <v>708</v>
      </c>
      <c r="D12" s="530"/>
      <c r="E12" s="267">
        <v>4</v>
      </c>
      <c r="F12" s="267">
        <v>0</v>
      </c>
      <c r="G12" s="267">
        <v>6</v>
      </c>
      <c r="H12" s="267">
        <v>1</v>
      </c>
    </row>
    <row r="13" spans="1:9" ht="15.9" customHeight="1">
      <c r="B13" s="546"/>
      <c r="C13" s="527" t="s">
        <v>697</v>
      </c>
      <c r="D13" s="530"/>
      <c r="E13" s="267">
        <v>10</v>
      </c>
      <c r="F13" s="267">
        <v>0</v>
      </c>
      <c r="G13" s="267">
        <v>11</v>
      </c>
      <c r="H13" s="267">
        <v>2</v>
      </c>
    </row>
    <row r="14" spans="1:9" ht="15.9" customHeight="1">
      <c r="B14" s="546"/>
      <c r="C14" s="527" t="s">
        <v>709</v>
      </c>
      <c r="D14" s="530"/>
      <c r="E14" s="267">
        <v>1</v>
      </c>
      <c r="F14" s="267">
        <v>0</v>
      </c>
      <c r="G14" s="267">
        <v>1</v>
      </c>
      <c r="H14" s="267">
        <v>0</v>
      </c>
    </row>
    <row r="15" spans="1:9" ht="15.9" customHeight="1">
      <c r="B15" s="546" t="s">
        <v>710</v>
      </c>
      <c r="C15" s="527" t="s">
        <v>694</v>
      </c>
      <c r="D15" s="530"/>
      <c r="E15" s="267">
        <v>18</v>
      </c>
      <c r="F15" s="267">
        <v>1</v>
      </c>
      <c r="G15" s="267">
        <v>23</v>
      </c>
      <c r="H15" s="267">
        <v>4</v>
      </c>
    </row>
    <row r="16" spans="1:9" ht="15.9" customHeight="1">
      <c r="B16" s="546"/>
      <c r="C16" s="527" t="s">
        <v>695</v>
      </c>
      <c r="D16" s="530"/>
      <c r="E16" s="267">
        <v>13</v>
      </c>
      <c r="F16" s="267">
        <v>0</v>
      </c>
      <c r="G16" s="267">
        <v>13</v>
      </c>
      <c r="H16" s="267">
        <v>0</v>
      </c>
    </row>
    <row r="17" spans="2:12" ht="15.9" customHeight="1">
      <c r="B17" s="546"/>
      <c r="C17" s="527" t="s">
        <v>711</v>
      </c>
      <c r="D17" s="530"/>
      <c r="E17" s="267">
        <v>12</v>
      </c>
      <c r="F17" s="267">
        <v>3</v>
      </c>
      <c r="G17" s="267">
        <v>13</v>
      </c>
      <c r="H17" s="267">
        <v>3</v>
      </c>
    </row>
    <row r="18" spans="2:12" ht="15.9" customHeight="1">
      <c r="B18" s="546"/>
      <c r="C18" s="527" t="s">
        <v>712</v>
      </c>
      <c r="D18" s="530"/>
      <c r="E18" s="267">
        <v>230</v>
      </c>
      <c r="F18" s="267">
        <v>1</v>
      </c>
      <c r="G18" s="267">
        <v>250</v>
      </c>
      <c r="H18" s="267">
        <v>49</v>
      </c>
    </row>
    <row r="19" spans="2:12" ht="15.9" customHeight="1">
      <c r="B19" s="546"/>
      <c r="C19" s="527" t="s">
        <v>713</v>
      </c>
      <c r="D19" s="530"/>
      <c r="E19" s="267">
        <v>116</v>
      </c>
      <c r="F19" s="267">
        <v>3</v>
      </c>
      <c r="G19" s="267">
        <v>113</v>
      </c>
      <c r="H19" s="267">
        <v>30</v>
      </c>
    </row>
    <row r="20" spans="2:12" ht="15.9" customHeight="1">
      <c r="B20" s="546" t="s">
        <v>714</v>
      </c>
      <c r="C20" s="527" t="s">
        <v>715</v>
      </c>
      <c r="D20" s="530"/>
      <c r="E20" s="267">
        <v>130</v>
      </c>
      <c r="F20" s="267">
        <v>1</v>
      </c>
      <c r="G20" s="267">
        <v>139</v>
      </c>
      <c r="H20" s="267">
        <v>37</v>
      </c>
    </row>
    <row r="21" spans="2:12" ht="15.9" customHeight="1">
      <c r="B21" s="546"/>
      <c r="C21" s="527" t="s">
        <v>716</v>
      </c>
      <c r="D21" s="530"/>
      <c r="E21" s="267">
        <v>237</v>
      </c>
      <c r="F21" s="267">
        <v>2</v>
      </c>
      <c r="G21" s="267">
        <v>261</v>
      </c>
      <c r="H21" s="267">
        <v>34</v>
      </c>
    </row>
    <row r="22" spans="2:12" ht="15.9" customHeight="1">
      <c r="B22" s="546"/>
      <c r="C22" s="527" t="s">
        <v>717</v>
      </c>
      <c r="D22" s="530"/>
      <c r="E22" s="267">
        <v>3</v>
      </c>
      <c r="F22" s="267">
        <v>0</v>
      </c>
      <c r="G22" s="267">
        <v>3</v>
      </c>
      <c r="H22" s="267">
        <v>0</v>
      </c>
    </row>
    <row r="23" spans="2:12" ht="15.9" customHeight="1">
      <c r="B23" s="546"/>
      <c r="C23" s="527" t="s">
        <v>718</v>
      </c>
      <c r="D23" s="530"/>
      <c r="E23" s="267">
        <v>1</v>
      </c>
      <c r="F23" s="267">
        <v>0</v>
      </c>
      <c r="G23" s="267">
        <v>1</v>
      </c>
      <c r="H23" s="267">
        <v>0</v>
      </c>
    </row>
    <row r="24" spans="2:12" ht="15.9" customHeight="1">
      <c r="B24" s="546"/>
      <c r="C24" s="527" t="s">
        <v>719</v>
      </c>
      <c r="D24" s="530"/>
      <c r="E24" s="267">
        <v>0</v>
      </c>
      <c r="F24" s="267">
        <v>0</v>
      </c>
      <c r="G24" s="267">
        <v>0</v>
      </c>
      <c r="H24" s="267">
        <v>0</v>
      </c>
    </row>
    <row r="25" spans="2:12" ht="15.9" customHeight="1">
      <c r="B25" s="546"/>
      <c r="C25" s="527" t="s">
        <v>720</v>
      </c>
      <c r="D25" s="530"/>
      <c r="E25" s="267">
        <v>3</v>
      </c>
      <c r="F25" s="267">
        <v>1</v>
      </c>
      <c r="G25" s="267">
        <v>2</v>
      </c>
      <c r="H25" s="267">
        <v>0</v>
      </c>
    </row>
    <row r="26" spans="2:12" ht="15.9" customHeight="1">
      <c r="B26" s="546"/>
      <c r="C26" s="1567" t="s">
        <v>347</v>
      </c>
      <c r="D26" s="530" t="s">
        <v>721</v>
      </c>
      <c r="E26" s="267">
        <v>458</v>
      </c>
      <c r="F26" s="267">
        <v>3</v>
      </c>
      <c r="G26" s="267">
        <v>592</v>
      </c>
      <c r="H26" s="267">
        <v>21</v>
      </c>
    </row>
    <row r="27" spans="2:12" ht="15.9" customHeight="1">
      <c r="B27" s="546"/>
      <c r="C27" s="1567"/>
      <c r="D27" s="530" t="s">
        <v>722</v>
      </c>
      <c r="E27" s="267">
        <v>998</v>
      </c>
      <c r="F27" s="267">
        <v>4</v>
      </c>
      <c r="G27" s="267">
        <v>1294</v>
      </c>
      <c r="H27" s="267">
        <v>74</v>
      </c>
    </row>
    <row r="28" spans="2:12" ht="15.9" customHeight="1">
      <c r="B28" s="546"/>
      <c r="C28" s="1567"/>
      <c r="D28" s="530" t="s">
        <v>723</v>
      </c>
      <c r="E28" s="267">
        <v>902</v>
      </c>
      <c r="F28" s="267">
        <v>2</v>
      </c>
      <c r="G28" s="267">
        <v>1028</v>
      </c>
      <c r="H28" s="267">
        <v>79</v>
      </c>
    </row>
    <row r="29" spans="2:12" ht="15.9" customHeight="1">
      <c r="B29" s="546"/>
      <c r="C29" s="1567"/>
      <c r="D29" s="530" t="s">
        <v>724</v>
      </c>
      <c r="E29" s="267">
        <v>3903</v>
      </c>
      <c r="F29" s="267">
        <v>10</v>
      </c>
      <c r="G29" s="267">
        <v>4265</v>
      </c>
      <c r="H29" s="267">
        <v>493</v>
      </c>
    </row>
    <row r="30" spans="2:12" ht="15.9" customHeight="1">
      <c r="B30" s="546"/>
      <c r="C30" s="1567"/>
      <c r="D30" s="530" t="s">
        <v>659</v>
      </c>
      <c r="E30" s="267">
        <v>152</v>
      </c>
      <c r="F30" s="267">
        <v>1</v>
      </c>
      <c r="G30" s="267">
        <v>176</v>
      </c>
      <c r="H30" s="267">
        <v>11</v>
      </c>
      <c r="J30" s="775"/>
    </row>
    <row r="31" spans="2:12" ht="15.9" customHeight="1">
      <c r="B31" s="546"/>
      <c r="C31" s="527" t="s">
        <v>725</v>
      </c>
      <c r="D31" s="530"/>
      <c r="E31" s="267">
        <v>176</v>
      </c>
      <c r="F31" s="267">
        <v>0</v>
      </c>
      <c r="G31" s="267">
        <v>183</v>
      </c>
      <c r="H31" s="267">
        <v>21</v>
      </c>
      <c r="I31" s="776"/>
      <c r="J31" s="775"/>
      <c r="K31" s="775"/>
      <c r="L31" s="775"/>
    </row>
    <row r="32" spans="2:12" ht="15.9" customHeight="1" thickBot="1">
      <c r="B32" s="546"/>
      <c r="C32" s="500" t="s">
        <v>635</v>
      </c>
      <c r="D32" s="505"/>
      <c r="E32" s="262">
        <f>SUM(E7:E31)</f>
        <v>7707</v>
      </c>
      <c r="F32" s="262">
        <f>SUM(F7:F31)</f>
        <v>39</v>
      </c>
      <c r="G32" s="262">
        <f>SUM(G7:G31)</f>
        <v>8765</v>
      </c>
      <c r="H32" s="262">
        <f>SUM(H7:H31)</f>
        <v>926</v>
      </c>
      <c r="J32" s="776"/>
      <c r="K32" s="776"/>
    </row>
    <row r="33" spans="2:13" ht="15.9" customHeight="1">
      <c r="B33" s="652"/>
      <c r="C33" s="544" t="s">
        <v>702</v>
      </c>
      <c r="D33" s="545"/>
      <c r="E33" s="1125">
        <v>6</v>
      </c>
      <c r="F33" s="1125">
        <v>0</v>
      </c>
      <c r="G33" s="1125">
        <v>6</v>
      </c>
      <c r="H33" s="1125">
        <v>3</v>
      </c>
    </row>
    <row r="34" spans="2:13" ht="15.9" customHeight="1">
      <c r="B34" s="524"/>
      <c r="C34" s="527" t="s">
        <v>704</v>
      </c>
      <c r="D34" s="530"/>
      <c r="E34" s="267">
        <v>0</v>
      </c>
      <c r="F34" s="267">
        <v>0</v>
      </c>
      <c r="G34" s="267">
        <v>0</v>
      </c>
      <c r="H34" s="267">
        <v>0</v>
      </c>
    </row>
    <row r="35" spans="2:13" ht="15.9" customHeight="1">
      <c r="B35" s="524" t="s">
        <v>726</v>
      </c>
      <c r="C35" s="1568" t="s">
        <v>348</v>
      </c>
      <c r="D35" s="530" t="s">
        <v>727</v>
      </c>
      <c r="E35" s="267">
        <v>0</v>
      </c>
      <c r="F35" s="267">
        <v>0</v>
      </c>
      <c r="G35" s="267">
        <v>0</v>
      </c>
      <c r="H35" s="267">
        <v>0</v>
      </c>
    </row>
    <row r="36" spans="2:13" ht="15.9" customHeight="1">
      <c r="B36" s="524"/>
      <c r="C36" s="1568"/>
      <c r="D36" s="530" t="s">
        <v>728</v>
      </c>
      <c r="E36" s="267">
        <v>1</v>
      </c>
      <c r="F36" s="267">
        <v>1</v>
      </c>
      <c r="G36" s="267">
        <v>0</v>
      </c>
      <c r="H36" s="267">
        <v>0</v>
      </c>
    </row>
    <row r="37" spans="2:13" ht="15.9" customHeight="1">
      <c r="B37" s="524" t="s">
        <v>729</v>
      </c>
      <c r="C37" s="1568"/>
      <c r="D37" s="530" t="s">
        <v>730</v>
      </c>
      <c r="E37" s="267">
        <v>0</v>
      </c>
      <c r="F37" s="267">
        <v>0</v>
      </c>
      <c r="G37" s="267">
        <v>0</v>
      </c>
      <c r="H37" s="267">
        <v>0</v>
      </c>
    </row>
    <row r="38" spans="2:13" ht="15.9" customHeight="1">
      <c r="B38" s="524"/>
      <c r="C38" s="527" t="s">
        <v>731</v>
      </c>
      <c r="D38" s="530"/>
      <c r="E38" s="267">
        <v>2</v>
      </c>
      <c r="F38" s="267">
        <v>2</v>
      </c>
      <c r="G38" s="267">
        <v>0</v>
      </c>
      <c r="H38" s="267">
        <v>0</v>
      </c>
      <c r="J38" s="1572"/>
      <c r="K38" s="1573"/>
      <c r="L38" s="1573"/>
      <c r="M38" s="1573"/>
    </row>
    <row r="39" spans="2:13" ht="15.9" customHeight="1">
      <c r="B39" s="524" t="s">
        <v>732</v>
      </c>
      <c r="C39" s="527" t="s">
        <v>733</v>
      </c>
      <c r="D39" s="530"/>
      <c r="E39" s="267">
        <v>0</v>
      </c>
      <c r="F39" s="267">
        <v>0</v>
      </c>
      <c r="G39" s="267">
        <v>0</v>
      </c>
      <c r="H39" s="267">
        <v>0</v>
      </c>
      <c r="J39" s="1573"/>
      <c r="K39" s="1573"/>
      <c r="L39" s="1573"/>
      <c r="M39" s="1573"/>
    </row>
    <row r="40" spans="2:13" ht="15.9" customHeight="1">
      <c r="B40" s="524"/>
      <c r="C40" s="527" t="s">
        <v>734</v>
      </c>
      <c r="D40" s="530"/>
      <c r="E40" s="267">
        <v>2</v>
      </c>
      <c r="F40" s="267">
        <v>0</v>
      </c>
      <c r="G40" s="267">
        <v>2</v>
      </c>
      <c r="H40" s="267">
        <v>1</v>
      </c>
    </row>
    <row r="41" spans="2:13" ht="15.9" customHeight="1">
      <c r="B41" s="524"/>
      <c r="C41" s="532" t="s">
        <v>725</v>
      </c>
      <c r="D41" s="505"/>
      <c r="E41" s="262">
        <v>1</v>
      </c>
      <c r="F41" s="262">
        <v>1</v>
      </c>
      <c r="G41" s="262">
        <v>0</v>
      </c>
      <c r="H41" s="262">
        <v>0</v>
      </c>
    </row>
    <row r="42" spans="2:13" ht="15.9" customHeight="1" thickBot="1">
      <c r="B42" s="546"/>
      <c r="C42" s="777" t="s">
        <v>293</v>
      </c>
      <c r="D42" s="505"/>
      <c r="E42" s="262">
        <f>SUM(E33:E41)</f>
        <v>12</v>
      </c>
      <c r="F42" s="262">
        <f>SUM(F33:F41)</f>
        <v>4</v>
      </c>
      <c r="G42" s="262">
        <f>SUM(G33:G41)</f>
        <v>8</v>
      </c>
      <c r="H42" s="262">
        <f>SUM(H33:H41)</f>
        <v>4</v>
      </c>
    </row>
    <row r="43" spans="2:13" ht="15.9" customHeight="1" thickBot="1">
      <c r="B43" s="1569" t="s">
        <v>659</v>
      </c>
      <c r="C43" s="1570"/>
      <c r="D43" s="1571"/>
      <c r="E43" s="282">
        <v>130</v>
      </c>
      <c r="F43" s="282">
        <v>0</v>
      </c>
      <c r="G43" s="282">
        <v>143</v>
      </c>
      <c r="H43" s="282">
        <v>7</v>
      </c>
    </row>
    <row r="44" spans="2:13" ht="15.9" customHeight="1" thickBot="1">
      <c r="B44" s="553"/>
      <c r="C44" s="778" t="s">
        <v>293</v>
      </c>
      <c r="D44" s="562"/>
      <c r="E44" s="281">
        <f>E32+E42+E43</f>
        <v>7849</v>
      </c>
      <c r="F44" s="281">
        <f>F32+F42+F43</f>
        <v>43</v>
      </c>
      <c r="G44" s="281">
        <f>G32+G42+G43</f>
        <v>8916</v>
      </c>
      <c r="H44" s="281">
        <f>H32+H42+H43</f>
        <v>937</v>
      </c>
    </row>
    <row r="45" spans="2:13" ht="2.4" customHeight="1">
      <c r="B45" s="500"/>
      <c r="C45" s="500"/>
      <c r="D45" s="500"/>
      <c r="E45" s="766"/>
      <c r="F45" s="766"/>
      <c r="G45" s="766"/>
    </row>
    <row r="46" spans="2:13" s="680" customFormat="1" ht="14.25" customHeight="1">
      <c r="B46" s="1933" t="s">
        <v>968</v>
      </c>
      <c r="C46" s="1933"/>
      <c r="D46" s="1933"/>
      <c r="E46" s="1933"/>
      <c r="F46" s="1933"/>
      <c r="G46" s="1933"/>
      <c r="H46" s="1933"/>
    </row>
    <row r="47" spans="2:13" s="680" customFormat="1" ht="15">
      <c r="B47" s="1972" t="s">
        <v>916</v>
      </c>
      <c r="C47" s="1972"/>
      <c r="D47" s="1972"/>
      <c r="E47" s="1972"/>
      <c r="F47" s="1972"/>
      <c r="G47" s="1972"/>
      <c r="H47" s="1972"/>
    </row>
  </sheetData>
  <mergeCells count="7">
    <mergeCell ref="B47:H47"/>
    <mergeCell ref="B2:I2"/>
    <mergeCell ref="C26:C30"/>
    <mergeCell ref="C35:C37"/>
    <mergeCell ref="B43:D43"/>
    <mergeCell ref="J38:M39"/>
    <mergeCell ref="B46:H46"/>
  </mergeCells>
  <phoneticPr fontId="4"/>
  <printOptions horizontalCentered="1"/>
  <pageMargins left="0.78740157480314965" right="0.39370078740157483" top="0.98425196850393704" bottom="0.98425196850393704" header="0.31496062992125984" footer="0.51181102362204722"/>
  <pageSetup paperSize="9" orientation="portrait" r:id="rId1"/>
  <headerFooter scaleWithDoc="0" alignWithMargins="0">
    <oddFooter>&amp;C- &amp;P -</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961467-74AD-42B8-8A31-22C88DE26CD7}">
  <sheetPr>
    <pageSetUpPr fitToPage="1"/>
  </sheetPr>
  <dimension ref="A1:AA69"/>
  <sheetViews>
    <sheetView view="pageBreakPreview" zoomScaleNormal="100" zoomScaleSheetLayoutView="100" workbookViewId="0">
      <selection activeCell="L76" sqref="L76"/>
    </sheetView>
  </sheetViews>
  <sheetFormatPr defaultColWidth="9" defaultRowHeight="13.8"/>
  <cols>
    <col min="1" max="24" width="9" style="1"/>
    <col min="25" max="25" width="9" style="211"/>
    <col min="26" max="26" width="9" style="488"/>
    <col min="27" max="16384" width="9" style="1"/>
  </cols>
  <sheetData>
    <row r="1" spans="1:17" s="78" customFormat="1" ht="17.399999999999999">
      <c r="A1" s="41" t="s">
        <v>349</v>
      </c>
      <c r="B1" s="77"/>
    </row>
    <row r="2" spans="1:17" ht="15">
      <c r="A2" s="8" t="s">
        <v>350</v>
      </c>
      <c r="B2" s="8"/>
    </row>
    <row r="5" spans="1:17">
      <c r="J5" s="79"/>
      <c r="K5" s="80"/>
      <c r="L5" s="80"/>
      <c r="M5" s="80"/>
    </row>
    <row r="8" spans="1:17">
      <c r="B8" s="81"/>
      <c r="C8" s="81"/>
      <c r="D8" s="81"/>
      <c r="E8" s="81"/>
    </row>
    <row r="9" spans="1:17">
      <c r="B9" s="81"/>
      <c r="C9" s="81"/>
      <c r="D9" s="81"/>
      <c r="E9" s="81"/>
    </row>
    <row r="11" spans="1:17">
      <c r="B11" s="81"/>
      <c r="C11" s="81"/>
      <c r="D11" s="81"/>
      <c r="E11" s="81"/>
      <c r="Q11" s="210"/>
    </row>
    <row r="12" spans="1:17">
      <c r="B12" s="81"/>
      <c r="C12" s="81"/>
      <c r="D12" s="81"/>
      <c r="E12" s="81"/>
    </row>
    <row r="14" spans="1:17">
      <c r="B14" s="81"/>
      <c r="C14" s="81"/>
      <c r="D14" s="81"/>
      <c r="E14" s="81"/>
    </row>
    <row r="15" spans="1:17">
      <c r="B15" s="81"/>
      <c r="C15" s="81"/>
      <c r="D15" s="81"/>
      <c r="E15" s="81"/>
    </row>
    <row r="55" spans="1:27" ht="43.5" customHeight="1"/>
    <row r="57" spans="1:27">
      <c r="A57" s="1" t="s">
        <v>351</v>
      </c>
    </row>
    <row r="58" spans="1:27" ht="15">
      <c r="A58" s="82" t="s">
        <v>352</v>
      </c>
      <c r="B58" s="1574">
        <v>13</v>
      </c>
      <c r="C58" s="1574">
        <v>14</v>
      </c>
      <c r="D58" s="1574">
        <v>15</v>
      </c>
      <c r="E58" s="1574">
        <v>16</v>
      </c>
      <c r="F58" s="1574">
        <v>17</v>
      </c>
      <c r="G58" s="1574">
        <v>18</v>
      </c>
      <c r="H58" s="1574">
        <v>19</v>
      </c>
      <c r="I58" s="1574">
        <v>20</v>
      </c>
      <c r="J58" s="1574">
        <v>21</v>
      </c>
      <c r="K58" s="1574">
        <v>22</v>
      </c>
      <c r="L58" s="1574">
        <v>23</v>
      </c>
      <c r="M58" s="1574">
        <v>24</v>
      </c>
      <c r="N58" s="1574">
        <v>25</v>
      </c>
      <c r="O58" s="1574">
        <v>26</v>
      </c>
      <c r="P58" s="1574">
        <v>27</v>
      </c>
      <c r="Q58" s="1574">
        <v>28</v>
      </c>
      <c r="R58" s="1574">
        <v>29</v>
      </c>
      <c r="S58" s="1576">
        <v>30</v>
      </c>
      <c r="T58" s="1576" t="s">
        <v>353</v>
      </c>
      <c r="U58" s="1574">
        <v>2</v>
      </c>
      <c r="V58" s="1574">
        <v>3</v>
      </c>
      <c r="W58" s="1574">
        <v>4</v>
      </c>
      <c r="X58" s="1574">
        <v>5</v>
      </c>
      <c r="Y58" s="1574">
        <v>6</v>
      </c>
      <c r="Z58" s="1574">
        <v>7</v>
      </c>
    </row>
    <row r="59" spans="1:27" ht="15">
      <c r="A59" s="83" t="s">
        <v>354</v>
      </c>
      <c r="B59" s="1575"/>
      <c r="C59" s="1575"/>
      <c r="D59" s="1575"/>
      <c r="E59" s="1575"/>
      <c r="F59" s="1575"/>
      <c r="G59" s="1575"/>
      <c r="H59" s="1575"/>
      <c r="I59" s="1575"/>
      <c r="J59" s="1575"/>
      <c r="K59" s="1575"/>
      <c r="L59" s="1575"/>
      <c r="M59" s="1575"/>
      <c r="N59" s="1575"/>
      <c r="O59" s="1575"/>
      <c r="P59" s="1575"/>
      <c r="Q59" s="1575"/>
      <c r="R59" s="1575"/>
      <c r="S59" s="1576"/>
      <c r="T59" s="1576"/>
      <c r="U59" s="1575"/>
      <c r="V59" s="1575"/>
      <c r="W59" s="1575"/>
      <c r="X59" s="1575"/>
      <c r="Y59" s="1575"/>
      <c r="Z59" s="1575"/>
    </row>
    <row r="60" spans="1:27" ht="15.6" thickBot="1">
      <c r="A60" s="84" t="s">
        <v>355</v>
      </c>
      <c r="B60" s="85">
        <v>101</v>
      </c>
      <c r="C60" s="86">
        <v>107</v>
      </c>
      <c r="D60" s="85">
        <v>86</v>
      </c>
      <c r="E60" s="86">
        <v>91</v>
      </c>
      <c r="F60" s="85">
        <v>80</v>
      </c>
      <c r="G60" s="87">
        <v>75</v>
      </c>
      <c r="H60" s="88">
        <v>73</v>
      </c>
      <c r="I60" s="88">
        <v>61</v>
      </c>
      <c r="J60" s="85">
        <v>64</v>
      </c>
      <c r="K60" s="89">
        <v>62</v>
      </c>
      <c r="L60" s="90">
        <v>65</v>
      </c>
      <c r="M60" s="76">
        <v>51</v>
      </c>
      <c r="N60" s="90">
        <v>49</v>
      </c>
      <c r="O60" s="90">
        <v>51</v>
      </c>
      <c r="P60" s="90">
        <v>51</v>
      </c>
      <c r="Q60" s="90">
        <v>49</v>
      </c>
      <c r="R60" s="90">
        <v>44</v>
      </c>
      <c r="S60" s="91">
        <v>44</v>
      </c>
      <c r="T60" s="90">
        <v>34</v>
      </c>
      <c r="U60" s="90">
        <v>37</v>
      </c>
      <c r="V60" s="90">
        <f>SUM(V61:V63)</f>
        <v>43</v>
      </c>
      <c r="W60" s="90">
        <v>40</v>
      </c>
      <c r="X60" s="90">
        <v>40</v>
      </c>
      <c r="Y60" s="90">
        <f>SUM(Y61:Y63)</f>
        <v>43</v>
      </c>
      <c r="Z60" s="90">
        <f>SUM(Z61:Z63)</f>
        <v>43</v>
      </c>
      <c r="AA60" s="55" t="s">
        <v>191</v>
      </c>
    </row>
    <row r="61" spans="1:27" ht="15">
      <c r="A61" s="92" t="s">
        <v>356</v>
      </c>
      <c r="B61" s="93">
        <v>27</v>
      </c>
      <c r="C61" s="94">
        <v>39</v>
      </c>
      <c r="D61" s="93">
        <v>28</v>
      </c>
      <c r="E61" s="94">
        <v>27</v>
      </c>
      <c r="F61" s="93">
        <v>30</v>
      </c>
      <c r="G61" s="95">
        <v>22</v>
      </c>
      <c r="H61" s="96">
        <v>30</v>
      </c>
      <c r="I61" s="96">
        <v>25</v>
      </c>
      <c r="J61" s="97">
        <v>35</v>
      </c>
      <c r="K61" s="98">
        <v>23</v>
      </c>
      <c r="L61" s="99">
        <v>18</v>
      </c>
      <c r="M61" s="2">
        <v>19</v>
      </c>
      <c r="N61" s="99">
        <v>21</v>
      </c>
      <c r="O61" s="99">
        <v>30</v>
      </c>
      <c r="P61" s="99">
        <v>21</v>
      </c>
      <c r="Q61" s="99">
        <v>23</v>
      </c>
      <c r="R61" s="99">
        <v>20</v>
      </c>
      <c r="S61" s="100">
        <v>15</v>
      </c>
      <c r="T61" s="99">
        <v>25</v>
      </c>
      <c r="U61" s="101">
        <v>14</v>
      </c>
      <c r="V61" s="101">
        <v>21</v>
      </c>
      <c r="W61" s="101">
        <v>17</v>
      </c>
      <c r="X61" s="101">
        <v>21</v>
      </c>
      <c r="Y61" s="101">
        <v>21</v>
      </c>
      <c r="Z61" s="101">
        <v>14</v>
      </c>
      <c r="AA61" s="102" t="s">
        <v>356</v>
      </c>
    </row>
    <row r="62" spans="1:27" ht="15">
      <c r="A62" s="103" t="s">
        <v>357</v>
      </c>
      <c r="B62" s="85">
        <v>4</v>
      </c>
      <c r="C62" s="86">
        <v>4</v>
      </c>
      <c r="D62" s="85">
        <v>3</v>
      </c>
      <c r="E62" s="86">
        <v>5</v>
      </c>
      <c r="F62" s="85">
        <v>0</v>
      </c>
      <c r="G62" s="87">
        <v>0</v>
      </c>
      <c r="H62" s="88">
        <v>1</v>
      </c>
      <c r="I62" s="88">
        <v>0</v>
      </c>
      <c r="J62" s="104">
        <v>0</v>
      </c>
      <c r="K62" s="105">
        <v>1</v>
      </c>
      <c r="L62" s="47">
        <v>1</v>
      </c>
      <c r="M62" s="4">
        <v>1</v>
      </c>
      <c r="N62" s="47">
        <v>1</v>
      </c>
      <c r="O62" s="47">
        <v>2</v>
      </c>
      <c r="P62" s="47">
        <v>0</v>
      </c>
      <c r="Q62" s="47">
        <v>2</v>
      </c>
      <c r="R62" s="47">
        <v>0</v>
      </c>
      <c r="S62" s="106">
        <v>3</v>
      </c>
      <c r="T62" s="47">
        <v>0</v>
      </c>
      <c r="U62" s="107">
        <v>1</v>
      </c>
      <c r="V62" s="107">
        <v>0</v>
      </c>
      <c r="W62" s="107">
        <v>1</v>
      </c>
      <c r="X62" s="107">
        <v>0</v>
      </c>
      <c r="Y62" s="107">
        <v>1</v>
      </c>
      <c r="Z62" s="107">
        <v>3</v>
      </c>
      <c r="AA62" s="108" t="s">
        <v>357</v>
      </c>
    </row>
    <row r="63" spans="1:27" ht="14.4" thickBot="1">
      <c r="A63" s="109" t="s">
        <v>292</v>
      </c>
      <c r="B63" s="55">
        <v>70</v>
      </c>
      <c r="C63" s="55">
        <v>64</v>
      </c>
      <c r="D63" s="55">
        <v>55</v>
      </c>
      <c r="E63" s="55">
        <v>59</v>
      </c>
      <c r="F63" s="55">
        <v>50</v>
      </c>
      <c r="G63" s="55">
        <v>53</v>
      </c>
      <c r="H63" s="56">
        <v>42</v>
      </c>
      <c r="I63" s="56">
        <v>36</v>
      </c>
      <c r="J63" s="55">
        <v>29</v>
      </c>
      <c r="K63" s="110">
        <v>38</v>
      </c>
      <c r="L63" s="55">
        <v>46</v>
      </c>
      <c r="M63" s="56">
        <v>31</v>
      </c>
      <c r="N63" s="55">
        <v>27</v>
      </c>
      <c r="O63" s="55">
        <v>19</v>
      </c>
      <c r="P63" s="55">
        <v>30</v>
      </c>
      <c r="Q63" s="55">
        <v>24</v>
      </c>
      <c r="R63" s="55">
        <v>24</v>
      </c>
      <c r="S63" s="111">
        <v>26</v>
      </c>
      <c r="T63" s="55">
        <v>9</v>
      </c>
      <c r="U63" s="112">
        <v>22</v>
      </c>
      <c r="V63" s="112">
        <v>22</v>
      </c>
      <c r="W63" s="112">
        <v>22</v>
      </c>
      <c r="X63" s="112">
        <v>19</v>
      </c>
      <c r="Y63" s="112">
        <v>21</v>
      </c>
      <c r="Z63" s="112">
        <v>26</v>
      </c>
      <c r="AA63" s="113" t="s">
        <v>292</v>
      </c>
    </row>
    <row r="64" spans="1:27" ht="15">
      <c r="A64" s="92" t="s">
        <v>358</v>
      </c>
      <c r="B64" s="114">
        <v>41</v>
      </c>
      <c r="C64" s="115">
        <v>53</v>
      </c>
      <c r="D64" s="114">
        <v>25</v>
      </c>
      <c r="E64" s="115">
        <v>34</v>
      </c>
      <c r="F64" s="114">
        <v>27</v>
      </c>
      <c r="G64" s="116">
        <v>20</v>
      </c>
      <c r="H64" s="117">
        <v>32</v>
      </c>
      <c r="I64" s="117">
        <v>19</v>
      </c>
      <c r="J64" s="118">
        <v>25</v>
      </c>
      <c r="K64" s="119">
        <v>17</v>
      </c>
      <c r="L64" s="120">
        <v>21</v>
      </c>
      <c r="M64" s="6">
        <v>11</v>
      </c>
      <c r="N64" s="121">
        <v>16</v>
      </c>
      <c r="O64" s="121">
        <v>28</v>
      </c>
      <c r="P64" s="121">
        <v>16</v>
      </c>
      <c r="Q64" s="121">
        <v>20</v>
      </c>
      <c r="R64" s="121">
        <v>17</v>
      </c>
      <c r="S64" s="122">
        <v>15</v>
      </c>
      <c r="T64" s="121">
        <v>15</v>
      </c>
      <c r="U64" s="3">
        <v>16</v>
      </c>
      <c r="V64" s="3">
        <v>16</v>
      </c>
      <c r="W64" s="3">
        <v>12</v>
      </c>
      <c r="X64" s="3">
        <v>17</v>
      </c>
      <c r="Y64" s="3">
        <v>16</v>
      </c>
      <c r="Z64" s="3">
        <v>14</v>
      </c>
      <c r="AA64" s="102" t="s">
        <v>358</v>
      </c>
    </row>
    <row r="65" spans="1:27" ht="15">
      <c r="A65" s="103" t="s">
        <v>359</v>
      </c>
      <c r="B65" s="123">
        <v>23</v>
      </c>
      <c r="C65" s="124">
        <v>20</v>
      </c>
      <c r="D65" s="123">
        <v>25</v>
      </c>
      <c r="E65" s="124">
        <v>25</v>
      </c>
      <c r="F65" s="123">
        <v>24</v>
      </c>
      <c r="G65" s="125">
        <v>22</v>
      </c>
      <c r="H65" s="126">
        <v>18</v>
      </c>
      <c r="I65" s="126">
        <v>18</v>
      </c>
      <c r="J65" s="104">
        <v>19</v>
      </c>
      <c r="K65" s="105">
        <v>21</v>
      </c>
      <c r="L65" s="127">
        <v>14</v>
      </c>
      <c r="M65" s="4">
        <v>20</v>
      </c>
      <c r="N65" s="47">
        <v>15</v>
      </c>
      <c r="O65" s="47">
        <v>13</v>
      </c>
      <c r="P65" s="47">
        <v>19</v>
      </c>
      <c r="Q65" s="47">
        <v>8</v>
      </c>
      <c r="R65" s="47">
        <v>13</v>
      </c>
      <c r="S65" s="106">
        <v>8</v>
      </c>
      <c r="T65" s="47">
        <v>11</v>
      </c>
      <c r="U65" s="5">
        <v>12</v>
      </c>
      <c r="V65" s="5">
        <v>8</v>
      </c>
      <c r="W65" s="5">
        <v>8</v>
      </c>
      <c r="X65" s="5">
        <v>9</v>
      </c>
      <c r="Y65" s="5">
        <v>12</v>
      </c>
      <c r="Z65" s="5">
        <v>11</v>
      </c>
      <c r="AA65" s="128" t="s">
        <v>359</v>
      </c>
    </row>
    <row r="66" spans="1:27" ht="15">
      <c r="A66" s="129" t="s">
        <v>360</v>
      </c>
      <c r="B66" s="45">
        <v>19</v>
      </c>
      <c r="C66" s="130">
        <v>25</v>
      </c>
      <c r="D66" s="45">
        <v>18</v>
      </c>
      <c r="E66" s="130">
        <v>21</v>
      </c>
      <c r="F66" s="45">
        <v>18</v>
      </c>
      <c r="G66" s="131">
        <v>14</v>
      </c>
      <c r="H66" s="46">
        <v>14</v>
      </c>
      <c r="I66" s="46">
        <v>16</v>
      </c>
      <c r="J66" s="118">
        <v>7</v>
      </c>
      <c r="K66" s="119">
        <v>18</v>
      </c>
      <c r="L66" s="132">
        <v>12</v>
      </c>
      <c r="M66" s="6">
        <v>14</v>
      </c>
      <c r="N66" s="47">
        <v>9</v>
      </c>
      <c r="O66" s="47">
        <v>7</v>
      </c>
      <c r="P66" s="47">
        <v>10</v>
      </c>
      <c r="Q66" s="47">
        <v>12</v>
      </c>
      <c r="R66" s="47">
        <v>8</v>
      </c>
      <c r="S66" s="106">
        <v>11</v>
      </c>
      <c r="T66" s="47">
        <v>4</v>
      </c>
      <c r="U66" s="3">
        <v>5</v>
      </c>
      <c r="V66" s="3">
        <v>14</v>
      </c>
      <c r="W66" s="3">
        <v>8</v>
      </c>
      <c r="X66" s="3">
        <v>10</v>
      </c>
      <c r="Y66" s="3">
        <v>9</v>
      </c>
      <c r="Z66" s="3">
        <v>12</v>
      </c>
      <c r="AA66" s="133" t="s">
        <v>360</v>
      </c>
    </row>
    <row r="67" spans="1:27" ht="15">
      <c r="A67" s="134" t="s">
        <v>361</v>
      </c>
      <c r="B67" s="42">
        <v>11</v>
      </c>
      <c r="C67" s="135">
        <v>9</v>
      </c>
      <c r="D67" s="42">
        <v>9</v>
      </c>
      <c r="E67" s="135">
        <v>8</v>
      </c>
      <c r="F67" s="42">
        <v>5</v>
      </c>
      <c r="G67" s="43">
        <v>14</v>
      </c>
      <c r="H67" s="44">
        <v>8</v>
      </c>
      <c r="I67" s="44">
        <v>11</v>
      </c>
      <c r="J67" s="104">
        <v>7</v>
      </c>
      <c r="K67" s="105">
        <v>3</v>
      </c>
      <c r="L67" s="127">
        <v>6</v>
      </c>
      <c r="M67" s="4">
        <v>5</v>
      </c>
      <c r="N67" s="47">
        <v>6</v>
      </c>
      <c r="O67" s="47">
        <v>1</v>
      </c>
      <c r="P67" s="47">
        <v>3</v>
      </c>
      <c r="Q67" s="47">
        <v>3</v>
      </c>
      <c r="R67" s="47">
        <v>1</v>
      </c>
      <c r="S67" s="106">
        <v>6</v>
      </c>
      <c r="T67" s="47">
        <v>0</v>
      </c>
      <c r="U67" s="5">
        <v>1</v>
      </c>
      <c r="V67" s="5">
        <v>2</v>
      </c>
      <c r="W67" s="5">
        <v>3</v>
      </c>
      <c r="X67" s="5">
        <v>3</v>
      </c>
      <c r="Y67" s="5">
        <v>1</v>
      </c>
      <c r="Z67" s="5">
        <v>4</v>
      </c>
      <c r="AA67" s="128" t="s">
        <v>361</v>
      </c>
    </row>
    <row r="68" spans="1:27" ht="15">
      <c r="A68" s="134" t="s">
        <v>362</v>
      </c>
      <c r="B68" s="136">
        <v>7</v>
      </c>
      <c r="C68" s="136">
        <v>7</v>
      </c>
      <c r="D68" s="136">
        <v>9</v>
      </c>
      <c r="E68" s="136">
        <v>3</v>
      </c>
      <c r="F68" s="136">
        <v>6</v>
      </c>
      <c r="G68" s="136">
        <v>5</v>
      </c>
      <c r="H68" s="136">
        <v>1</v>
      </c>
      <c r="I68" s="136">
        <v>2</v>
      </c>
      <c r="J68" s="136">
        <v>6</v>
      </c>
      <c r="K68" s="136">
        <v>3</v>
      </c>
      <c r="L68" s="136">
        <v>12</v>
      </c>
      <c r="M68" s="136">
        <v>1</v>
      </c>
      <c r="N68" s="136">
        <v>5</v>
      </c>
      <c r="O68" s="136">
        <v>2</v>
      </c>
      <c r="P68" s="136">
        <v>3</v>
      </c>
      <c r="Q68" s="47">
        <v>6</v>
      </c>
      <c r="R68" s="136">
        <v>5</v>
      </c>
      <c r="S68" s="136">
        <v>4</v>
      </c>
      <c r="T68" s="47">
        <v>4</v>
      </c>
      <c r="U68" s="5">
        <v>3</v>
      </c>
      <c r="V68" s="5">
        <v>3</v>
      </c>
      <c r="W68" s="5">
        <v>9</v>
      </c>
      <c r="X68" s="5">
        <v>1</v>
      </c>
      <c r="Y68" s="5">
        <v>5</v>
      </c>
      <c r="Z68" s="5">
        <v>2</v>
      </c>
      <c r="AA68" s="128" t="s">
        <v>362</v>
      </c>
    </row>
    <row r="69" spans="1:27">
      <c r="Y69" s="211">
        <f>SUM(Y64:Y68)</f>
        <v>43</v>
      </c>
      <c r="Z69" s="488">
        <f>SUM(Z64:Z68)</f>
        <v>43</v>
      </c>
    </row>
  </sheetData>
  <mergeCells count="25">
    <mergeCell ref="G58:G59"/>
    <mergeCell ref="B58:B59"/>
    <mergeCell ref="C58:C59"/>
    <mergeCell ref="D58:D59"/>
    <mergeCell ref="E58:E59"/>
    <mergeCell ref="F58:F59"/>
    <mergeCell ref="S58:S59"/>
    <mergeCell ref="H58:H59"/>
    <mergeCell ref="I58:I59"/>
    <mergeCell ref="J58:J59"/>
    <mergeCell ref="K58:K59"/>
    <mergeCell ref="L58:L59"/>
    <mergeCell ref="M58:M59"/>
    <mergeCell ref="N58:N59"/>
    <mergeCell ref="O58:O59"/>
    <mergeCell ref="P58:P59"/>
    <mergeCell ref="Q58:Q59"/>
    <mergeCell ref="R58:R59"/>
    <mergeCell ref="Z58:Z59"/>
    <mergeCell ref="Y58:Y59"/>
    <mergeCell ref="T58:T59"/>
    <mergeCell ref="U58:U59"/>
    <mergeCell ref="V58:V59"/>
    <mergeCell ref="W58:W59"/>
    <mergeCell ref="X58:X59"/>
  </mergeCells>
  <phoneticPr fontId="4"/>
  <printOptions horizontalCentered="1"/>
  <pageMargins left="0.78740157480314965" right="0.39370078740157483" top="0.98425196850393704" bottom="0.98425196850393704" header="0.31496062992125984" footer="0.51181102362204722"/>
  <pageSetup paperSize="9" scale="95" orientation="portrait" r:id="rId1"/>
  <headerFooter scaleWithDoc="0" alignWithMargins="0">
    <oddFooter>&amp;C- &amp;P -</oddFooter>
  </headerFooter>
  <rowBreaks count="1" manualBreakCount="1">
    <brk id="55" max="8"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2B9186-FF79-43D1-A534-B9CB750803E9}">
  <sheetPr>
    <pageSetUpPr fitToPage="1"/>
  </sheetPr>
  <dimension ref="A1:AF56"/>
  <sheetViews>
    <sheetView view="pageBreakPreview" topLeftCell="A18" zoomScale="80" zoomScaleNormal="100" zoomScaleSheetLayoutView="80" workbookViewId="0">
      <selection activeCell="L76" sqref="L76"/>
    </sheetView>
  </sheetViews>
  <sheetFormatPr defaultColWidth="9" defaultRowHeight="13.8"/>
  <cols>
    <col min="1" max="1" width="1.6640625" style="497" customWidth="1"/>
    <col min="2" max="2" width="6.6640625" style="497" customWidth="1"/>
    <col min="3" max="3" width="1.6640625" style="497" customWidth="1"/>
    <col min="4" max="4" width="10.109375" style="497" customWidth="1"/>
    <col min="5" max="5" width="6.6640625" style="497" customWidth="1"/>
    <col min="6" max="16" width="6.44140625" style="497" customWidth="1"/>
    <col min="17" max="17" width="7.6640625" style="497" customWidth="1"/>
    <col min="18" max="18" width="1.33203125" style="497" customWidth="1"/>
    <col min="19" max="19" width="1.77734375" style="497" customWidth="1"/>
    <col min="20" max="32" width="5.6640625" style="497" customWidth="1"/>
    <col min="33" max="16384" width="9" style="497"/>
  </cols>
  <sheetData>
    <row r="1" spans="1:17" ht="15">
      <c r="A1" s="650" t="s">
        <v>363</v>
      </c>
      <c r="B1" s="779"/>
      <c r="C1" s="779"/>
      <c r="D1" s="779"/>
      <c r="E1" s="779"/>
      <c r="F1" s="779"/>
      <c r="G1" s="779"/>
      <c r="H1" s="779"/>
      <c r="I1" s="779"/>
      <c r="J1" s="779"/>
      <c r="K1" s="779"/>
      <c r="L1" s="779"/>
    </row>
    <row r="2" spans="1:17">
      <c r="A2" s="779"/>
      <c r="B2" s="779"/>
      <c r="C2" s="779"/>
      <c r="D2" s="779"/>
      <c r="E2" s="779"/>
      <c r="F2" s="779"/>
      <c r="G2" s="779"/>
      <c r="H2" s="779"/>
      <c r="I2" s="779"/>
      <c r="J2" s="779"/>
      <c r="K2" s="779"/>
      <c r="L2" s="779"/>
    </row>
    <row r="3" spans="1:17" ht="15.6" thickBot="1">
      <c r="A3" s="595" t="s">
        <v>364</v>
      </c>
      <c r="B3" s="779"/>
      <c r="C3" s="779"/>
      <c r="D3" s="779"/>
      <c r="E3" s="779"/>
      <c r="F3" s="779"/>
      <c r="G3" s="779"/>
      <c r="H3" s="779"/>
      <c r="I3" s="779"/>
      <c r="J3" s="779"/>
      <c r="K3" s="779"/>
      <c r="L3" s="779"/>
    </row>
    <row r="4" spans="1:17" ht="24.75" customHeight="1">
      <c r="A4" s="1420" t="s">
        <v>608</v>
      </c>
      <c r="B4" s="1509"/>
      <c r="C4" s="1509"/>
      <c r="D4" s="1421"/>
      <c r="E4" s="1621" t="s">
        <v>735</v>
      </c>
      <c r="F4" s="1549" t="s">
        <v>366</v>
      </c>
      <c r="G4" s="1549" t="s">
        <v>367</v>
      </c>
      <c r="H4" s="1549" t="s">
        <v>368</v>
      </c>
      <c r="I4" s="1549" t="s">
        <v>369</v>
      </c>
      <c r="J4" s="1549" t="s">
        <v>370</v>
      </c>
      <c r="K4" s="1549" t="s">
        <v>371</v>
      </c>
      <c r="L4" s="1549" t="s">
        <v>372</v>
      </c>
      <c r="M4" s="1549" t="s">
        <v>373</v>
      </c>
      <c r="N4" s="1579" t="s">
        <v>616</v>
      </c>
      <c r="O4" s="1579" t="s">
        <v>617</v>
      </c>
      <c r="P4" s="1579" t="s">
        <v>736</v>
      </c>
      <c r="Q4" s="1577" t="s">
        <v>737</v>
      </c>
    </row>
    <row r="5" spans="1:17" ht="21" customHeight="1" thickBot="1">
      <c r="A5" s="1498" t="s">
        <v>619</v>
      </c>
      <c r="B5" s="1301"/>
      <c r="C5" s="562"/>
      <c r="D5" s="554"/>
      <c r="E5" s="1622"/>
      <c r="F5" s="1619"/>
      <c r="G5" s="1619"/>
      <c r="H5" s="1619"/>
      <c r="I5" s="1619"/>
      <c r="J5" s="1619"/>
      <c r="K5" s="1619"/>
      <c r="L5" s="1619"/>
      <c r="M5" s="1619"/>
      <c r="N5" s="1580"/>
      <c r="O5" s="1580"/>
      <c r="P5" s="1580"/>
      <c r="Q5" s="1578"/>
    </row>
    <row r="6" spans="1:17" ht="26.25" customHeight="1">
      <c r="A6" s="1474" t="s">
        <v>738</v>
      </c>
      <c r="B6" s="1617"/>
      <c r="C6" s="1617"/>
      <c r="D6" s="1350"/>
      <c r="E6" s="283">
        <v>78</v>
      </c>
      <c r="F6" s="284">
        <v>30</v>
      </c>
      <c r="G6" s="285">
        <v>21</v>
      </c>
      <c r="H6" s="285">
        <v>23</v>
      </c>
      <c r="I6" s="285">
        <v>20</v>
      </c>
      <c r="J6" s="285">
        <v>15</v>
      </c>
      <c r="K6" s="285">
        <v>25</v>
      </c>
      <c r="L6" s="285">
        <v>14</v>
      </c>
      <c r="M6" s="284">
        <v>21</v>
      </c>
      <c r="N6" s="284">
        <v>17</v>
      </c>
      <c r="O6" s="284">
        <v>21</v>
      </c>
      <c r="P6" s="185">
        <v>21</v>
      </c>
      <c r="Q6" s="277">
        <v>14</v>
      </c>
    </row>
    <row r="7" spans="1:17" ht="26.25" customHeight="1">
      <c r="A7" s="1618" t="s">
        <v>739</v>
      </c>
      <c r="B7" s="1610"/>
      <c r="C7" s="1610"/>
      <c r="D7" s="1336"/>
      <c r="E7" s="286" t="s">
        <v>740</v>
      </c>
      <c r="F7" s="287">
        <v>1993</v>
      </c>
      <c r="G7" s="287">
        <v>2066</v>
      </c>
      <c r="H7" s="287">
        <v>2017</v>
      </c>
      <c r="I7" s="287">
        <v>1832</v>
      </c>
      <c r="J7" s="287">
        <v>1859</v>
      </c>
      <c r="K7" s="287">
        <v>1631</v>
      </c>
      <c r="L7" s="287">
        <v>1351</v>
      </c>
      <c r="M7" s="287">
        <v>1248</v>
      </c>
      <c r="N7" s="287">
        <v>1200</v>
      </c>
      <c r="O7" s="287">
        <v>1195</v>
      </c>
      <c r="P7" s="188">
        <v>1101</v>
      </c>
      <c r="Q7" s="217">
        <v>1122</v>
      </c>
    </row>
    <row r="8" spans="1:17" ht="26.25" customHeight="1">
      <c r="A8" s="625"/>
      <c r="B8" s="1610" t="s">
        <v>741</v>
      </c>
      <c r="C8" s="1610"/>
      <c r="D8" s="1620"/>
      <c r="E8" s="286" t="s">
        <v>374</v>
      </c>
      <c r="F8" s="287" t="s">
        <v>374</v>
      </c>
      <c r="G8" s="287" t="s">
        <v>374</v>
      </c>
      <c r="H8" s="287" t="s">
        <v>374</v>
      </c>
      <c r="I8" s="287" t="s">
        <v>374</v>
      </c>
      <c r="J8" s="287">
        <v>333</v>
      </c>
      <c r="K8" s="287">
        <v>300</v>
      </c>
      <c r="L8" s="287">
        <v>283</v>
      </c>
      <c r="M8" s="287">
        <v>266</v>
      </c>
      <c r="N8" s="287">
        <v>277</v>
      </c>
      <c r="O8" s="287">
        <v>281</v>
      </c>
      <c r="P8" s="188">
        <v>272</v>
      </c>
      <c r="Q8" s="217">
        <v>270</v>
      </c>
    </row>
    <row r="9" spans="1:17" ht="26.25" customHeight="1">
      <c r="A9" s="1489" t="s">
        <v>742</v>
      </c>
      <c r="B9" s="1610"/>
      <c r="C9" s="1610"/>
      <c r="D9" s="1336"/>
      <c r="E9" s="288">
        <v>280</v>
      </c>
      <c r="F9" s="287">
        <v>51</v>
      </c>
      <c r="G9" s="287">
        <v>51</v>
      </c>
      <c r="H9" s="287">
        <v>49</v>
      </c>
      <c r="I9" s="287">
        <v>44</v>
      </c>
      <c r="J9" s="287">
        <v>44</v>
      </c>
      <c r="K9" s="287">
        <v>34</v>
      </c>
      <c r="L9" s="287">
        <v>37</v>
      </c>
      <c r="M9" s="287">
        <v>43</v>
      </c>
      <c r="N9" s="287">
        <v>40</v>
      </c>
      <c r="O9" s="287">
        <v>40</v>
      </c>
      <c r="P9" s="188">
        <v>43</v>
      </c>
      <c r="Q9" s="217">
        <v>43</v>
      </c>
    </row>
    <row r="10" spans="1:17" ht="47.25" customHeight="1" thickBot="1">
      <c r="A10" s="1611" t="s">
        <v>743</v>
      </c>
      <c r="B10" s="1612"/>
      <c r="C10" s="1612"/>
      <c r="D10" s="1613"/>
      <c r="E10" s="780">
        <f>E6/E9*100</f>
        <v>27.857142857142858</v>
      </c>
      <c r="F10" s="780">
        <f t="shared" ref="F10:P10" si="0">F6/F9*100</f>
        <v>58.82352941176471</v>
      </c>
      <c r="G10" s="780">
        <f t="shared" si="0"/>
        <v>41.17647058823529</v>
      </c>
      <c r="H10" s="780">
        <f t="shared" si="0"/>
        <v>46.938775510204081</v>
      </c>
      <c r="I10" s="780">
        <f t="shared" si="0"/>
        <v>45.454545454545453</v>
      </c>
      <c r="J10" s="780">
        <f t="shared" si="0"/>
        <v>34.090909090909086</v>
      </c>
      <c r="K10" s="780">
        <f t="shared" si="0"/>
        <v>73.529411764705884</v>
      </c>
      <c r="L10" s="780">
        <f t="shared" si="0"/>
        <v>37.837837837837839</v>
      </c>
      <c r="M10" s="780">
        <f t="shared" si="0"/>
        <v>48.837209302325576</v>
      </c>
      <c r="N10" s="780">
        <f t="shared" si="0"/>
        <v>42.5</v>
      </c>
      <c r="O10" s="780">
        <f t="shared" si="0"/>
        <v>52.5</v>
      </c>
      <c r="P10" s="968">
        <f t="shared" si="0"/>
        <v>48.837209302325576</v>
      </c>
      <c r="Q10" s="781">
        <f t="shared" ref="Q10" si="1">Q6/Q9*100</f>
        <v>32.558139534883722</v>
      </c>
    </row>
    <row r="11" spans="1:17" ht="16.2" customHeight="1">
      <c r="A11" s="1898" t="s">
        <v>919</v>
      </c>
      <c r="B11" s="1898"/>
      <c r="C11" s="1899"/>
      <c r="D11" s="1899"/>
      <c r="E11" s="1899"/>
      <c r="F11" s="1899"/>
      <c r="G11" s="1899"/>
      <c r="H11" s="1899"/>
      <c r="I11" s="1899"/>
      <c r="J11" s="1899"/>
      <c r="K11" s="1899"/>
      <c r="L11" s="1899"/>
      <c r="M11" s="1899"/>
      <c r="N11" s="1899"/>
      <c r="O11" s="1899"/>
      <c r="P11" s="1899"/>
      <c r="Q11" s="1899"/>
    </row>
    <row r="12" spans="1:17" ht="16.2" customHeight="1">
      <c r="A12" s="1902" t="s">
        <v>920</v>
      </c>
      <c r="B12" s="1902"/>
      <c r="C12" s="1902"/>
      <c r="D12" s="1902"/>
      <c r="E12" s="1902"/>
      <c r="F12" s="1902"/>
      <c r="G12" s="1902"/>
      <c r="H12" s="1902"/>
      <c r="I12" s="1902"/>
      <c r="J12" s="1902"/>
      <c r="K12" s="1902"/>
      <c r="L12" s="1902"/>
      <c r="M12" s="1902"/>
      <c r="N12" s="1902"/>
      <c r="O12" s="1902"/>
      <c r="P12" s="1902"/>
      <c r="Q12" s="1902"/>
    </row>
    <row r="13" spans="1:17" ht="18" customHeight="1">
      <c r="A13" s="1899" t="s">
        <v>917</v>
      </c>
      <c r="B13" s="1899"/>
      <c r="C13" s="1899"/>
      <c r="D13" s="1899"/>
      <c r="E13" s="1899"/>
      <c r="F13" s="1899"/>
      <c r="G13" s="1899"/>
      <c r="H13" s="1899"/>
      <c r="I13" s="1899"/>
      <c r="J13" s="1899"/>
      <c r="K13" s="1899"/>
      <c r="L13" s="1899"/>
      <c r="M13" s="1899"/>
      <c r="N13" s="1899"/>
      <c r="O13" s="1899"/>
      <c r="P13" s="1899"/>
      <c r="Q13" s="1899"/>
    </row>
    <row r="14" spans="1:17" ht="18">
      <c r="A14" s="1889" t="s">
        <v>918</v>
      </c>
      <c r="B14" s="1890"/>
      <c r="C14" s="1889"/>
      <c r="D14" s="1889"/>
      <c r="E14" s="1889"/>
      <c r="F14" s="1889"/>
      <c r="G14" s="1889"/>
      <c r="H14" s="1889"/>
      <c r="I14" s="1889"/>
      <c r="J14" s="1889"/>
      <c r="K14" s="1889"/>
      <c r="L14" s="1889"/>
      <c r="M14" s="1889"/>
      <c r="N14" s="1889"/>
      <c r="O14" s="1889"/>
      <c r="P14" s="1889"/>
      <c r="Q14" s="1889"/>
    </row>
    <row r="15" spans="1:17" ht="16.2" customHeight="1">
      <c r="A15" s="779"/>
      <c r="B15" s="779"/>
      <c r="C15" s="779"/>
      <c r="D15" s="779"/>
      <c r="E15" s="779"/>
      <c r="F15" s="779"/>
      <c r="G15" s="779"/>
      <c r="H15" s="779"/>
      <c r="I15" s="779"/>
      <c r="J15" s="779"/>
      <c r="K15" s="779"/>
      <c r="L15" s="779"/>
    </row>
    <row r="16" spans="1:17" ht="15.6" thickBot="1">
      <c r="A16" s="595" t="s">
        <v>375</v>
      </c>
      <c r="P16" s="1385" t="s">
        <v>376</v>
      </c>
      <c r="Q16" s="1614"/>
    </row>
    <row r="17" spans="1:32">
      <c r="A17" s="1615" t="s">
        <v>377</v>
      </c>
      <c r="B17" s="1509"/>
      <c r="C17" s="1616"/>
      <c r="D17" s="1421"/>
      <c r="E17" s="1386">
        <v>1</v>
      </c>
      <c r="F17" s="1387">
        <v>2</v>
      </c>
      <c r="G17" s="1387">
        <v>3</v>
      </c>
      <c r="H17" s="1387">
        <v>4</v>
      </c>
      <c r="I17" s="1387">
        <v>5</v>
      </c>
      <c r="J17" s="1387">
        <v>6</v>
      </c>
      <c r="K17" s="1387">
        <v>7</v>
      </c>
      <c r="L17" s="1387">
        <v>8</v>
      </c>
      <c r="M17" s="1387">
        <v>9</v>
      </c>
      <c r="N17" s="1387">
        <v>10</v>
      </c>
      <c r="O17" s="1387">
        <v>11</v>
      </c>
      <c r="P17" s="1389">
        <v>12</v>
      </c>
      <c r="Q17" s="1435" t="s">
        <v>635</v>
      </c>
      <c r="R17" s="1606"/>
    </row>
    <row r="18" spans="1:32" ht="14.4" thickBot="1">
      <c r="A18" s="1608" t="s">
        <v>378</v>
      </c>
      <c r="B18" s="1301"/>
      <c r="C18" s="562"/>
      <c r="D18" s="500"/>
      <c r="E18" s="1310"/>
      <c r="F18" s="1533"/>
      <c r="G18" s="1533"/>
      <c r="H18" s="1533"/>
      <c r="I18" s="1533"/>
      <c r="J18" s="1533"/>
      <c r="K18" s="1533"/>
      <c r="L18" s="1533"/>
      <c r="M18" s="1533"/>
      <c r="N18" s="1533"/>
      <c r="O18" s="1533"/>
      <c r="P18" s="1605"/>
      <c r="Q18" s="1308"/>
      <c r="R18" s="1607"/>
    </row>
    <row r="19" spans="1:32">
      <c r="A19" s="1519" t="s">
        <v>379</v>
      </c>
      <c r="B19" s="1546"/>
      <c r="C19" s="1609" t="s">
        <v>380</v>
      </c>
      <c r="D19" s="1318"/>
      <c r="E19" s="319">
        <v>0</v>
      </c>
      <c r="F19" s="186">
        <v>0</v>
      </c>
      <c r="G19" s="186">
        <v>1</v>
      </c>
      <c r="H19" s="186">
        <v>0</v>
      </c>
      <c r="I19" s="186">
        <v>2</v>
      </c>
      <c r="J19" s="186">
        <v>0</v>
      </c>
      <c r="K19" s="186">
        <v>0</v>
      </c>
      <c r="L19" s="186">
        <v>0</v>
      </c>
      <c r="M19" s="186">
        <v>0</v>
      </c>
      <c r="N19" s="186">
        <v>1</v>
      </c>
      <c r="O19" s="186">
        <v>0</v>
      </c>
      <c r="P19" s="277">
        <v>0</v>
      </c>
      <c r="Q19" s="1592">
        <f t="shared" ref="Q19:Q39" si="2">SUM(E19:P19)</f>
        <v>4</v>
      </c>
      <c r="R19" s="1593"/>
      <c r="T19" s="289"/>
      <c r="U19" s="289"/>
      <c r="V19" s="289"/>
      <c r="W19" s="289"/>
      <c r="X19" s="289"/>
      <c r="Y19" s="289"/>
      <c r="Z19" s="289"/>
      <c r="AA19" s="289"/>
      <c r="AB19" s="289"/>
      <c r="AC19" s="289"/>
      <c r="AD19" s="289"/>
      <c r="AE19" s="289"/>
      <c r="AF19" s="224"/>
    </row>
    <row r="20" spans="1:32">
      <c r="A20" s="1581"/>
      <c r="B20" s="1548"/>
      <c r="C20" s="1586" t="s">
        <v>381</v>
      </c>
      <c r="D20" s="1336"/>
      <c r="E20" s="320">
        <v>33</v>
      </c>
      <c r="F20" s="189">
        <v>27</v>
      </c>
      <c r="G20" s="189">
        <v>25</v>
      </c>
      <c r="H20" s="189">
        <v>27</v>
      </c>
      <c r="I20" s="189">
        <v>23</v>
      </c>
      <c r="J20" s="189">
        <v>31</v>
      </c>
      <c r="K20" s="189">
        <v>17</v>
      </c>
      <c r="L20" s="189">
        <v>32</v>
      </c>
      <c r="M20" s="189">
        <v>27</v>
      </c>
      <c r="N20" s="189">
        <v>42</v>
      </c>
      <c r="O20" s="189">
        <v>19</v>
      </c>
      <c r="P20" s="217">
        <v>36</v>
      </c>
      <c r="Q20" s="1597">
        <f t="shared" si="2"/>
        <v>339</v>
      </c>
      <c r="R20" s="1598"/>
      <c r="T20" s="289"/>
      <c r="U20" s="289"/>
      <c r="V20" s="289"/>
      <c r="W20" s="289"/>
      <c r="X20" s="289"/>
      <c r="Y20" s="289"/>
      <c r="Z20" s="289"/>
      <c r="AA20" s="289"/>
      <c r="AB20" s="289"/>
      <c r="AC20" s="289"/>
      <c r="AD20" s="289"/>
      <c r="AE20" s="289"/>
      <c r="AF20" s="224"/>
    </row>
    <row r="21" spans="1:32">
      <c r="A21" s="1434"/>
      <c r="B21" s="1601"/>
      <c r="C21" s="782"/>
      <c r="D21" s="783" t="s">
        <v>382</v>
      </c>
      <c r="E21" s="320">
        <v>2</v>
      </c>
      <c r="F21" s="189">
        <v>3</v>
      </c>
      <c r="G21" s="189">
        <v>5</v>
      </c>
      <c r="H21" s="189">
        <v>4</v>
      </c>
      <c r="I21" s="189">
        <v>4</v>
      </c>
      <c r="J21" s="189">
        <v>6</v>
      </c>
      <c r="K21" s="189">
        <v>6</v>
      </c>
      <c r="L21" s="189">
        <v>7</v>
      </c>
      <c r="M21" s="189">
        <v>3</v>
      </c>
      <c r="N21" s="189">
        <v>5</v>
      </c>
      <c r="O21" s="189">
        <v>1</v>
      </c>
      <c r="P21" s="217">
        <v>8</v>
      </c>
      <c r="Q21" s="1599">
        <f>SUM(E21:P21)</f>
        <v>54</v>
      </c>
      <c r="R21" s="1600"/>
      <c r="T21" s="289"/>
      <c r="U21" s="289"/>
      <c r="V21" s="289"/>
      <c r="W21" s="289"/>
      <c r="X21" s="289"/>
      <c r="Y21" s="289"/>
      <c r="Z21" s="289"/>
      <c r="AA21" s="289"/>
      <c r="AB21" s="289"/>
      <c r="AC21" s="289"/>
      <c r="AD21" s="289"/>
      <c r="AE21" s="289"/>
      <c r="AF21" s="224"/>
    </row>
    <row r="22" spans="1:32">
      <c r="A22" s="1602" t="s">
        <v>383</v>
      </c>
      <c r="B22" s="1595"/>
      <c r="C22" s="1583" t="s">
        <v>384</v>
      </c>
      <c r="D22" s="1336"/>
      <c r="E22" s="320">
        <v>0</v>
      </c>
      <c r="F22" s="189">
        <v>0</v>
      </c>
      <c r="G22" s="189">
        <v>1</v>
      </c>
      <c r="H22" s="189">
        <v>0</v>
      </c>
      <c r="I22" s="189">
        <v>0</v>
      </c>
      <c r="J22" s="189">
        <v>0</v>
      </c>
      <c r="K22" s="189">
        <v>0</v>
      </c>
      <c r="L22" s="189">
        <v>0</v>
      </c>
      <c r="M22" s="189">
        <v>0</v>
      </c>
      <c r="N22" s="189">
        <v>0</v>
      </c>
      <c r="O22" s="189">
        <v>0</v>
      </c>
      <c r="P22" s="217">
        <v>0</v>
      </c>
      <c r="Q22" s="1597">
        <f t="shared" si="2"/>
        <v>1</v>
      </c>
      <c r="R22" s="1598"/>
      <c r="T22" s="224"/>
      <c r="U22" s="224"/>
      <c r="V22" s="224"/>
      <c r="W22" s="224"/>
      <c r="X22" s="224"/>
      <c r="Y22" s="224"/>
      <c r="Z22" s="224"/>
      <c r="AA22" s="224"/>
      <c r="AB22" s="224"/>
      <c r="AC22" s="224"/>
      <c r="AD22" s="224"/>
      <c r="AE22" s="224"/>
      <c r="AF22" s="224"/>
    </row>
    <row r="23" spans="1:32">
      <c r="A23" s="1603"/>
      <c r="B23" s="1548"/>
      <c r="C23" s="1586" t="s">
        <v>385</v>
      </c>
      <c r="D23" s="1338"/>
      <c r="E23" s="320">
        <v>27</v>
      </c>
      <c r="F23" s="189">
        <v>27</v>
      </c>
      <c r="G23" s="189">
        <v>24</v>
      </c>
      <c r="H23" s="189">
        <v>27</v>
      </c>
      <c r="I23" s="189">
        <v>25</v>
      </c>
      <c r="J23" s="189">
        <v>25</v>
      </c>
      <c r="K23" s="189">
        <v>23</v>
      </c>
      <c r="L23" s="189">
        <v>22</v>
      </c>
      <c r="M23" s="189">
        <v>14</v>
      </c>
      <c r="N23" s="189">
        <v>20</v>
      </c>
      <c r="O23" s="189">
        <v>19</v>
      </c>
      <c r="P23" s="217">
        <v>34</v>
      </c>
      <c r="Q23" s="1597">
        <f t="shared" si="2"/>
        <v>287</v>
      </c>
      <c r="R23" s="1598"/>
    </row>
    <row r="24" spans="1:32">
      <c r="A24" s="1604"/>
      <c r="B24" s="1601"/>
      <c r="C24" s="784"/>
      <c r="D24" s="794" t="s">
        <v>382</v>
      </c>
      <c r="E24" s="320">
        <v>6</v>
      </c>
      <c r="F24" s="189">
        <v>3</v>
      </c>
      <c r="G24" s="189">
        <v>4</v>
      </c>
      <c r="H24" s="189">
        <v>6</v>
      </c>
      <c r="I24" s="189">
        <v>2</v>
      </c>
      <c r="J24" s="189">
        <v>7</v>
      </c>
      <c r="K24" s="189">
        <v>4</v>
      </c>
      <c r="L24" s="189">
        <v>6</v>
      </c>
      <c r="M24" s="189">
        <v>2</v>
      </c>
      <c r="N24" s="189">
        <v>4</v>
      </c>
      <c r="O24" s="189">
        <v>3</v>
      </c>
      <c r="P24" s="217">
        <v>5</v>
      </c>
      <c r="Q24" s="1599">
        <f t="shared" si="2"/>
        <v>52</v>
      </c>
      <c r="R24" s="1600"/>
      <c r="T24" s="289"/>
      <c r="U24" s="289"/>
      <c r="V24" s="289"/>
      <c r="W24" s="289"/>
      <c r="X24" s="289"/>
      <c r="Y24" s="289"/>
      <c r="Z24" s="289"/>
      <c r="AA24" s="289"/>
      <c r="AB24" s="289"/>
      <c r="AC24" s="289"/>
      <c r="AD24" s="289"/>
      <c r="AE24" s="289"/>
      <c r="AF24" s="224"/>
    </row>
    <row r="25" spans="1:32">
      <c r="A25" s="1594" t="s">
        <v>386</v>
      </c>
      <c r="B25" s="1595"/>
      <c r="C25" s="1583" t="s">
        <v>384</v>
      </c>
      <c r="D25" s="1336"/>
      <c r="E25" s="320">
        <v>0</v>
      </c>
      <c r="F25" s="189">
        <v>0</v>
      </c>
      <c r="G25" s="189">
        <v>0</v>
      </c>
      <c r="H25" s="189">
        <v>0</v>
      </c>
      <c r="I25" s="189">
        <v>0</v>
      </c>
      <c r="J25" s="189">
        <v>0</v>
      </c>
      <c r="K25" s="189">
        <v>0</v>
      </c>
      <c r="L25" s="189">
        <v>1</v>
      </c>
      <c r="M25" s="189">
        <v>1</v>
      </c>
      <c r="N25" s="189">
        <v>0</v>
      </c>
      <c r="O25" s="189">
        <v>1</v>
      </c>
      <c r="P25" s="217">
        <v>0</v>
      </c>
      <c r="Q25" s="1597">
        <f t="shared" si="2"/>
        <v>3</v>
      </c>
      <c r="R25" s="1598"/>
      <c r="T25" s="289"/>
      <c r="U25" s="289"/>
      <c r="V25" s="289"/>
      <c r="W25" s="289"/>
      <c r="X25" s="289"/>
      <c r="Y25" s="289"/>
      <c r="Z25" s="289"/>
      <c r="AA25" s="289"/>
      <c r="AB25" s="289"/>
      <c r="AC25" s="289"/>
      <c r="AD25" s="289"/>
      <c r="AE25" s="289"/>
      <c r="AF25" s="224"/>
    </row>
    <row r="26" spans="1:32">
      <c r="A26" s="1581"/>
      <c r="B26" s="1548"/>
      <c r="C26" s="1586" t="s">
        <v>385</v>
      </c>
      <c r="D26" s="1338"/>
      <c r="E26" s="320">
        <v>17</v>
      </c>
      <c r="F26" s="189">
        <v>27</v>
      </c>
      <c r="G26" s="189">
        <v>22</v>
      </c>
      <c r="H26" s="189">
        <v>28</v>
      </c>
      <c r="I26" s="189">
        <v>22</v>
      </c>
      <c r="J26" s="189">
        <v>11</v>
      </c>
      <c r="K26" s="189">
        <v>23</v>
      </c>
      <c r="L26" s="189">
        <v>18</v>
      </c>
      <c r="M26" s="189">
        <v>17</v>
      </c>
      <c r="N26" s="189">
        <v>22</v>
      </c>
      <c r="O26" s="189">
        <v>17</v>
      </c>
      <c r="P26" s="217">
        <v>23</v>
      </c>
      <c r="Q26" s="1597">
        <f t="shared" si="2"/>
        <v>247</v>
      </c>
      <c r="R26" s="1598"/>
      <c r="T26" s="289"/>
      <c r="U26" s="289"/>
      <c r="V26" s="289"/>
      <c r="W26" s="289"/>
      <c r="X26" s="289"/>
      <c r="Y26" s="289"/>
      <c r="Z26" s="289"/>
      <c r="AA26" s="289"/>
      <c r="AB26" s="289"/>
      <c r="AC26" s="289"/>
      <c r="AD26" s="289"/>
      <c r="AE26" s="289"/>
      <c r="AF26" s="224"/>
    </row>
    <row r="27" spans="1:32">
      <c r="A27" s="1434"/>
      <c r="B27" s="1601"/>
      <c r="C27" s="784"/>
      <c r="D27" s="794" t="s">
        <v>382</v>
      </c>
      <c r="E27" s="320">
        <v>4</v>
      </c>
      <c r="F27" s="189">
        <v>6</v>
      </c>
      <c r="G27" s="189">
        <v>5</v>
      </c>
      <c r="H27" s="189">
        <v>8</v>
      </c>
      <c r="I27" s="189">
        <v>8</v>
      </c>
      <c r="J27" s="189">
        <v>3</v>
      </c>
      <c r="K27" s="189">
        <v>4</v>
      </c>
      <c r="L27" s="189">
        <v>5</v>
      </c>
      <c r="M27" s="189">
        <v>3</v>
      </c>
      <c r="N27" s="189">
        <v>8</v>
      </c>
      <c r="O27" s="189">
        <v>9</v>
      </c>
      <c r="P27" s="217">
        <v>11</v>
      </c>
      <c r="Q27" s="1599">
        <f>SUM(E27:P27)</f>
        <v>74</v>
      </c>
      <c r="R27" s="1600"/>
      <c r="T27" s="289"/>
      <c r="U27" s="289"/>
      <c r="V27" s="289"/>
      <c r="W27" s="289"/>
      <c r="X27" s="289"/>
      <c r="Y27" s="289"/>
      <c r="Z27" s="289"/>
      <c r="AA27" s="289"/>
      <c r="AB27" s="289"/>
      <c r="AC27" s="289"/>
      <c r="AD27" s="289"/>
      <c r="AE27" s="289"/>
      <c r="AF27" s="224"/>
    </row>
    <row r="28" spans="1:32">
      <c r="A28" s="1594" t="s">
        <v>387</v>
      </c>
      <c r="B28" s="1595"/>
      <c r="C28" s="1583" t="s">
        <v>384</v>
      </c>
      <c r="D28" s="1336"/>
      <c r="E28" s="320">
        <v>1</v>
      </c>
      <c r="F28" s="189">
        <v>0</v>
      </c>
      <c r="G28" s="189">
        <v>0</v>
      </c>
      <c r="H28" s="189">
        <v>0</v>
      </c>
      <c r="I28" s="189">
        <v>0</v>
      </c>
      <c r="J28" s="189">
        <v>0</v>
      </c>
      <c r="K28" s="189">
        <v>0</v>
      </c>
      <c r="L28" s="189">
        <v>0</v>
      </c>
      <c r="M28" s="189">
        <v>0</v>
      </c>
      <c r="N28" s="189">
        <v>0</v>
      </c>
      <c r="O28" s="189">
        <v>1</v>
      </c>
      <c r="P28" s="217">
        <v>0</v>
      </c>
      <c r="Q28" s="1597">
        <f t="shared" si="2"/>
        <v>2</v>
      </c>
      <c r="R28" s="1598"/>
      <c r="T28" s="224"/>
      <c r="U28" s="224"/>
      <c r="V28" s="224"/>
      <c r="W28" s="224"/>
      <c r="X28" s="224"/>
      <c r="Y28" s="224"/>
      <c r="Z28" s="224"/>
      <c r="AA28" s="224"/>
      <c r="AB28" s="224"/>
      <c r="AC28" s="224"/>
      <c r="AD28" s="224"/>
      <c r="AE28" s="224"/>
      <c r="AF28" s="224"/>
    </row>
    <row r="29" spans="1:32">
      <c r="A29" s="1581"/>
      <c r="B29" s="1548"/>
      <c r="C29" s="1586" t="s">
        <v>385</v>
      </c>
      <c r="D29" s="1338"/>
      <c r="E29" s="320">
        <v>13</v>
      </c>
      <c r="F29" s="189">
        <v>11</v>
      </c>
      <c r="G29" s="189">
        <v>8</v>
      </c>
      <c r="H29" s="189">
        <v>14</v>
      </c>
      <c r="I29" s="189">
        <v>11</v>
      </c>
      <c r="J29" s="189">
        <v>17</v>
      </c>
      <c r="K29" s="189">
        <v>13</v>
      </c>
      <c r="L29" s="189">
        <v>19</v>
      </c>
      <c r="M29" s="189">
        <v>16</v>
      </c>
      <c r="N29" s="189">
        <v>10</v>
      </c>
      <c r="O29" s="189">
        <v>10</v>
      </c>
      <c r="P29" s="217">
        <v>20</v>
      </c>
      <c r="Q29" s="1597">
        <f t="shared" si="2"/>
        <v>162</v>
      </c>
      <c r="R29" s="1598"/>
    </row>
    <row r="30" spans="1:32">
      <c r="A30" s="1434"/>
      <c r="B30" s="1601"/>
      <c r="C30" s="784"/>
      <c r="D30" s="794" t="s">
        <v>382</v>
      </c>
      <c r="E30" s="320">
        <v>3</v>
      </c>
      <c r="F30" s="189">
        <v>1</v>
      </c>
      <c r="G30" s="189">
        <v>3</v>
      </c>
      <c r="H30" s="189">
        <v>4</v>
      </c>
      <c r="I30" s="189">
        <v>3</v>
      </c>
      <c r="J30" s="189">
        <v>6</v>
      </c>
      <c r="K30" s="189">
        <v>5</v>
      </c>
      <c r="L30" s="189">
        <v>4</v>
      </c>
      <c r="M30" s="189">
        <v>6</v>
      </c>
      <c r="N30" s="189">
        <v>6</v>
      </c>
      <c r="O30" s="189">
        <v>4</v>
      </c>
      <c r="P30" s="217">
        <v>11</v>
      </c>
      <c r="Q30" s="1599">
        <f t="shared" si="2"/>
        <v>56</v>
      </c>
      <c r="R30" s="1600"/>
      <c r="T30" s="289"/>
      <c r="U30" s="289"/>
      <c r="V30" s="289"/>
      <c r="W30" s="289"/>
      <c r="X30" s="289"/>
      <c r="Y30" s="289"/>
      <c r="Z30" s="289"/>
      <c r="AA30" s="289"/>
      <c r="AB30" s="289"/>
      <c r="AC30" s="289"/>
      <c r="AD30" s="289"/>
      <c r="AE30" s="289"/>
      <c r="AF30" s="224"/>
    </row>
    <row r="31" spans="1:32">
      <c r="A31" s="1594" t="s">
        <v>388</v>
      </c>
      <c r="B31" s="1595"/>
      <c r="C31" s="1583" t="s">
        <v>384</v>
      </c>
      <c r="D31" s="1336"/>
      <c r="E31" s="320">
        <v>0</v>
      </c>
      <c r="F31" s="189">
        <v>0</v>
      </c>
      <c r="G31" s="189">
        <v>1</v>
      </c>
      <c r="H31" s="189">
        <v>0</v>
      </c>
      <c r="I31" s="189">
        <v>0</v>
      </c>
      <c r="J31" s="189">
        <v>0</v>
      </c>
      <c r="K31" s="189">
        <v>1</v>
      </c>
      <c r="L31" s="189">
        <v>0</v>
      </c>
      <c r="M31" s="189">
        <v>0</v>
      </c>
      <c r="N31" s="189">
        <v>1</v>
      </c>
      <c r="O31" s="189">
        <v>1</v>
      </c>
      <c r="P31" s="217">
        <v>0</v>
      </c>
      <c r="Q31" s="1597">
        <f t="shared" si="2"/>
        <v>4</v>
      </c>
      <c r="R31" s="1598"/>
    </row>
    <row r="32" spans="1:32">
      <c r="A32" s="1581"/>
      <c r="B32" s="1548"/>
      <c r="C32" s="1586" t="s">
        <v>385</v>
      </c>
      <c r="D32" s="1338"/>
      <c r="E32" s="318">
        <v>6</v>
      </c>
      <c r="F32" s="214">
        <v>7</v>
      </c>
      <c r="G32" s="214">
        <v>6</v>
      </c>
      <c r="H32" s="214">
        <v>11</v>
      </c>
      <c r="I32" s="214">
        <v>6</v>
      </c>
      <c r="J32" s="214">
        <v>6</v>
      </c>
      <c r="K32" s="214">
        <v>7</v>
      </c>
      <c r="L32" s="214">
        <v>7</v>
      </c>
      <c r="M32" s="214">
        <v>7</v>
      </c>
      <c r="N32" s="214">
        <v>6</v>
      </c>
      <c r="O32" s="214">
        <v>6</v>
      </c>
      <c r="P32" s="221">
        <v>12</v>
      </c>
      <c r="Q32" s="1587">
        <f t="shared" si="2"/>
        <v>87</v>
      </c>
      <c r="R32" s="1588"/>
    </row>
    <row r="33" spans="1:32" ht="14.4" thickBot="1">
      <c r="A33" s="1293"/>
      <c r="B33" s="1596"/>
      <c r="C33" s="784"/>
      <c r="D33" s="523" t="s">
        <v>382</v>
      </c>
      <c r="E33" s="181">
        <v>1</v>
      </c>
      <c r="F33" s="222">
        <v>0</v>
      </c>
      <c r="G33" s="222">
        <v>2</v>
      </c>
      <c r="H33" s="222">
        <v>4</v>
      </c>
      <c r="I33" s="222">
        <v>4</v>
      </c>
      <c r="J33" s="222">
        <v>3</v>
      </c>
      <c r="K33" s="222">
        <v>3</v>
      </c>
      <c r="L33" s="222">
        <v>2</v>
      </c>
      <c r="M33" s="222">
        <v>4</v>
      </c>
      <c r="N33" s="222">
        <v>4</v>
      </c>
      <c r="O33" s="222">
        <v>2</v>
      </c>
      <c r="P33" s="223">
        <v>5</v>
      </c>
      <c r="Q33" s="1599">
        <f>SUM(E33:P33)</f>
        <v>34</v>
      </c>
      <c r="R33" s="1600"/>
      <c r="T33" s="289"/>
      <c r="U33" s="289"/>
      <c r="V33" s="289"/>
      <c r="W33" s="289"/>
      <c r="X33" s="289"/>
      <c r="Y33" s="289"/>
      <c r="Z33" s="289"/>
      <c r="AA33" s="289"/>
      <c r="AB33" s="289"/>
      <c r="AC33" s="289"/>
      <c r="AD33" s="289"/>
      <c r="AE33" s="289"/>
      <c r="AF33" s="224"/>
    </row>
    <row r="34" spans="1:32" ht="14.25" customHeight="1">
      <c r="A34" s="1519" t="s">
        <v>293</v>
      </c>
      <c r="B34" s="1318"/>
      <c r="C34" s="1591" t="s">
        <v>384</v>
      </c>
      <c r="D34" s="1350"/>
      <c r="E34" s="319">
        <f t="shared" ref="E34:P36" si="3">E19+E22+E25+E28+E31</f>
        <v>1</v>
      </c>
      <c r="F34" s="186">
        <f t="shared" si="3"/>
        <v>0</v>
      </c>
      <c r="G34" s="186">
        <f t="shared" si="3"/>
        <v>3</v>
      </c>
      <c r="H34" s="186">
        <f t="shared" si="3"/>
        <v>0</v>
      </c>
      <c r="I34" s="186">
        <f t="shared" si="3"/>
        <v>2</v>
      </c>
      <c r="J34" s="186">
        <f t="shared" si="3"/>
        <v>0</v>
      </c>
      <c r="K34" s="186">
        <f t="shared" si="3"/>
        <v>1</v>
      </c>
      <c r="L34" s="186">
        <f t="shared" si="3"/>
        <v>1</v>
      </c>
      <c r="M34" s="186">
        <f t="shared" si="3"/>
        <v>1</v>
      </c>
      <c r="N34" s="186">
        <f t="shared" si="3"/>
        <v>2</v>
      </c>
      <c r="O34" s="186">
        <f t="shared" si="3"/>
        <v>3</v>
      </c>
      <c r="P34" s="277">
        <f t="shared" si="3"/>
        <v>0</v>
      </c>
      <c r="Q34" s="1592">
        <f>SUM(E34:P34)</f>
        <v>14</v>
      </c>
      <c r="R34" s="1593"/>
    </row>
    <row r="35" spans="1:32" ht="14.25" customHeight="1">
      <c r="A35" s="1292"/>
      <c r="B35" s="1320"/>
      <c r="C35" s="1586" t="s">
        <v>385</v>
      </c>
      <c r="D35" s="1338"/>
      <c r="E35" s="318">
        <f t="shared" si="3"/>
        <v>96</v>
      </c>
      <c r="F35" s="214">
        <f t="shared" si="3"/>
        <v>99</v>
      </c>
      <c r="G35" s="214">
        <f t="shared" si="3"/>
        <v>85</v>
      </c>
      <c r="H35" s="214">
        <f t="shared" si="3"/>
        <v>107</v>
      </c>
      <c r="I35" s="214">
        <f t="shared" si="3"/>
        <v>87</v>
      </c>
      <c r="J35" s="214">
        <f t="shared" si="3"/>
        <v>90</v>
      </c>
      <c r="K35" s="214">
        <f t="shared" si="3"/>
        <v>83</v>
      </c>
      <c r="L35" s="214">
        <f t="shared" si="3"/>
        <v>98</v>
      </c>
      <c r="M35" s="214">
        <f t="shared" si="3"/>
        <v>81</v>
      </c>
      <c r="N35" s="214">
        <f t="shared" si="3"/>
        <v>100</v>
      </c>
      <c r="O35" s="214">
        <f t="shared" si="3"/>
        <v>71</v>
      </c>
      <c r="P35" s="221">
        <f t="shared" si="3"/>
        <v>125</v>
      </c>
      <c r="Q35" s="1587">
        <f t="shared" si="2"/>
        <v>1122</v>
      </c>
      <c r="R35" s="1588"/>
    </row>
    <row r="36" spans="1:32" ht="14.4" thickBot="1">
      <c r="A36" s="1293"/>
      <c r="B36" s="1582"/>
      <c r="C36" s="785"/>
      <c r="D36" s="523" t="s">
        <v>382</v>
      </c>
      <c r="E36" s="181">
        <f t="shared" si="3"/>
        <v>16</v>
      </c>
      <c r="F36" s="222">
        <f t="shared" si="3"/>
        <v>13</v>
      </c>
      <c r="G36" s="222">
        <f t="shared" si="3"/>
        <v>19</v>
      </c>
      <c r="H36" s="222">
        <f t="shared" si="3"/>
        <v>26</v>
      </c>
      <c r="I36" s="222">
        <f t="shared" si="3"/>
        <v>21</v>
      </c>
      <c r="J36" s="222">
        <f t="shared" si="3"/>
        <v>25</v>
      </c>
      <c r="K36" s="222">
        <f t="shared" si="3"/>
        <v>22</v>
      </c>
      <c r="L36" s="222">
        <f t="shared" si="3"/>
        <v>24</v>
      </c>
      <c r="M36" s="222">
        <f t="shared" si="3"/>
        <v>18</v>
      </c>
      <c r="N36" s="222">
        <f t="shared" si="3"/>
        <v>27</v>
      </c>
      <c r="O36" s="222">
        <f t="shared" si="3"/>
        <v>19</v>
      </c>
      <c r="P36" s="223">
        <f t="shared" si="3"/>
        <v>40</v>
      </c>
      <c r="Q36" s="1589">
        <f t="shared" si="2"/>
        <v>270</v>
      </c>
      <c r="R36" s="1590"/>
      <c r="T36" s="289"/>
      <c r="U36" s="289"/>
      <c r="V36" s="289"/>
      <c r="W36" s="289"/>
      <c r="X36" s="289"/>
      <c r="Y36" s="289"/>
      <c r="Z36" s="289"/>
      <c r="AA36" s="289"/>
      <c r="AB36" s="289"/>
      <c r="AC36" s="289"/>
      <c r="AD36" s="289"/>
      <c r="AE36" s="289"/>
      <c r="AF36" s="224"/>
    </row>
    <row r="37" spans="1:32">
      <c r="A37" s="1519" t="s">
        <v>389</v>
      </c>
      <c r="B37" s="1318"/>
      <c r="C37" s="1583" t="s">
        <v>384</v>
      </c>
      <c r="D37" s="1336"/>
      <c r="E37" s="319">
        <v>3</v>
      </c>
      <c r="F37" s="186">
        <v>2</v>
      </c>
      <c r="G37" s="186">
        <v>7</v>
      </c>
      <c r="H37" s="186">
        <v>3</v>
      </c>
      <c r="I37" s="186">
        <v>8</v>
      </c>
      <c r="J37" s="186">
        <v>2</v>
      </c>
      <c r="K37" s="186">
        <v>4</v>
      </c>
      <c r="L37" s="186">
        <v>5</v>
      </c>
      <c r="M37" s="186">
        <v>2</v>
      </c>
      <c r="N37" s="186">
        <v>3</v>
      </c>
      <c r="O37" s="186">
        <v>8</v>
      </c>
      <c r="P37" s="277">
        <v>1</v>
      </c>
      <c r="Q37" s="1584">
        <f t="shared" si="2"/>
        <v>48</v>
      </c>
      <c r="R37" s="1585"/>
    </row>
    <row r="38" spans="1:32">
      <c r="A38" s="1581"/>
      <c r="B38" s="1320"/>
      <c r="C38" s="1586" t="s">
        <v>385</v>
      </c>
      <c r="D38" s="1338"/>
      <c r="E38" s="318">
        <v>331</v>
      </c>
      <c r="F38" s="214">
        <v>316</v>
      </c>
      <c r="G38" s="214">
        <v>338</v>
      </c>
      <c r="H38" s="214">
        <v>331</v>
      </c>
      <c r="I38" s="214">
        <v>282</v>
      </c>
      <c r="J38" s="214">
        <v>304</v>
      </c>
      <c r="K38" s="214">
        <v>297</v>
      </c>
      <c r="L38" s="214">
        <v>307</v>
      </c>
      <c r="M38" s="214">
        <v>289</v>
      </c>
      <c r="N38" s="214">
        <v>359</v>
      </c>
      <c r="O38" s="214">
        <v>307</v>
      </c>
      <c r="P38" s="221">
        <v>451</v>
      </c>
      <c r="Q38" s="1587">
        <f t="shared" si="2"/>
        <v>3912</v>
      </c>
      <c r="R38" s="1588"/>
    </row>
    <row r="39" spans="1:32" ht="14.4" thickBot="1">
      <c r="A39" s="1293"/>
      <c r="B39" s="1582"/>
      <c r="C39" s="785"/>
      <c r="D39" s="523" t="s">
        <v>382</v>
      </c>
      <c r="E39" s="181">
        <v>79</v>
      </c>
      <c r="F39" s="222">
        <v>68</v>
      </c>
      <c r="G39" s="222">
        <v>75</v>
      </c>
      <c r="H39" s="222">
        <v>80</v>
      </c>
      <c r="I39" s="222">
        <v>68</v>
      </c>
      <c r="J39" s="222">
        <v>75</v>
      </c>
      <c r="K39" s="222">
        <v>65</v>
      </c>
      <c r="L39" s="222">
        <v>83</v>
      </c>
      <c r="M39" s="222">
        <v>71</v>
      </c>
      <c r="N39" s="222">
        <v>86</v>
      </c>
      <c r="O39" s="222">
        <v>76</v>
      </c>
      <c r="P39" s="223">
        <v>121</v>
      </c>
      <c r="Q39" s="1589">
        <f t="shared" si="2"/>
        <v>947</v>
      </c>
      <c r="R39" s="1590"/>
      <c r="T39" s="289"/>
      <c r="U39" s="289"/>
      <c r="V39" s="289"/>
      <c r="W39" s="289"/>
      <c r="X39" s="289"/>
      <c r="Y39" s="289"/>
      <c r="Z39" s="289"/>
      <c r="AA39" s="289"/>
      <c r="AB39" s="289"/>
      <c r="AC39" s="289"/>
      <c r="AD39" s="289"/>
      <c r="AE39" s="289"/>
      <c r="AF39" s="224"/>
    </row>
    <row r="40" spans="1:32" s="1889" customFormat="1" ht="18">
      <c r="A40" s="1884" t="s">
        <v>921</v>
      </c>
      <c r="B40" s="1900"/>
      <c r="C40" s="1900"/>
      <c r="D40" s="1900"/>
      <c r="E40" s="1903"/>
      <c r="F40" s="1903"/>
      <c r="G40" s="1903"/>
      <c r="H40" s="1903"/>
      <c r="I40" s="1903"/>
      <c r="J40" s="1903"/>
      <c r="K40" s="1903"/>
      <c r="L40" s="1903"/>
      <c r="M40" s="1903"/>
      <c r="N40" s="1903"/>
      <c r="O40" s="1903"/>
      <c r="P40" s="1903"/>
      <c r="Q40" s="1904"/>
    </row>
    <row r="41" spans="1:32" s="1889" customFormat="1" ht="18">
      <c r="A41" s="1889" t="s">
        <v>916</v>
      </c>
      <c r="B41" s="1900"/>
      <c r="C41" s="1900"/>
      <c r="D41" s="1900"/>
      <c r="E41" s="1903"/>
      <c r="F41" s="1903"/>
      <c r="G41" s="1903"/>
      <c r="H41" s="1903"/>
      <c r="I41" s="1903"/>
      <c r="J41" s="1903"/>
      <c r="K41" s="1903"/>
      <c r="L41" s="1903"/>
      <c r="M41" s="1903"/>
      <c r="N41" s="1903"/>
      <c r="O41" s="1903"/>
      <c r="P41" s="1903"/>
      <c r="Q41" s="1904"/>
    </row>
    <row r="42" spans="1:32" s="1889" customFormat="1" ht="18">
      <c r="B42" s="1890"/>
    </row>
    <row r="43" spans="1:32" s="1889" customFormat="1" ht="16.8" customHeight="1">
      <c r="B43" s="1890"/>
    </row>
    <row r="44" spans="1:32" ht="20.399999999999999" customHeight="1">
      <c r="A44" s="779"/>
      <c r="B44" s="779"/>
      <c r="C44" s="786"/>
      <c r="D44" s="786"/>
      <c r="E44" s="289"/>
      <c r="F44" s="289"/>
      <c r="G44" s="289"/>
      <c r="H44" s="289"/>
      <c r="I44" s="289"/>
      <c r="J44" s="289"/>
      <c r="K44" s="289"/>
      <c r="L44" s="289"/>
      <c r="M44" s="289"/>
      <c r="N44" s="289"/>
      <c r="O44" s="289"/>
      <c r="P44" s="289"/>
      <c r="Q44" s="25"/>
    </row>
    <row r="45" spans="1:32">
      <c r="A45" s="501"/>
      <c r="B45" s="501"/>
      <c r="C45" s="779"/>
      <c r="D45" s="779"/>
      <c r="E45" s="779"/>
      <c r="F45" s="779"/>
      <c r="G45" s="779"/>
      <c r="H45" s="779"/>
      <c r="I45" s="779"/>
      <c r="J45" s="779"/>
      <c r="K45" s="779"/>
      <c r="L45" s="779"/>
    </row>
    <row r="46" spans="1:32">
      <c r="A46" s="501"/>
      <c r="B46" s="501"/>
    </row>
    <row r="47" spans="1:32">
      <c r="A47" s="501"/>
      <c r="B47" s="501"/>
    </row>
    <row r="48" spans="1:32">
      <c r="A48" s="501"/>
      <c r="B48" s="501"/>
    </row>
    <row r="49" spans="1:2">
      <c r="A49" s="501"/>
      <c r="B49" s="501"/>
    </row>
    <row r="50" spans="1:2">
      <c r="A50" s="501"/>
      <c r="B50" s="501"/>
    </row>
    <row r="51" spans="1:2">
      <c r="A51" s="501"/>
      <c r="B51" s="501"/>
    </row>
    <row r="52" spans="1:2">
      <c r="A52" s="501"/>
      <c r="B52" s="501"/>
    </row>
    <row r="53" spans="1:2">
      <c r="A53" s="501"/>
      <c r="B53" s="501"/>
    </row>
    <row r="54" spans="1:2">
      <c r="A54" s="501"/>
    </row>
    <row r="55" spans="1:2">
      <c r="A55" s="501"/>
    </row>
    <row r="56" spans="1:2">
      <c r="A56" s="501"/>
    </row>
  </sheetData>
  <mergeCells count="81">
    <mergeCell ref="B8:D8"/>
    <mergeCell ref="H4:H5"/>
    <mergeCell ref="I4:I5"/>
    <mergeCell ref="J4:J5"/>
    <mergeCell ref="K4:K5"/>
    <mergeCell ref="A4:D4"/>
    <mergeCell ref="E4:E5"/>
    <mergeCell ref="F4:F5"/>
    <mergeCell ref="G4:G5"/>
    <mergeCell ref="N4:N5"/>
    <mergeCell ref="O4:O5"/>
    <mergeCell ref="A5:B5"/>
    <mergeCell ref="A6:D6"/>
    <mergeCell ref="A7:D7"/>
    <mergeCell ref="L4:L5"/>
    <mergeCell ref="M4:M5"/>
    <mergeCell ref="A17:D17"/>
    <mergeCell ref="E17:E18"/>
    <mergeCell ref="F17:F18"/>
    <mergeCell ref="G17:G18"/>
    <mergeCell ref="H17:H18"/>
    <mergeCell ref="A9:D9"/>
    <mergeCell ref="A10:D10"/>
    <mergeCell ref="A11:Q11"/>
    <mergeCell ref="A13:Q13"/>
    <mergeCell ref="P16:Q16"/>
    <mergeCell ref="A12:Q12"/>
    <mergeCell ref="O17:O18"/>
    <mergeCell ref="P17:P18"/>
    <mergeCell ref="Q17:R18"/>
    <mergeCell ref="A18:B18"/>
    <mergeCell ref="A19:B21"/>
    <mergeCell ref="C19:D19"/>
    <mergeCell ref="Q19:R19"/>
    <mergeCell ref="C20:D20"/>
    <mergeCell ref="Q20:R20"/>
    <mergeCell ref="Q21:R21"/>
    <mergeCell ref="I17:I18"/>
    <mergeCell ref="J17:J18"/>
    <mergeCell ref="K17:K18"/>
    <mergeCell ref="L17:L18"/>
    <mergeCell ref="M17:M18"/>
    <mergeCell ref="N17:N18"/>
    <mergeCell ref="A22:B24"/>
    <mergeCell ref="C22:D22"/>
    <mergeCell ref="Q22:R22"/>
    <mergeCell ref="C23:D23"/>
    <mergeCell ref="Q23:R23"/>
    <mergeCell ref="Q24:R24"/>
    <mergeCell ref="A25:B27"/>
    <mergeCell ref="C25:D25"/>
    <mergeCell ref="Q25:R25"/>
    <mergeCell ref="C26:D26"/>
    <mergeCell ref="Q26:R26"/>
    <mergeCell ref="Q27:R27"/>
    <mergeCell ref="Q31:R31"/>
    <mergeCell ref="C32:D32"/>
    <mergeCell ref="Q32:R32"/>
    <mergeCell ref="Q33:R33"/>
    <mergeCell ref="A28:B30"/>
    <mergeCell ref="C28:D28"/>
    <mergeCell ref="Q28:R28"/>
    <mergeCell ref="C29:D29"/>
    <mergeCell ref="Q29:R29"/>
    <mergeCell ref="Q30:R30"/>
    <mergeCell ref="Q4:Q5"/>
    <mergeCell ref="P4:P5"/>
    <mergeCell ref="A37:B39"/>
    <mergeCell ref="C37:D37"/>
    <mergeCell ref="Q37:R37"/>
    <mergeCell ref="C38:D38"/>
    <mergeCell ref="Q38:R38"/>
    <mergeCell ref="Q39:R39"/>
    <mergeCell ref="A34:B36"/>
    <mergeCell ref="C34:D34"/>
    <mergeCell ref="Q34:R34"/>
    <mergeCell ref="C35:D35"/>
    <mergeCell ref="Q35:R35"/>
    <mergeCell ref="Q36:R36"/>
    <mergeCell ref="A31:B33"/>
    <mergeCell ref="C31:D31"/>
  </mergeCells>
  <phoneticPr fontId="4"/>
  <printOptions horizontalCentered="1"/>
  <pageMargins left="0.78740157480314965" right="0.39370078740157483" top="0.98425196850393704" bottom="0.98425196850393704" header="0.31496062992125984" footer="0.51181102362204722"/>
  <pageSetup paperSize="9" scale="81" orientation="portrait" r:id="rId1"/>
  <headerFooter scaleWithDoc="0" alignWithMargins="0">
    <oddFooter>&amp;C- &amp;P -</oddFooter>
  </headerFooter>
  <ignoredErrors>
    <ignoredError sqref="P10" evalError="1"/>
  </ignoredError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30BEEF-27EE-4CC1-BD35-8D144EB04F85}">
  <sheetPr>
    <pageSetUpPr fitToPage="1"/>
  </sheetPr>
  <dimension ref="A1:S34"/>
  <sheetViews>
    <sheetView view="pageBreakPreview" topLeftCell="A14" zoomScale="80" zoomScaleNormal="100" zoomScaleSheetLayoutView="80" workbookViewId="0">
      <selection activeCell="L76" sqref="L76"/>
    </sheetView>
  </sheetViews>
  <sheetFormatPr defaultColWidth="9" defaultRowHeight="13.8"/>
  <cols>
    <col min="1" max="1" width="7" style="497" customWidth="1"/>
    <col min="2" max="2" width="6" style="497" customWidth="1"/>
    <col min="3" max="3" width="7.44140625" style="497" customWidth="1"/>
    <col min="4" max="4" width="8.5546875" style="497" customWidth="1"/>
    <col min="5" max="5" width="6" style="497" customWidth="1"/>
    <col min="6" max="6" width="7.44140625" style="497" customWidth="1"/>
    <col min="7" max="7" width="8.5546875" style="497" customWidth="1"/>
    <col min="8" max="8" width="6" style="497" customWidth="1"/>
    <col min="9" max="9" width="7.44140625" style="497" customWidth="1"/>
    <col min="10" max="10" width="8.5546875" style="497" customWidth="1"/>
    <col min="11" max="11" width="6" style="497" customWidth="1"/>
    <col min="12" max="12" width="7.44140625" style="497" customWidth="1"/>
    <col min="13" max="13" width="8.5546875" style="497" customWidth="1"/>
    <col min="14" max="14" width="6" style="497" customWidth="1"/>
    <col min="15" max="15" width="7.44140625" style="497" customWidth="1"/>
    <col min="16" max="16" width="8.5546875" style="497" customWidth="1"/>
    <col min="17" max="17" width="6" style="497" customWidth="1"/>
    <col min="18" max="18" width="7.44140625" style="497" customWidth="1"/>
    <col min="19" max="19" width="8.5546875" style="497" customWidth="1"/>
    <col min="20" max="16384" width="9" style="497"/>
  </cols>
  <sheetData>
    <row r="1" spans="1:19" ht="15">
      <c r="A1" s="650" t="s">
        <v>390</v>
      </c>
    </row>
    <row r="2" spans="1:19" ht="14.4" thickBot="1">
      <c r="Q2" s="1385" t="s">
        <v>376</v>
      </c>
      <c r="R2" s="1385"/>
      <c r="S2" s="1627"/>
    </row>
    <row r="3" spans="1:19">
      <c r="A3" s="789" t="s">
        <v>391</v>
      </c>
      <c r="B3" s="1628" t="s">
        <v>744</v>
      </c>
      <c r="C3" s="1629"/>
      <c r="D3" s="1630"/>
      <c r="E3" s="1633" t="s">
        <v>745</v>
      </c>
      <c r="F3" s="1634"/>
      <c r="G3" s="1634"/>
      <c r="H3" s="1634"/>
      <c r="I3" s="1634"/>
      <c r="J3" s="1634"/>
      <c r="K3" s="1634"/>
      <c r="L3" s="1634"/>
      <c r="M3" s="1634"/>
      <c r="N3" s="1634"/>
      <c r="O3" s="1634"/>
      <c r="P3" s="1634"/>
      <c r="Q3" s="1634"/>
      <c r="R3" s="1634"/>
      <c r="S3" s="1635"/>
    </row>
    <row r="4" spans="1:19" ht="27" customHeight="1">
      <c r="A4" s="790"/>
      <c r="B4" s="1631"/>
      <c r="C4" s="1373"/>
      <c r="D4" s="1632"/>
      <c r="E4" s="1631" t="s">
        <v>746</v>
      </c>
      <c r="F4" s="1373"/>
      <c r="G4" s="1632"/>
      <c r="H4" s="1631" t="s">
        <v>747</v>
      </c>
      <c r="I4" s="1373"/>
      <c r="J4" s="1632"/>
      <c r="K4" s="1636" t="s">
        <v>748</v>
      </c>
      <c r="L4" s="1373"/>
      <c r="M4" s="1632"/>
      <c r="N4" s="1637" t="s">
        <v>392</v>
      </c>
      <c r="O4" s="1638"/>
      <c r="P4" s="1632"/>
      <c r="Q4" s="1631" t="s">
        <v>659</v>
      </c>
      <c r="R4" s="1373"/>
      <c r="S4" s="1639"/>
    </row>
    <row r="5" spans="1:19" ht="5.25" customHeight="1">
      <c r="A5" s="1623" t="s">
        <v>393</v>
      </c>
      <c r="B5" s="1326" t="s">
        <v>394</v>
      </c>
      <c r="C5" s="1325" t="s">
        <v>395</v>
      </c>
      <c r="D5" s="791"/>
      <c r="E5" s="1326" t="s">
        <v>394</v>
      </c>
      <c r="F5" s="1325" t="s">
        <v>395</v>
      </c>
      <c r="G5" s="791"/>
      <c r="H5" s="1326" t="s">
        <v>394</v>
      </c>
      <c r="I5" s="1325" t="s">
        <v>395</v>
      </c>
      <c r="J5" s="791"/>
      <c r="K5" s="1326" t="s">
        <v>394</v>
      </c>
      <c r="L5" s="1325" t="s">
        <v>395</v>
      </c>
      <c r="M5" s="791"/>
      <c r="N5" s="1326" t="s">
        <v>394</v>
      </c>
      <c r="O5" s="1325" t="s">
        <v>395</v>
      </c>
      <c r="P5" s="791"/>
      <c r="Q5" s="1326" t="s">
        <v>394</v>
      </c>
      <c r="R5" s="1325" t="s">
        <v>395</v>
      </c>
      <c r="S5" s="791"/>
    </row>
    <row r="6" spans="1:19" ht="14.4" thickBot="1">
      <c r="A6" s="1624"/>
      <c r="B6" s="1625"/>
      <c r="C6" s="1626"/>
      <c r="D6" s="792" t="s">
        <v>396</v>
      </c>
      <c r="E6" s="1625"/>
      <c r="F6" s="1626"/>
      <c r="G6" s="792" t="s">
        <v>396</v>
      </c>
      <c r="H6" s="1625"/>
      <c r="I6" s="1626"/>
      <c r="J6" s="792" t="s">
        <v>396</v>
      </c>
      <c r="K6" s="1625"/>
      <c r="L6" s="1626"/>
      <c r="M6" s="792" t="s">
        <v>396</v>
      </c>
      <c r="N6" s="1625"/>
      <c r="O6" s="1626"/>
      <c r="P6" s="792" t="s">
        <v>396</v>
      </c>
      <c r="Q6" s="1625"/>
      <c r="R6" s="1626"/>
      <c r="S6" s="792" t="s">
        <v>396</v>
      </c>
    </row>
    <row r="7" spans="1:19" ht="20.100000000000001" customHeight="1">
      <c r="A7" s="793" t="s">
        <v>576</v>
      </c>
      <c r="B7" s="198">
        <f t="shared" ref="B7:D30" si="0">E7+H7+K7+N7+Q7</f>
        <v>1</v>
      </c>
      <c r="C7" s="11">
        <f t="shared" si="0"/>
        <v>74</v>
      </c>
      <c r="D7" s="12">
        <f t="shared" si="0"/>
        <v>13</v>
      </c>
      <c r="E7" s="199">
        <v>0</v>
      </c>
      <c r="F7" s="11">
        <v>13</v>
      </c>
      <c r="G7" s="12">
        <v>5</v>
      </c>
      <c r="H7" s="198">
        <v>0</v>
      </c>
      <c r="I7" s="11">
        <v>26</v>
      </c>
      <c r="J7" s="12">
        <v>4</v>
      </c>
      <c r="K7" s="199">
        <v>1</v>
      </c>
      <c r="L7" s="11">
        <v>3</v>
      </c>
      <c r="M7" s="12">
        <v>0</v>
      </c>
      <c r="N7" s="198">
        <v>0</v>
      </c>
      <c r="O7" s="11">
        <v>32</v>
      </c>
      <c r="P7" s="12">
        <v>4</v>
      </c>
      <c r="Q7" s="199">
        <v>0</v>
      </c>
      <c r="R7" s="11">
        <v>0</v>
      </c>
      <c r="S7" s="12">
        <v>0</v>
      </c>
    </row>
    <row r="8" spans="1:19" ht="20.100000000000001" customHeight="1">
      <c r="A8" s="787" t="s">
        <v>577</v>
      </c>
      <c r="B8" s="36">
        <f t="shared" si="0"/>
        <v>0</v>
      </c>
      <c r="C8" s="21">
        <f t="shared" si="0"/>
        <v>33</v>
      </c>
      <c r="D8" s="22">
        <f t="shared" si="0"/>
        <v>10</v>
      </c>
      <c r="E8" s="200">
        <v>0</v>
      </c>
      <c r="F8" s="21">
        <v>7</v>
      </c>
      <c r="G8" s="22">
        <v>4</v>
      </c>
      <c r="H8" s="36">
        <v>0</v>
      </c>
      <c r="I8" s="21">
        <v>16</v>
      </c>
      <c r="J8" s="22">
        <v>6</v>
      </c>
      <c r="K8" s="200">
        <v>0</v>
      </c>
      <c r="L8" s="21">
        <v>2</v>
      </c>
      <c r="M8" s="22">
        <v>0</v>
      </c>
      <c r="N8" s="36">
        <v>0</v>
      </c>
      <c r="O8" s="21">
        <v>7</v>
      </c>
      <c r="P8" s="22">
        <v>0</v>
      </c>
      <c r="Q8" s="200">
        <v>0</v>
      </c>
      <c r="R8" s="21">
        <v>1</v>
      </c>
      <c r="S8" s="22">
        <v>0</v>
      </c>
    </row>
    <row r="9" spans="1:19" ht="20.100000000000001" customHeight="1">
      <c r="A9" s="787" t="s">
        <v>578</v>
      </c>
      <c r="B9" s="36">
        <f t="shared" si="0"/>
        <v>1</v>
      </c>
      <c r="C9" s="21">
        <f t="shared" si="0"/>
        <v>30</v>
      </c>
      <c r="D9" s="22">
        <f t="shared" si="0"/>
        <v>7</v>
      </c>
      <c r="E9" s="200">
        <v>0</v>
      </c>
      <c r="F9" s="21">
        <v>6</v>
      </c>
      <c r="G9" s="22">
        <v>2</v>
      </c>
      <c r="H9" s="36">
        <v>1</v>
      </c>
      <c r="I9" s="21">
        <v>10</v>
      </c>
      <c r="J9" s="22">
        <v>3</v>
      </c>
      <c r="K9" s="200">
        <v>0</v>
      </c>
      <c r="L9" s="21">
        <v>2</v>
      </c>
      <c r="M9" s="22">
        <v>2</v>
      </c>
      <c r="N9" s="36">
        <v>0</v>
      </c>
      <c r="O9" s="21">
        <v>12</v>
      </c>
      <c r="P9" s="22">
        <v>0</v>
      </c>
      <c r="Q9" s="200">
        <v>0</v>
      </c>
      <c r="R9" s="21">
        <v>0</v>
      </c>
      <c r="S9" s="22">
        <v>0</v>
      </c>
    </row>
    <row r="10" spans="1:19" ht="20.100000000000001" customHeight="1">
      <c r="A10" s="787" t="s">
        <v>580</v>
      </c>
      <c r="B10" s="36">
        <f t="shared" si="0"/>
        <v>0</v>
      </c>
      <c r="C10" s="21">
        <f t="shared" si="0"/>
        <v>13</v>
      </c>
      <c r="D10" s="22">
        <f t="shared" si="0"/>
        <v>4</v>
      </c>
      <c r="E10" s="200">
        <v>0</v>
      </c>
      <c r="F10" s="21">
        <v>1</v>
      </c>
      <c r="G10" s="22">
        <v>0</v>
      </c>
      <c r="H10" s="36">
        <v>0</v>
      </c>
      <c r="I10" s="21">
        <v>7</v>
      </c>
      <c r="J10" s="22">
        <v>4</v>
      </c>
      <c r="K10" s="200">
        <v>0</v>
      </c>
      <c r="L10" s="21">
        <v>0</v>
      </c>
      <c r="M10" s="22">
        <v>0</v>
      </c>
      <c r="N10" s="36">
        <v>0</v>
      </c>
      <c r="O10" s="21">
        <v>5</v>
      </c>
      <c r="P10" s="22">
        <v>0</v>
      </c>
      <c r="Q10" s="200">
        <v>0</v>
      </c>
      <c r="R10" s="21">
        <v>0</v>
      </c>
      <c r="S10" s="22">
        <v>0</v>
      </c>
    </row>
    <row r="11" spans="1:19" ht="20.100000000000001" customHeight="1">
      <c r="A11" s="787" t="s">
        <v>581</v>
      </c>
      <c r="B11" s="36">
        <f t="shared" si="0"/>
        <v>0</v>
      </c>
      <c r="C11" s="21">
        <f t="shared" si="0"/>
        <v>77</v>
      </c>
      <c r="D11" s="22">
        <f t="shared" si="0"/>
        <v>13</v>
      </c>
      <c r="E11" s="200">
        <v>0</v>
      </c>
      <c r="F11" s="21">
        <v>16</v>
      </c>
      <c r="G11" s="22">
        <v>7</v>
      </c>
      <c r="H11" s="36">
        <v>0</v>
      </c>
      <c r="I11" s="21">
        <v>19</v>
      </c>
      <c r="J11" s="22">
        <v>3</v>
      </c>
      <c r="K11" s="200">
        <v>0</v>
      </c>
      <c r="L11" s="21">
        <v>5</v>
      </c>
      <c r="M11" s="22">
        <v>1</v>
      </c>
      <c r="N11" s="36">
        <v>0</v>
      </c>
      <c r="O11" s="21">
        <v>36</v>
      </c>
      <c r="P11" s="22">
        <v>2</v>
      </c>
      <c r="Q11" s="200">
        <v>0</v>
      </c>
      <c r="R11" s="21">
        <v>1</v>
      </c>
      <c r="S11" s="22">
        <v>0</v>
      </c>
    </row>
    <row r="12" spans="1:19" ht="20.100000000000001" customHeight="1">
      <c r="A12" s="787" t="s">
        <v>582</v>
      </c>
      <c r="B12" s="36">
        <f t="shared" si="0"/>
        <v>1</v>
      </c>
      <c r="C12" s="21">
        <f t="shared" si="0"/>
        <v>27</v>
      </c>
      <c r="D12" s="22">
        <f t="shared" si="0"/>
        <v>6</v>
      </c>
      <c r="E12" s="200">
        <v>1</v>
      </c>
      <c r="F12" s="21">
        <v>4</v>
      </c>
      <c r="G12" s="22">
        <v>2</v>
      </c>
      <c r="H12" s="36">
        <v>0</v>
      </c>
      <c r="I12" s="21">
        <v>7</v>
      </c>
      <c r="J12" s="22">
        <v>2</v>
      </c>
      <c r="K12" s="200">
        <v>0</v>
      </c>
      <c r="L12" s="21">
        <v>3</v>
      </c>
      <c r="M12" s="22">
        <v>0</v>
      </c>
      <c r="N12" s="36">
        <v>0</v>
      </c>
      <c r="O12" s="21">
        <v>13</v>
      </c>
      <c r="P12" s="22">
        <v>2</v>
      </c>
      <c r="Q12" s="200">
        <v>0</v>
      </c>
      <c r="R12" s="21">
        <v>0</v>
      </c>
      <c r="S12" s="22">
        <v>0</v>
      </c>
    </row>
    <row r="13" spans="1:19" ht="20.100000000000001" customHeight="1">
      <c r="A13" s="787" t="s">
        <v>583</v>
      </c>
      <c r="B13" s="36">
        <f t="shared" si="0"/>
        <v>0</v>
      </c>
      <c r="C13" s="21">
        <f t="shared" si="0"/>
        <v>30</v>
      </c>
      <c r="D13" s="22">
        <f t="shared" si="0"/>
        <v>8</v>
      </c>
      <c r="E13" s="200">
        <v>0</v>
      </c>
      <c r="F13" s="21">
        <v>4</v>
      </c>
      <c r="G13" s="22">
        <v>1</v>
      </c>
      <c r="H13" s="36">
        <v>0</v>
      </c>
      <c r="I13" s="21">
        <v>18</v>
      </c>
      <c r="J13" s="22">
        <v>7</v>
      </c>
      <c r="K13" s="200">
        <v>0</v>
      </c>
      <c r="L13" s="21">
        <v>2</v>
      </c>
      <c r="M13" s="22">
        <v>0</v>
      </c>
      <c r="N13" s="36">
        <v>0</v>
      </c>
      <c r="O13" s="21">
        <v>6</v>
      </c>
      <c r="P13" s="22">
        <v>0</v>
      </c>
      <c r="Q13" s="200">
        <v>0</v>
      </c>
      <c r="R13" s="21">
        <v>0</v>
      </c>
      <c r="S13" s="22">
        <v>0</v>
      </c>
    </row>
    <row r="14" spans="1:19" ht="20.100000000000001" customHeight="1">
      <c r="A14" s="787" t="s">
        <v>584</v>
      </c>
      <c r="B14" s="36">
        <f t="shared" si="0"/>
        <v>0</v>
      </c>
      <c r="C14" s="21">
        <f t="shared" si="0"/>
        <v>33</v>
      </c>
      <c r="D14" s="22">
        <f t="shared" si="0"/>
        <v>11</v>
      </c>
      <c r="E14" s="200">
        <v>0</v>
      </c>
      <c r="F14" s="21">
        <v>8</v>
      </c>
      <c r="G14" s="22">
        <v>6</v>
      </c>
      <c r="H14" s="36">
        <v>0</v>
      </c>
      <c r="I14" s="21">
        <v>16</v>
      </c>
      <c r="J14" s="22">
        <v>5</v>
      </c>
      <c r="K14" s="200">
        <v>0</v>
      </c>
      <c r="L14" s="21">
        <v>0</v>
      </c>
      <c r="M14" s="22">
        <v>0</v>
      </c>
      <c r="N14" s="36">
        <v>0</v>
      </c>
      <c r="O14" s="21">
        <v>9</v>
      </c>
      <c r="P14" s="22">
        <v>0</v>
      </c>
      <c r="Q14" s="200">
        <v>0</v>
      </c>
      <c r="R14" s="21">
        <v>0</v>
      </c>
      <c r="S14" s="22">
        <v>0</v>
      </c>
    </row>
    <row r="15" spans="1:19" ht="20.100000000000001" customHeight="1">
      <c r="A15" s="787" t="s">
        <v>585</v>
      </c>
      <c r="B15" s="36">
        <f t="shared" si="0"/>
        <v>0</v>
      </c>
      <c r="C15" s="21">
        <f t="shared" si="0"/>
        <v>34</v>
      </c>
      <c r="D15" s="22">
        <f t="shared" si="0"/>
        <v>4</v>
      </c>
      <c r="E15" s="200">
        <v>0</v>
      </c>
      <c r="F15" s="21">
        <v>5</v>
      </c>
      <c r="G15" s="22">
        <v>2</v>
      </c>
      <c r="H15" s="36">
        <v>0</v>
      </c>
      <c r="I15" s="21">
        <v>13</v>
      </c>
      <c r="J15" s="22">
        <v>2</v>
      </c>
      <c r="K15" s="200">
        <v>0</v>
      </c>
      <c r="L15" s="21">
        <v>1</v>
      </c>
      <c r="M15" s="22">
        <v>0</v>
      </c>
      <c r="N15" s="36">
        <v>0</v>
      </c>
      <c r="O15" s="21">
        <v>15</v>
      </c>
      <c r="P15" s="22">
        <v>0</v>
      </c>
      <c r="Q15" s="200">
        <v>0</v>
      </c>
      <c r="R15" s="21">
        <v>0</v>
      </c>
      <c r="S15" s="22">
        <v>0</v>
      </c>
    </row>
    <row r="16" spans="1:19" ht="20.100000000000001" customHeight="1">
      <c r="A16" s="787" t="s">
        <v>586</v>
      </c>
      <c r="B16" s="36">
        <f t="shared" si="0"/>
        <v>1</v>
      </c>
      <c r="C16" s="21">
        <f t="shared" si="0"/>
        <v>25</v>
      </c>
      <c r="D16" s="22">
        <f t="shared" si="0"/>
        <v>7</v>
      </c>
      <c r="E16" s="200">
        <v>1</v>
      </c>
      <c r="F16" s="21">
        <v>4</v>
      </c>
      <c r="G16" s="22">
        <v>3</v>
      </c>
      <c r="H16" s="36">
        <v>0</v>
      </c>
      <c r="I16" s="21">
        <v>9</v>
      </c>
      <c r="J16" s="22">
        <v>3</v>
      </c>
      <c r="K16" s="200">
        <v>0</v>
      </c>
      <c r="L16" s="21">
        <v>2</v>
      </c>
      <c r="M16" s="22">
        <v>1</v>
      </c>
      <c r="N16" s="36">
        <v>0</v>
      </c>
      <c r="O16" s="21">
        <v>10</v>
      </c>
      <c r="P16" s="22">
        <v>0</v>
      </c>
      <c r="Q16" s="200">
        <v>0</v>
      </c>
      <c r="R16" s="21">
        <v>0</v>
      </c>
      <c r="S16" s="22">
        <v>0</v>
      </c>
    </row>
    <row r="17" spans="1:19" ht="20.100000000000001" customHeight="1">
      <c r="A17" s="787" t="s">
        <v>749</v>
      </c>
      <c r="B17" s="36">
        <f t="shared" si="0"/>
        <v>1</v>
      </c>
      <c r="C17" s="21">
        <f t="shared" si="0"/>
        <v>35</v>
      </c>
      <c r="D17" s="22">
        <f t="shared" si="0"/>
        <v>5</v>
      </c>
      <c r="E17" s="200">
        <v>1</v>
      </c>
      <c r="F17" s="21">
        <v>9</v>
      </c>
      <c r="G17" s="22">
        <v>3</v>
      </c>
      <c r="H17" s="36">
        <v>0</v>
      </c>
      <c r="I17" s="21">
        <v>15</v>
      </c>
      <c r="J17" s="22">
        <v>1</v>
      </c>
      <c r="K17" s="200">
        <v>0</v>
      </c>
      <c r="L17" s="21">
        <v>2</v>
      </c>
      <c r="M17" s="22">
        <v>0</v>
      </c>
      <c r="N17" s="36">
        <v>0</v>
      </c>
      <c r="O17" s="21">
        <v>9</v>
      </c>
      <c r="P17" s="22">
        <v>1</v>
      </c>
      <c r="Q17" s="200">
        <v>0</v>
      </c>
      <c r="R17" s="21">
        <v>0</v>
      </c>
      <c r="S17" s="22">
        <v>0</v>
      </c>
    </row>
    <row r="18" spans="1:19" ht="20.100000000000001" customHeight="1">
      <c r="A18" s="787" t="s">
        <v>588</v>
      </c>
      <c r="B18" s="36">
        <f t="shared" si="0"/>
        <v>1</v>
      </c>
      <c r="C18" s="21">
        <f t="shared" si="0"/>
        <v>75</v>
      </c>
      <c r="D18" s="22">
        <f t="shared" si="0"/>
        <v>12</v>
      </c>
      <c r="E18" s="200">
        <v>1</v>
      </c>
      <c r="F18" s="21">
        <v>11</v>
      </c>
      <c r="G18" s="22">
        <v>3</v>
      </c>
      <c r="H18" s="36">
        <v>0</v>
      </c>
      <c r="I18" s="21">
        <v>34</v>
      </c>
      <c r="J18" s="22">
        <v>5</v>
      </c>
      <c r="K18" s="200">
        <v>0</v>
      </c>
      <c r="L18" s="21">
        <v>7</v>
      </c>
      <c r="M18" s="22">
        <v>2</v>
      </c>
      <c r="N18" s="36">
        <v>0</v>
      </c>
      <c r="O18" s="21">
        <v>23</v>
      </c>
      <c r="P18" s="22">
        <v>2</v>
      </c>
      <c r="Q18" s="200">
        <v>0</v>
      </c>
      <c r="R18" s="21">
        <v>0</v>
      </c>
      <c r="S18" s="22">
        <v>0</v>
      </c>
    </row>
    <row r="19" spans="1:19" ht="20.100000000000001" customHeight="1">
      <c r="A19" s="787" t="s">
        <v>750</v>
      </c>
      <c r="B19" s="36">
        <f t="shared" si="0"/>
        <v>0</v>
      </c>
      <c r="C19" s="21">
        <f t="shared" si="0"/>
        <v>90</v>
      </c>
      <c r="D19" s="22">
        <f t="shared" si="0"/>
        <v>26</v>
      </c>
      <c r="E19" s="200">
        <v>0</v>
      </c>
      <c r="F19" s="21">
        <v>15</v>
      </c>
      <c r="G19" s="22">
        <v>9</v>
      </c>
      <c r="H19" s="36">
        <v>0</v>
      </c>
      <c r="I19" s="21">
        <v>51</v>
      </c>
      <c r="J19" s="22">
        <v>17</v>
      </c>
      <c r="K19" s="200">
        <v>0</v>
      </c>
      <c r="L19" s="21">
        <v>6</v>
      </c>
      <c r="M19" s="22">
        <v>0</v>
      </c>
      <c r="N19" s="36">
        <v>0</v>
      </c>
      <c r="O19" s="21">
        <v>18</v>
      </c>
      <c r="P19" s="22">
        <v>0</v>
      </c>
      <c r="Q19" s="200">
        <v>0</v>
      </c>
      <c r="R19" s="21">
        <v>0</v>
      </c>
      <c r="S19" s="22">
        <v>0</v>
      </c>
    </row>
    <row r="20" spans="1:19" ht="20.100000000000001" customHeight="1">
      <c r="A20" s="787" t="s">
        <v>590</v>
      </c>
      <c r="B20" s="36">
        <f t="shared" si="0"/>
        <v>1</v>
      </c>
      <c r="C20" s="21">
        <f t="shared" si="0"/>
        <v>33</v>
      </c>
      <c r="D20" s="22">
        <f t="shared" si="0"/>
        <v>4</v>
      </c>
      <c r="E20" s="200">
        <v>0</v>
      </c>
      <c r="F20" s="21">
        <v>9</v>
      </c>
      <c r="G20" s="22">
        <v>4</v>
      </c>
      <c r="H20" s="36">
        <v>1</v>
      </c>
      <c r="I20" s="21">
        <v>16</v>
      </c>
      <c r="J20" s="22">
        <v>0</v>
      </c>
      <c r="K20" s="200">
        <v>0</v>
      </c>
      <c r="L20" s="21">
        <v>1</v>
      </c>
      <c r="M20" s="22">
        <v>0</v>
      </c>
      <c r="N20" s="36">
        <v>0</v>
      </c>
      <c r="O20" s="21">
        <v>7</v>
      </c>
      <c r="P20" s="22">
        <v>0</v>
      </c>
      <c r="Q20" s="200">
        <v>0</v>
      </c>
      <c r="R20" s="21">
        <v>0</v>
      </c>
      <c r="S20" s="22">
        <v>0</v>
      </c>
    </row>
    <row r="21" spans="1:19" ht="20.100000000000001" customHeight="1">
      <c r="A21" s="787" t="s">
        <v>591</v>
      </c>
      <c r="B21" s="36">
        <f t="shared" si="0"/>
        <v>1</v>
      </c>
      <c r="C21" s="21">
        <f t="shared" si="0"/>
        <v>35</v>
      </c>
      <c r="D21" s="22">
        <f t="shared" si="0"/>
        <v>18</v>
      </c>
      <c r="E21" s="200">
        <v>0</v>
      </c>
      <c r="F21" s="21">
        <v>9</v>
      </c>
      <c r="G21" s="22">
        <v>3</v>
      </c>
      <c r="H21" s="36">
        <v>0</v>
      </c>
      <c r="I21" s="21">
        <v>16</v>
      </c>
      <c r="J21" s="22">
        <v>12</v>
      </c>
      <c r="K21" s="200">
        <v>0</v>
      </c>
      <c r="L21" s="21">
        <v>5</v>
      </c>
      <c r="M21" s="22">
        <v>3</v>
      </c>
      <c r="N21" s="36">
        <v>1</v>
      </c>
      <c r="O21" s="21">
        <v>5</v>
      </c>
      <c r="P21" s="22">
        <v>0</v>
      </c>
      <c r="Q21" s="200">
        <v>0</v>
      </c>
      <c r="R21" s="21">
        <v>0</v>
      </c>
      <c r="S21" s="22">
        <v>0</v>
      </c>
    </row>
    <row r="22" spans="1:19" ht="20.100000000000001" customHeight="1">
      <c r="A22" s="787" t="s">
        <v>592</v>
      </c>
      <c r="B22" s="36">
        <f t="shared" si="0"/>
        <v>1</v>
      </c>
      <c r="C22" s="21">
        <f t="shared" si="0"/>
        <v>30</v>
      </c>
      <c r="D22" s="22">
        <f t="shared" si="0"/>
        <v>7</v>
      </c>
      <c r="E22" s="200">
        <v>1</v>
      </c>
      <c r="F22" s="21">
        <v>4</v>
      </c>
      <c r="G22" s="22">
        <v>2</v>
      </c>
      <c r="H22" s="36">
        <v>0</v>
      </c>
      <c r="I22" s="21">
        <v>21</v>
      </c>
      <c r="J22" s="22">
        <v>4</v>
      </c>
      <c r="K22" s="200">
        <v>0</v>
      </c>
      <c r="L22" s="21">
        <v>2</v>
      </c>
      <c r="M22" s="22">
        <v>1</v>
      </c>
      <c r="N22" s="36">
        <v>0</v>
      </c>
      <c r="O22" s="21">
        <v>3</v>
      </c>
      <c r="P22" s="22">
        <v>0</v>
      </c>
      <c r="Q22" s="200">
        <v>0</v>
      </c>
      <c r="R22" s="21">
        <v>0</v>
      </c>
      <c r="S22" s="22">
        <v>0</v>
      </c>
    </row>
    <row r="23" spans="1:19" ht="20.100000000000001" customHeight="1">
      <c r="A23" s="787" t="s">
        <v>593</v>
      </c>
      <c r="B23" s="36">
        <f t="shared" si="0"/>
        <v>0</v>
      </c>
      <c r="C23" s="21">
        <f t="shared" si="0"/>
        <v>57</v>
      </c>
      <c r="D23" s="22">
        <f t="shared" si="0"/>
        <v>16</v>
      </c>
      <c r="E23" s="200">
        <v>0</v>
      </c>
      <c r="F23" s="21">
        <v>12</v>
      </c>
      <c r="G23" s="22">
        <v>8</v>
      </c>
      <c r="H23" s="36">
        <v>0</v>
      </c>
      <c r="I23" s="21">
        <v>27</v>
      </c>
      <c r="J23" s="22">
        <v>7</v>
      </c>
      <c r="K23" s="200">
        <v>0</v>
      </c>
      <c r="L23" s="21">
        <v>6</v>
      </c>
      <c r="M23" s="22">
        <v>0</v>
      </c>
      <c r="N23" s="36">
        <v>0</v>
      </c>
      <c r="O23" s="21">
        <v>12</v>
      </c>
      <c r="P23" s="22">
        <v>1</v>
      </c>
      <c r="Q23" s="200">
        <v>0</v>
      </c>
      <c r="R23" s="21">
        <v>0</v>
      </c>
      <c r="S23" s="22">
        <v>0</v>
      </c>
    </row>
    <row r="24" spans="1:19" ht="20.100000000000001" customHeight="1">
      <c r="A24" s="787" t="s">
        <v>594</v>
      </c>
      <c r="B24" s="36">
        <f t="shared" si="0"/>
        <v>1</v>
      </c>
      <c r="C24" s="21">
        <f t="shared" si="0"/>
        <v>46</v>
      </c>
      <c r="D24" s="22">
        <f t="shared" si="0"/>
        <v>8</v>
      </c>
      <c r="E24" s="200">
        <v>0</v>
      </c>
      <c r="F24" s="21">
        <v>5</v>
      </c>
      <c r="G24" s="22">
        <v>0</v>
      </c>
      <c r="H24" s="36">
        <v>0</v>
      </c>
      <c r="I24" s="21">
        <v>26</v>
      </c>
      <c r="J24" s="22">
        <v>5</v>
      </c>
      <c r="K24" s="200">
        <v>1</v>
      </c>
      <c r="L24" s="21">
        <v>7</v>
      </c>
      <c r="M24" s="22">
        <v>3</v>
      </c>
      <c r="N24" s="36">
        <v>0</v>
      </c>
      <c r="O24" s="21">
        <v>8</v>
      </c>
      <c r="P24" s="22">
        <v>0</v>
      </c>
      <c r="Q24" s="200">
        <v>0</v>
      </c>
      <c r="R24" s="21">
        <v>0</v>
      </c>
      <c r="S24" s="22">
        <v>0</v>
      </c>
    </row>
    <row r="25" spans="1:19" ht="20.100000000000001" customHeight="1">
      <c r="A25" s="787" t="s">
        <v>595</v>
      </c>
      <c r="B25" s="36">
        <f t="shared" si="0"/>
        <v>0</v>
      </c>
      <c r="C25" s="21">
        <f t="shared" si="0"/>
        <v>59</v>
      </c>
      <c r="D25" s="22">
        <f t="shared" si="0"/>
        <v>12</v>
      </c>
      <c r="E25" s="200">
        <v>0</v>
      </c>
      <c r="F25" s="21">
        <v>7</v>
      </c>
      <c r="G25" s="22">
        <v>2</v>
      </c>
      <c r="H25" s="36">
        <v>0</v>
      </c>
      <c r="I25" s="21">
        <v>32</v>
      </c>
      <c r="J25" s="22">
        <v>10</v>
      </c>
      <c r="K25" s="200">
        <v>0</v>
      </c>
      <c r="L25" s="21">
        <v>4</v>
      </c>
      <c r="M25" s="22">
        <v>0</v>
      </c>
      <c r="N25" s="36">
        <v>0</v>
      </c>
      <c r="O25" s="21">
        <v>16</v>
      </c>
      <c r="P25" s="22">
        <v>0</v>
      </c>
      <c r="Q25" s="200">
        <v>0</v>
      </c>
      <c r="R25" s="21">
        <v>0</v>
      </c>
      <c r="S25" s="22">
        <v>0</v>
      </c>
    </row>
    <row r="26" spans="1:19" ht="20.100000000000001" customHeight="1">
      <c r="A26" s="787" t="s">
        <v>596</v>
      </c>
      <c r="B26" s="36">
        <f t="shared" si="0"/>
        <v>1</v>
      </c>
      <c r="C26" s="21">
        <f t="shared" si="0"/>
        <v>48</v>
      </c>
      <c r="D26" s="22">
        <f t="shared" si="0"/>
        <v>11</v>
      </c>
      <c r="E26" s="200">
        <v>0</v>
      </c>
      <c r="F26" s="21">
        <v>10</v>
      </c>
      <c r="G26" s="22">
        <v>4</v>
      </c>
      <c r="H26" s="36">
        <v>1</v>
      </c>
      <c r="I26" s="21">
        <v>15</v>
      </c>
      <c r="J26" s="22">
        <v>5</v>
      </c>
      <c r="K26" s="200">
        <v>0</v>
      </c>
      <c r="L26" s="21">
        <v>2</v>
      </c>
      <c r="M26" s="22">
        <v>2</v>
      </c>
      <c r="N26" s="36">
        <v>0</v>
      </c>
      <c r="O26" s="21">
        <v>21</v>
      </c>
      <c r="P26" s="22">
        <v>0</v>
      </c>
      <c r="Q26" s="200">
        <v>0</v>
      </c>
      <c r="R26" s="21">
        <v>0</v>
      </c>
      <c r="S26" s="22">
        <v>0</v>
      </c>
    </row>
    <row r="27" spans="1:19" ht="20.100000000000001" customHeight="1">
      <c r="A27" s="787" t="s">
        <v>597</v>
      </c>
      <c r="B27" s="36">
        <f t="shared" si="0"/>
        <v>0</v>
      </c>
      <c r="C27" s="21">
        <f t="shared" si="0"/>
        <v>66</v>
      </c>
      <c r="D27" s="22">
        <f t="shared" si="0"/>
        <v>19</v>
      </c>
      <c r="E27" s="200">
        <v>0</v>
      </c>
      <c r="F27" s="21">
        <v>11</v>
      </c>
      <c r="G27" s="22">
        <v>4</v>
      </c>
      <c r="H27" s="36">
        <v>0</v>
      </c>
      <c r="I27" s="21">
        <v>38</v>
      </c>
      <c r="J27" s="22">
        <v>12</v>
      </c>
      <c r="K27" s="200">
        <v>0</v>
      </c>
      <c r="L27" s="21">
        <v>5</v>
      </c>
      <c r="M27" s="22">
        <v>3</v>
      </c>
      <c r="N27" s="36">
        <v>0</v>
      </c>
      <c r="O27" s="21">
        <v>12</v>
      </c>
      <c r="P27" s="22">
        <v>0</v>
      </c>
      <c r="Q27" s="200">
        <v>0</v>
      </c>
      <c r="R27" s="21">
        <v>0</v>
      </c>
      <c r="S27" s="22">
        <v>0</v>
      </c>
    </row>
    <row r="28" spans="1:19" ht="20.100000000000001" customHeight="1">
      <c r="A28" s="787" t="s">
        <v>751</v>
      </c>
      <c r="B28" s="36">
        <f t="shared" si="0"/>
        <v>1</v>
      </c>
      <c r="C28" s="21">
        <f t="shared" si="0"/>
        <v>53</v>
      </c>
      <c r="D28" s="22">
        <f t="shared" si="0"/>
        <v>18</v>
      </c>
      <c r="E28" s="200">
        <v>1</v>
      </c>
      <c r="F28" s="21">
        <v>5</v>
      </c>
      <c r="G28" s="22">
        <v>4</v>
      </c>
      <c r="H28" s="36">
        <v>0</v>
      </c>
      <c r="I28" s="21">
        <v>24</v>
      </c>
      <c r="J28" s="22">
        <v>8</v>
      </c>
      <c r="K28" s="200">
        <v>0</v>
      </c>
      <c r="L28" s="21">
        <v>6</v>
      </c>
      <c r="M28" s="22">
        <v>4</v>
      </c>
      <c r="N28" s="36">
        <v>0</v>
      </c>
      <c r="O28" s="21">
        <v>18</v>
      </c>
      <c r="P28" s="22">
        <v>2</v>
      </c>
      <c r="Q28" s="200">
        <v>0</v>
      </c>
      <c r="R28" s="21">
        <v>0</v>
      </c>
      <c r="S28" s="22">
        <v>0</v>
      </c>
    </row>
    <row r="29" spans="1:19" ht="20.100000000000001" customHeight="1">
      <c r="A29" s="787" t="s">
        <v>599</v>
      </c>
      <c r="B29" s="36">
        <f t="shared" si="0"/>
        <v>2</v>
      </c>
      <c r="C29" s="21">
        <f t="shared" si="0"/>
        <v>77</v>
      </c>
      <c r="D29" s="22">
        <f t="shared" si="0"/>
        <v>25</v>
      </c>
      <c r="E29" s="200">
        <v>0</v>
      </c>
      <c r="F29" s="21">
        <v>9</v>
      </c>
      <c r="G29" s="22">
        <v>5</v>
      </c>
      <c r="H29" s="36">
        <v>1</v>
      </c>
      <c r="I29" s="21">
        <v>41</v>
      </c>
      <c r="J29" s="22">
        <v>16</v>
      </c>
      <c r="K29" s="200">
        <v>1</v>
      </c>
      <c r="L29" s="21">
        <v>7</v>
      </c>
      <c r="M29" s="22">
        <v>2</v>
      </c>
      <c r="N29" s="36">
        <v>0</v>
      </c>
      <c r="O29" s="21">
        <v>20</v>
      </c>
      <c r="P29" s="22">
        <v>2</v>
      </c>
      <c r="Q29" s="200">
        <v>0</v>
      </c>
      <c r="R29" s="21">
        <v>0</v>
      </c>
      <c r="S29" s="22">
        <v>0</v>
      </c>
    </row>
    <row r="30" spans="1:19" ht="20.100000000000001" customHeight="1" thickBot="1">
      <c r="A30" s="503" t="s">
        <v>600</v>
      </c>
      <c r="B30" s="167">
        <f t="shared" si="0"/>
        <v>0</v>
      </c>
      <c r="C30" s="40">
        <f t="shared" si="0"/>
        <v>42</v>
      </c>
      <c r="D30" s="17">
        <f t="shared" si="0"/>
        <v>6</v>
      </c>
      <c r="E30" s="1126">
        <v>0</v>
      </c>
      <c r="F30" s="16">
        <v>5</v>
      </c>
      <c r="G30" s="17">
        <v>2</v>
      </c>
      <c r="H30" s="167">
        <v>0</v>
      </c>
      <c r="I30" s="40">
        <v>21</v>
      </c>
      <c r="J30" s="17">
        <v>4</v>
      </c>
      <c r="K30" s="1126">
        <v>0</v>
      </c>
      <c r="L30" s="16">
        <v>4</v>
      </c>
      <c r="M30" s="17">
        <v>0</v>
      </c>
      <c r="N30" s="167">
        <v>0</v>
      </c>
      <c r="O30" s="40">
        <v>12</v>
      </c>
      <c r="P30" s="17">
        <v>0</v>
      </c>
      <c r="Q30" s="1126">
        <v>0</v>
      </c>
      <c r="R30" s="16">
        <v>0</v>
      </c>
      <c r="S30" s="17">
        <v>0</v>
      </c>
    </row>
    <row r="31" spans="1:19" ht="20.100000000000001" customHeight="1" thickBot="1">
      <c r="A31" s="788" t="s">
        <v>752</v>
      </c>
      <c r="B31" s="183">
        <f t="shared" ref="B31:S31" si="1">SUM(B7:B30)</f>
        <v>14</v>
      </c>
      <c r="C31" s="263">
        <f t="shared" si="1"/>
        <v>1122</v>
      </c>
      <c r="D31" s="166">
        <f t="shared" si="1"/>
        <v>270</v>
      </c>
      <c r="E31" s="184">
        <f t="shared" si="1"/>
        <v>6</v>
      </c>
      <c r="F31" s="324">
        <f t="shared" si="1"/>
        <v>189</v>
      </c>
      <c r="G31" s="166">
        <f t="shared" si="1"/>
        <v>85</v>
      </c>
      <c r="H31" s="184">
        <f t="shared" si="1"/>
        <v>4</v>
      </c>
      <c r="I31" s="324">
        <f t="shared" si="1"/>
        <v>518</v>
      </c>
      <c r="J31" s="166">
        <f t="shared" si="1"/>
        <v>145</v>
      </c>
      <c r="K31" s="58">
        <f t="shared" si="1"/>
        <v>3</v>
      </c>
      <c r="L31" s="324">
        <f t="shared" si="1"/>
        <v>84</v>
      </c>
      <c r="M31" s="166">
        <f t="shared" si="1"/>
        <v>24</v>
      </c>
      <c r="N31" s="184">
        <f t="shared" si="1"/>
        <v>1</v>
      </c>
      <c r="O31" s="324">
        <f t="shared" si="1"/>
        <v>329</v>
      </c>
      <c r="P31" s="166">
        <f t="shared" si="1"/>
        <v>16</v>
      </c>
      <c r="Q31" s="58">
        <f t="shared" si="1"/>
        <v>0</v>
      </c>
      <c r="R31" s="324">
        <f t="shared" si="1"/>
        <v>2</v>
      </c>
      <c r="S31" s="166">
        <f t="shared" si="1"/>
        <v>0</v>
      </c>
    </row>
    <row r="32" spans="1:19" ht="18">
      <c r="A32" s="1905" t="s">
        <v>922</v>
      </c>
      <c r="B32" s="501"/>
    </row>
    <row r="33" spans="1:2" ht="18">
      <c r="A33" s="1889" t="s">
        <v>916</v>
      </c>
      <c r="B33" s="779"/>
    </row>
    <row r="34" spans="1:2">
      <c r="A34" s="746"/>
    </row>
  </sheetData>
  <mergeCells count="21">
    <mergeCell ref="H5:H6"/>
    <mergeCell ref="Q2:S2"/>
    <mergeCell ref="B3:D4"/>
    <mergeCell ref="E3:S3"/>
    <mergeCell ref="E4:G4"/>
    <mergeCell ref="H4:J4"/>
    <mergeCell ref="K4:M4"/>
    <mergeCell ref="N4:P4"/>
    <mergeCell ref="Q4:S4"/>
    <mergeCell ref="R5:R6"/>
    <mergeCell ref="I5:I6"/>
    <mergeCell ref="K5:K6"/>
    <mergeCell ref="L5:L6"/>
    <mergeCell ref="N5:N6"/>
    <mergeCell ref="O5:O6"/>
    <mergeCell ref="Q5:Q6"/>
    <mergeCell ref="A5:A6"/>
    <mergeCell ref="B5:B6"/>
    <mergeCell ref="C5:C6"/>
    <mergeCell ref="E5:E6"/>
    <mergeCell ref="F5:F6"/>
  </mergeCells>
  <phoneticPr fontId="4"/>
  <printOptions horizontalCentered="1"/>
  <pageMargins left="0.78740157480314965" right="0.39370078740157483" top="0.98425196850393704" bottom="0.98425196850393704" header="0.31496062992125984" footer="0.51181102362204722"/>
  <pageSetup paperSize="9" scale="65" orientation="portrait" r:id="rId1"/>
  <headerFooter scaleWithDoc="0" alignWithMargins="0">
    <oddFooter>&amp;C- &amp;P -</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CE276-21FB-4934-9F17-35F899BB98E0}">
  <sheetPr>
    <pageSetUpPr fitToPage="1"/>
  </sheetPr>
  <dimension ref="A1:G30"/>
  <sheetViews>
    <sheetView view="pageBreakPreview" topLeftCell="A12" zoomScale="90" zoomScaleNormal="100" zoomScaleSheetLayoutView="90" workbookViewId="0">
      <selection activeCell="M21" sqref="M21:M22"/>
    </sheetView>
  </sheetViews>
  <sheetFormatPr defaultColWidth="9" defaultRowHeight="13.8"/>
  <cols>
    <col min="1" max="1" width="2.6640625" style="497" customWidth="1"/>
    <col min="2" max="2" width="3" style="497" customWidth="1"/>
    <col min="3" max="3" width="30.44140625" style="497" customWidth="1"/>
    <col min="4" max="6" width="13.109375" style="497" customWidth="1"/>
    <col min="7" max="7" width="14.88671875" style="497" customWidth="1"/>
    <col min="8" max="16384" width="9" style="497"/>
  </cols>
  <sheetData>
    <row r="1" spans="1:7" ht="15">
      <c r="A1" s="650" t="s">
        <v>397</v>
      </c>
    </row>
    <row r="2" spans="1:7" ht="14.4" thickBot="1">
      <c r="A2" s="651"/>
      <c r="B2" s="651"/>
      <c r="C2" s="651"/>
      <c r="D2" s="651"/>
      <c r="E2" s="651"/>
      <c r="F2" s="651"/>
    </row>
    <row r="3" spans="1:7" ht="6.75" customHeight="1" thickBot="1">
      <c r="A3" s="1640" t="s">
        <v>398</v>
      </c>
      <c r="B3" s="1641"/>
      <c r="C3" s="1642"/>
      <c r="D3" s="1390" t="s">
        <v>753</v>
      </c>
      <c r="E3" s="1390" t="s">
        <v>754</v>
      </c>
      <c r="F3" s="1470" t="s">
        <v>755</v>
      </c>
      <c r="G3" s="795"/>
    </row>
    <row r="4" spans="1:7" ht="20.25" customHeight="1" thickBot="1">
      <c r="A4" s="1643"/>
      <c r="B4" s="1644"/>
      <c r="C4" s="1645"/>
      <c r="D4" s="1646"/>
      <c r="E4" s="1646"/>
      <c r="F4" s="1646"/>
      <c r="G4" s="796" t="s">
        <v>741</v>
      </c>
    </row>
    <row r="5" spans="1:7" ht="20.100000000000001" customHeight="1">
      <c r="A5" s="774"/>
      <c r="B5" s="544" t="s">
        <v>702</v>
      </c>
      <c r="C5" s="545"/>
      <c r="D5" s="278">
        <v>1</v>
      </c>
      <c r="E5" s="278">
        <v>0</v>
      </c>
      <c r="F5" s="278">
        <v>1</v>
      </c>
      <c r="G5" s="278">
        <v>1</v>
      </c>
    </row>
    <row r="6" spans="1:7" ht="20.100000000000001" customHeight="1">
      <c r="A6" s="546"/>
      <c r="B6" s="527" t="s">
        <v>704</v>
      </c>
      <c r="C6" s="530"/>
      <c r="D6" s="279">
        <v>0</v>
      </c>
      <c r="E6" s="279">
        <v>0</v>
      </c>
      <c r="F6" s="279">
        <v>0</v>
      </c>
      <c r="G6" s="279">
        <v>0</v>
      </c>
    </row>
    <row r="7" spans="1:7" ht="20.100000000000001" customHeight="1">
      <c r="A7" s="546"/>
      <c r="B7" s="1647" t="s">
        <v>756</v>
      </c>
      <c r="C7" s="530" t="s">
        <v>757</v>
      </c>
      <c r="D7" s="279">
        <v>0</v>
      </c>
      <c r="E7" s="279">
        <v>0</v>
      </c>
      <c r="F7" s="279">
        <v>0</v>
      </c>
      <c r="G7" s="279">
        <v>0</v>
      </c>
    </row>
    <row r="8" spans="1:7" ht="20.100000000000001" customHeight="1">
      <c r="A8" s="524" t="s">
        <v>726</v>
      </c>
      <c r="B8" s="1647"/>
      <c r="C8" s="530" t="s">
        <v>758</v>
      </c>
      <c r="D8" s="279">
        <v>0</v>
      </c>
      <c r="E8" s="279">
        <v>0</v>
      </c>
      <c r="F8" s="279">
        <v>0</v>
      </c>
      <c r="G8" s="279">
        <v>0</v>
      </c>
    </row>
    <row r="9" spans="1:7" ht="20.100000000000001" customHeight="1">
      <c r="A9" s="524"/>
      <c r="B9" s="1647"/>
      <c r="C9" s="530" t="s">
        <v>759</v>
      </c>
      <c r="D9" s="279">
        <v>0</v>
      </c>
      <c r="E9" s="279">
        <v>0</v>
      </c>
      <c r="F9" s="279">
        <v>0</v>
      </c>
      <c r="G9" s="279">
        <v>0</v>
      </c>
    </row>
    <row r="10" spans="1:7" ht="20.100000000000001" customHeight="1">
      <c r="A10" s="524" t="s">
        <v>729</v>
      </c>
      <c r="B10" s="1647"/>
      <c r="C10" s="530" t="s">
        <v>760</v>
      </c>
      <c r="D10" s="279">
        <v>0</v>
      </c>
      <c r="E10" s="279">
        <v>0</v>
      </c>
      <c r="F10" s="279">
        <v>0</v>
      </c>
      <c r="G10" s="279">
        <v>0</v>
      </c>
    </row>
    <row r="11" spans="1:7" ht="20.100000000000001" customHeight="1">
      <c r="A11" s="524"/>
      <c r="B11" s="1647"/>
      <c r="C11" s="530" t="s">
        <v>761</v>
      </c>
      <c r="D11" s="279">
        <v>1</v>
      </c>
      <c r="E11" s="279">
        <v>1</v>
      </c>
      <c r="F11" s="279">
        <v>0</v>
      </c>
      <c r="G11" s="279">
        <v>0</v>
      </c>
    </row>
    <row r="12" spans="1:7" ht="20.100000000000001" customHeight="1">
      <c r="A12" s="546" t="s">
        <v>762</v>
      </c>
      <c r="B12" s="527" t="s">
        <v>763</v>
      </c>
      <c r="C12" s="530"/>
      <c r="D12" s="279">
        <v>0</v>
      </c>
      <c r="E12" s="279">
        <v>0</v>
      </c>
      <c r="F12" s="279">
        <v>0</v>
      </c>
      <c r="G12" s="279">
        <v>0</v>
      </c>
    </row>
    <row r="13" spans="1:7" ht="20.100000000000001" customHeight="1">
      <c r="A13" s="546"/>
      <c r="B13" s="527" t="s">
        <v>733</v>
      </c>
      <c r="C13" s="530"/>
      <c r="D13" s="279">
        <v>0</v>
      </c>
      <c r="E13" s="279">
        <v>0</v>
      </c>
      <c r="F13" s="279">
        <v>0</v>
      </c>
      <c r="G13" s="279">
        <v>0</v>
      </c>
    </row>
    <row r="14" spans="1:7" ht="20.100000000000001" customHeight="1">
      <c r="A14" s="546"/>
      <c r="B14" s="527" t="s">
        <v>734</v>
      </c>
      <c r="C14" s="530"/>
      <c r="D14" s="279">
        <v>0</v>
      </c>
      <c r="E14" s="279">
        <v>0</v>
      </c>
      <c r="F14" s="279">
        <v>0</v>
      </c>
      <c r="G14" s="279">
        <v>0</v>
      </c>
    </row>
    <row r="15" spans="1:7" ht="20.100000000000001" customHeight="1" thickBot="1">
      <c r="A15" s="546"/>
      <c r="B15" s="527" t="s">
        <v>659</v>
      </c>
      <c r="C15" s="530"/>
      <c r="D15" s="279">
        <v>0</v>
      </c>
      <c r="E15" s="279">
        <v>0</v>
      </c>
      <c r="F15" s="279">
        <v>0</v>
      </c>
      <c r="G15" s="279">
        <v>0</v>
      </c>
    </row>
    <row r="16" spans="1:7" ht="20.100000000000001" customHeight="1">
      <c r="A16" s="652"/>
      <c r="B16" s="544" t="s">
        <v>702</v>
      </c>
      <c r="C16" s="545"/>
      <c r="D16" s="278">
        <v>7</v>
      </c>
      <c r="E16" s="278">
        <v>1</v>
      </c>
      <c r="F16" s="278">
        <v>8</v>
      </c>
      <c r="G16" s="278">
        <v>1</v>
      </c>
    </row>
    <row r="17" spans="1:7" ht="20.100000000000001" customHeight="1">
      <c r="A17" s="524" t="s">
        <v>764</v>
      </c>
      <c r="B17" s="527" t="s">
        <v>704</v>
      </c>
      <c r="C17" s="530"/>
      <c r="D17" s="279">
        <v>1</v>
      </c>
      <c r="E17" s="279">
        <v>0</v>
      </c>
      <c r="F17" s="279">
        <v>1</v>
      </c>
      <c r="G17" s="279">
        <v>0</v>
      </c>
    </row>
    <row r="18" spans="1:7" ht="20.100000000000001" customHeight="1">
      <c r="A18" s="524" t="s">
        <v>765</v>
      </c>
      <c r="B18" s="527" t="s">
        <v>766</v>
      </c>
      <c r="C18" s="530"/>
      <c r="D18" s="279">
        <v>0</v>
      </c>
      <c r="E18" s="279">
        <v>0</v>
      </c>
      <c r="F18" s="279">
        <v>0</v>
      </c>
      <c r="G18" s="279">
        <v>0</v>
      </c>
    </row>
    <row r="19" spans="1:7" ht="20.100000000000001" customHeight="1">
      <c r="A19" s="524" t="s">
        <v>705</v>
      </c>
      <c r="B19" s="527" t="s">
        <v>767</v>
      </c>
      <c r="C19" s="530"/>
      <c r="D19" s="279">
        <v>0</v>
      </c>
      <c r="E19" s="279">
        <v>0</v>
      </c>
      <c r="F19" s="279">
        <v>0</v>
      </c>
      <c r="G19" s="279">
        <v>0</v>
      </c>
    </row>
    <row r="20" spans="1:7" ht="20.100000000000001" customHeight="1">
      <c r="A20" s="524" t="s">
        <v>768</v>
      </c>
      <c r="B20" s="527" t="s">
        <v>769</v>
      </c>
      <c r="C20" s="530"/>
      <c r="D20" s="279">
        <v>0</v>
      </c>
      <c r="E20" s="279">
        <v>0</v>
      </c>
      <c r="F20" s="279">
        <v>0</v>
      </c>
      <c r="G20" s="279">
        <v>0</v>
      </c>
    </row>
    <row r="21" spans="1:7" ht="20.100000000000001" customHeight="1">
      <c r="A21" s="524" t="s">
        <v>770</v>
      </c>
      <c r="B21" s="527" t="s">
        <v>771</v>
      </c>
      <c r="C21" s="530"/>
      <c r="D21" s="279">
        <v>0</v>
      </c>
      <c r="E21" s="279">
        <v>0</v>
      </c>
      <c r="F21" s="279">
        <v>0</v>
      </c>
      <c r="G21" s="279">
        <v>0</v>
      </c>
    </row>
    <row r="22" spans="1:7" ht="20.100000000000001" customHeight="1">
      <c r="A22" s="524" t="s">
        <v>762</v>
      </c>
      <c r="B22" s="527" t="s">
        <v>716</v>
      </c>
      <c r="C22" s="530"/>
      <c r="D22" s="279">
        <v>10</v>
      </c>
      <c r="E22" s="279">
        <v>0</v>
      </c>
      <c r="F22" s="279">
        <v>13</v>
      </c>
      <c r="G22" s="279">
        <v>6</v>
      </c>
    </row>
    <row r="23" spans="1:7" ht="20.100000000000001" customHeight="1">
      <c r="A23" s="524"/>
      <c r="B23" s="527" t="s">
        <v>772</v>
      </c>
      <c r="C23" s="530"/>
      <c r="D23" s="279">
        <v>6</v>
      </c>
      <c r="E23" s="279">
        <v>0</v>
      </c>
      <c r="F23" s="279">
        <v>6</v>
      </c>
      <c r="G23" s="279">
        <v>5</v>
      </c>
    </row>
    <row r="24" spans="1:7" ht="20.100000000000001" customHeight="1">
      <c r="A24" s="524"/>
      <c r="B24" s="527" t="s">
        <v>724</v>
      </c>
      <c r="C24" s="530"/>
      <c r="D24" s="279">
        <v>32</v>
      </c>
      <c r="E24" s="279">
        <v>0</v>
      </c>
      <c r="F24" s="279">
        <v>33</v>
      </c>
      <c r="G24" s="279">
        <v>8</v>
      </c>
    </row>
    <row r="25" spans="1:7" ht="20.100000000000001" customHeight="1" thickBot="1">
      <c r="A25" s="524"/>
      <c r="B25" s="532" t="s">
        <v>659</v>
      </c>
      <c r="C25" s="505"/>
      <c r="D25" s="290">
        <v>18</v>
      </c>
      <c r="E25" s="290">
        <v>0</v>
      </c>
      <c r="F25" s="290">
        <v>19</v>
      </c>
      <c r="G25" s="290">
        <v>3</v>
      </c>
    </row>
    <row r="26" spans="1:7" ht="20.100000000000001" customHeight="1" thickBot="1">
      <c r="A26" s="1006" t="s">
        <v>773</v>
      </c>
      <c r="B26" s="561"/>
      <c r="C26" s="761"/>
      <c r="D26" s="291">
        <v>1309</v>
      </c>
      <c r="E26" s="291">
        <v>5</v>
      </c>
      <c r="F26" s="291">
        <v>1464</v>
      </c>
      <c r="G26" s="291">
        <v>138</v>
      </c>
    </row>
    <row r="27" spans="1:7" ht="20.100000000000001" customHeight="1" thickBot="1">
      <c r="A27" s="549" t="s">
        <v>774</v>
      </c>
      <c r="B27" s="550"/>
      <c r="C27" s="550"/>
      <c r="D27" s="282">
        <f>SUM(D5:D26)</f>
        <v>1385</v>
      </c>
      <c r="E27" s="291">
        <f>SUM(E5:E26)</f>
        <v>7</v>
      </c>
      <c r="F27" s="282">
        <f>SUM(F5:F26)</f>
        <v>1545</v>
      </c>
      <c r="G27" s="282">
        <f>SUM(G5:G26)</f>
        <v>162</v>
      </c>
    </row>
    <row r="28" spans="1:7" ht="6" customHeight="1">
      <c r="A28" s="561"/>
      <c r="B28" s="561"/>
      <c r="C28" s="561"/>
      <c r="D28" s="312"/>
      <c r="E28" s="313"/>
      <c r="F28" s="312"/>
      <c r="G28" s="312"/>
    </row>
    <row r="29" spans="1:7" s="680" customFormat="1" ht="15">
      <c r="A29" s="1973" t="s">
        <v>923</v>
      </c>
      <c r="B29" s="1973"/>
      <c r="C29" s="1974"/>
      <c r="D29" s="1974"/>
      <c r="E29" s="1974"/>
      <c r="F29" s="1974"/>
      <c r="G29" s="1974"/>
    </row>
    <row r="30" spans="1:7" s="680" customFormat="1" ht="15">
      <c r="A30" s="1939" t="s">
        <v>916</v>
      </c>
      <c r="B30" s="1939"/>
      <c r="C30" s="1939"/>
      <c r="D30" s="1939"/>
      <c r="E30" s="1939"/>
      <c r="F30" s="1939"/>
      <c r="G30" s="1939"/>
    </row>
  </sheetData>
  <mergeCells count="6">
    <mergeCell ref="A29:G29"/>
    <mergeCell ref="A3:C4"/>
    <mergeCell ref="D3:D4"/>
    <mergeCell ref="E3:E4"/>
    <mergeCell ref="F3:F4"/>
    <mergeCell ref="B7:B11"/>
  </mergeCells>
  <phoneticPr fontId="4"/>
  <printOptions horizontalCentered="1"/>
  <pageMargins left="0.78740157480314965" right="0.39370078740157483" top="0.98425196850393704" bottom="0.98425196850393704" header="0.31496062992125984" footer="0.51181102362204722"/>
  <pageSetup paperSize="9" orientation="portrait" r:id="rId1"/>
  <headerFooter scaleWithDoc="0" alignWithMargins="0">
    <oddFooter>&amp;C- &amp;P -</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8940D-1A28-4CE9-972A-6E99637CE83A}">
  <sheetPr>
    <pageSetUpPr fitToPage="1"/>
  </sheetPr>
  <dimension ref="A1:N66"/>
  <sheetViews>
    <sheetView view="pageBreakPreview" zoomScale="90" zoomScaleNormal="100" zoomScaleSheetLayoutView="90" workbookViewId="0">
      <pane xSplit="2" ySplit="8" topLeftCell="C55" activePane="bottomRight" state="frozen"/>
      <selection activeCell="L76" sqref="L76"/>
      <selection pane="topRight" activeCell="L76" sqref="L76"/>
      <selection pane="bottomLeft" activeCell="L76" sqref="L76"/>
      <selection pane="bottomRight" activeCell="L76" sqref="L76"/>
    </sheetView>
  </sheetViews>
  <sheetFormatPr defaultColWidth="9" defaultRowHeight="13.8"/>
  <cols>
    <col min="1" max="1" width="5.44140625" style="331" customWidth="1"/>
    <col min="2" max="2" width="7.109375" style="331" customWidth="1"/>
    <col min="3" max="3" width="8.6640625" style="331" customWidth="1"/>
    <col min="4" max="4" width="7.6640625" style="331" customWidth="1"/>
    <col min="5" max="5" width="8.6640625" style="331" customWidth="1"/>
    <col min="6" max="6" width="9.5546875" style="331" customWidth="1"/>
    <col min="7" max="7" width="8.6640625" style="331" customWidth="1"/>
    <col min="8" max="8" width="7.6640625" style="331" customWidth="1"/>
    <col min="9" max="9" width="8.6640625" style="331" customWidth="1"/>
    <col min="10" max="10" width="9.5546875" style="331" customWidth="1"/>
    <col min="11" max="11" width="10" style="331" customWidth="1"/>
    <col min="12" max="12" width="8.6640625" style="331" customWidth="1"/>
    <col min="13" max="13" width="10.6640625" style="331" customWidth="1"/>
    <col min="14" max="14" width="9.5546875" style="331" customWidth="1"/>
    <col min="15" max="16384" width="9" style="331"/>
  </cols>
  <sheetData>
    <row r="1" spans="1:14" ht="24" customHeight="1">
      <c r="A1" s="365" t="s">
        <v>40</v>
      </c>
    </row>
    <row r="2" spans="1:14" ht="15">
      <c r="A2" s="348" t="s">
        <v>41</v>
      </c>
    </row>
    <row r="3" spans="1:14" ht="9.75" customHeight="1"/>
    <row r="4" spans="1:14" ht="14.4" thickBot="1">
      <c r="A4" s="331" t="s">
        <v>42</v>
      </c>
      <c r="I4" s="1260" t="s">
        <v>43</v>
      </c>
      <c r="J4" s="1260"/>
      <c r="K4" s="1260"/>
      <c r="L4" s="1260"/>
      <c r="M4" s="1260"/>
      <c r="N4" s="1301"/>
    </row>
    <row r="5" spans="1:14">
      <c r="A5" s="1274" t="s">
        <v>44</v>
      </c>
      <c r="B5" s="412" t="s">
        <v>45</v>
      </c>
      <c r="C5" s="1291" t="s">
        <v>46</v>
      </c>
      <c r="D5" s="1314"/>
      <c r="E5" s="1314"/>
      <c r="F5" s="1307"/>
      <c r="G5" s="1291" t="s">
        <v>47</v>
      </c>
      <c r="H5" s="1314"/>
      <c r="I5" s="1314"/>
      <c r="J5" s="1307"/>
      <c r="K5" s="1314" t="s">
        <v>48</v>
      </c>
      <c r="L5" s="1314"/>
      <c r="M5" s="1314"/>
      <c r="N5" s="1318"/>
    </row>
    <row r="6" spans="1:14">
      <c r="A6" s="1310"/>
      <c r="B6" s="413"/>
      <c r="C6" s="1315"/>
      <c r="D6" s="1316"/>
      <c r="E6" s="1316"/>
      <c r="F6" s="1317"/>
      <c r="G6" s="1315"/>
      <c r="H6" s="1316"/>
      <c r="I6" s="1316"/>
      <c r="J6" s="1317"/>
      <c r="K6" s="1319"/>
      <c r="L6" s="1319"/>
      <c r="M6" s="1319"/>
      <c r="N6" s="1320"/>
    </row>
    <row r="7" spans="1:14" ht="6.75" customHeight="1">
      <c r="A7" s="1310"/>
      <c r="B7" s="413"/>
      <c r="C7" s="1321" t="s">
        <v>49</v>
      </c>
      <c r="D7" s="1323" t="s">
        <v>50</v>
      </c>
      <c r="E7" s="1325" t="s">
        <v>51</v>
      </c>
      <c r="F7" s="399"/>
      <c r="G7" s="1326" t="s">
        <v>49</v>
      </c>
      <c r="H7" s="1323" t="s">
        <v>50</v>
      </c>
      <c r="I7" s="1325" t="s">
        <v>51</v>
      </c>
      <c r="J7" s="212"/>
      <c r="K7" s="1326" t="s">
        <v>49</v>
      </c>
      <c r="L7" s="1323" t="s">
        <v>50</v>
      </c>
      <c r="M7" s="1325" t="s">
        <v>51</v>
      </c>
      <c r="N7" s="405"/>
    </row>
    <row r="8" spans="1:14" ht="14.4" thickBot="1">
      <c r="A8" s="1313"/>
      <c r="B8" s="407" t="s">
        <v>52</v>
      </c>
      <c r="C8" s="1322"/>
      <c r="D8" s="1324"/>
      <c r="E8" s="1324"/>
      <c r="F8" s="213" t="s">
        <v>53</v>
      </c>
      <c r="G8" s="1327"/>
      <c r="H8" s="1324"/>
      <c r="I8" s="1328"/>
      <c r="J8" s="393" t="s">
        <v>53</v>
      </c>
      <c r="K8" s="1327"/>
      <c r="L8" s="1324"/>
      <c r="M8" s="1328"/>
      <c r="N8" s="393" t="s">
        <v>53</v>
      </c>
    </row>
    <row r="9" spans="1:14" ht="18" customHeight="1">
      <c r="A9" s="414"/>
      <c r="B9" s="400" t="s">
        <v>54</v>
      </c>
      <c r="C9" s="9">
        <v>25242</v>
      </c>
      <c r="D9" s="186">
        <v>280</v>
      </c>
      <c r="E9" s="10">
        <v>34642</v>
      </c>
      <c r="F9" s="11">
        <v>2904</v>
      </c>
      <c r="G9" s="9">
        <v>52968</v>
      </c>
      <c r="H9" s="186">
        <v>848</v>
      </c>
      <c r="I9" s="10">
        <v>74649</v>
      </c>
      <c r="J9" s="12">
        <v>7224</v>
      </c>
      <c r="K9" s="9">
        <v>718080</v>
      </c>
      <c r="L9" s="13">
        <v>16765</v>
      </c>
      <c r="M9" s="10">
        <v>981096</v>
      </c>
      <c r="N9" s="12">
        <v>126715</v>
      </c>
    </row>
    <row r="10" spans="1:14" ht="18" customHeight="1">
      <c r="A10" s="1309" t="s">
        <v>55</v>
      </c>
      <c r="B10" s="415" t="s">
        <v>56</v>
      </c>
      <c r="C10" s="14">
        <v>23380</v>
      </c>
      <c r="D10" s="214">
        <v>222</v>
      </c>
      <c r="E10" s="15">
        <v>31519</v>
      </c>
      <c r="F10" s="16">
        <v>2744</v>
      </c>
      <c r="G10" s="14">
        <v>49820</v>
      </c>
      <c r="H10" s="214">
        <v>692</v>
      </c>
      <c r="I10" s="15">
        <v>67881</v>
      </c>
      <c r="J10" s="17">
        <v>6712</v>
      </c>
      <c r="K10" s="14">
        <v>700290</v>
      </c>
      <c r="L10" s="18">
        <v>16278</v>
      </c>
      <c r="M10" s="15">
        <v>949689</v>
      </c>
      <c r="N10" s="17">
        <v>117667</v>
      </c>
    </row>
    <row r="11" spans="1:14" ht="18" customHeight="1">
      <c r="A11" s="1310"/>
      <c r="B11" s="416" t="s">
        <v>57</v>
      </c>
      <c r="C11" s="19">
        <v>20479</v>
      </c>
      <c r="D11" s="189">
        <v>228</v>
      </c>
      <c r="E11" s="20">
        <v>27240</v>
      </c>
      <c r="F11" s="21">
        <v>2392</v>
      </c>
      <c r="G11" s="19">
        <v>45725</v>
      </c>
      <c r="H11" s="189">
        <v>704</v>
      </c>
      <c r="I11" s="20">
        <v>62350</v>
      </c>
      <c r="J11" s="22">
        <v>6128</v>
      </c>
      <c r="K11" s="19">
        <v>659283</v>
      </c>
      <c r="L11" s="23">
        <v>15198</v>
      </c>
      <c r="M11" s="20">
        <v>889198</v>
      </c>
      <c r="N11" s="22">
        <v>108482</v>
      </c>
    </row>
    <row r="12" spans="1:14" ht="18" customHeight="1">
      <c r="A12" s="1310"/>
      <c r="B12" s="406" t="s">
        <v>58</v>
      </c>
      <c r="C12" s="24">
        <v>16669</v>
      </c>
      <c r="D12" s="215">
        <v>244</v>
      </c>
      <c r="E12" s="25">
        <v>21997</v>
      </c>
      <c r="F12" s="26">
        <v>2135</v>
      </c>
      <c r="G12" s="24">
        <v>38625</v>
      </c>
      <c r="H12" s="215">
        <v>677</v>
      </c>
      <c r="I12" s="25">
        <v>52337</v>
      </c>
      <c r="J12" s="27">
        <v>5695</v>
      </c>
      <c r="K12" s="24">
        <v>586713</v>
      </c>
      <c r="L12" s="28">
        <v>14574</v>
      </c>
      <c r="M12" s="25">
        <v>789948</v>
      </c>
      <c r="N12" s="27">
        <v>96138</v>
      </c>
    </row>
    <row r="13" spans="1:14" ht="18" customHeight="1">
      <c r="A13" s="1310"/>
      <c r="B13" s="416" t="s">
        <v>59</v>
      </c>
      <c r="C13" s="19">
        <v>13552</v>
      </c>
      <c r="D13" s="189">
        <v>147</v>
      </c>
      <c r="E13" s="20">
        <v>17500</v>
      </c>
      <c r="F13" s="21">
        <v>1743</v>
      </c>
      <c r="G13" s="19">
        <v>32389</v>
      </c>
      <c r="H13" s="189">
        <v>514</v>
      </c>
      <c r="I13" s="20">
        <v>42959</v>
      </c>
      <c r="J13" s="22">
        <v>4726</v>
      </c>
      <c r="K13" s="19">
        <v>490452</v>
      </c>
      <c r="L13" s="23">
        <v>11432</v>
      </c>
      <c r="M13" s="20">
        <v>651420</v>
      </c>
      <c r="N13" s="22">
        <v>79871</v>
      </c>
    </row>
    <row r="14" spans="1:14" ht="18" customHeight="1">
      <c r="A14" s="1311"/>
      <c r="B14" s="417" t="s">
        <v>60</v>
      </c>
      <c r="C14" s="29">
        <v>12726</v>
      </c>
      <c r="D14" s="194">
        <v>130</v>
      </c>
      <c r="E14" s="30">
        <v>16029</v>
      </c>
      <c r="F14" s="31">
        <v>1466</v>
      </c>
      <c r="G14" s="29">
        <v>31630</v>
      </c>
      <c r="H14" s="194">
        <v>433</v>
      </c>
      <c r="I14" s="30">
        <v>40989</v>
      </c>
      <c r="J14" s="32">
        <v>3759</v>
      </c>
      <c r="K14" s="29">
        <v>472938</v>
      </c>
      <c r="L14" s="33">
        <v>10792</v>
      </c>
      <c r="M14" s="30">
        <v>622467</v>
      </c>
      <c r="N14" s="32">
        <v>62744</v>
      </c>
    </row>
    <row r="15" spans="1:14" ht="18" customHeight="1">
      <c r="A15" s="1309" t="s">
        <v>61</v>
      </c>
      <c r="B15" s="415" t="s">
        <v>62</v>
      </c>
      <c r="C15" s="14">
        <v>12890</v>
      </c>
      <c r="D15" s="214">
        <v>110</v>
      </c>
      <c r="E15" s="15">
        <v>16367</v>
      </c>
      <c r="F15" s="34" t="s">
        <v>63</v>
      </c>
      <c r="G15" s="14">
        <v>32311</v>
      </c>
      <c r="H15" s="214">
        <v>401</v>
      </c>
      <c r="I15" s="15">
        <v>41611</v>
      </c>
      <c r="J15" s="17">
        <v>3292</v>
      </c>
      <c r="K15" s="14">
        <v>471041</v>
      </c>
      <c r="L15" s="18">
        <v>9945</v>
      </c>
      <c r="M15" s="15">
        <v>613957</v>
      </c>
      <c r="N15" s="17">
        <v>56439</v>
      </c>
    </row>
    <row r="16" spans="1:14" ht="18" customHeight="1">
      <c r="A16" s="1310"/>
      <c r="B16" s="416" t="s">
        <v>64</v>
      </c>
      <c r="C16" s="19">
        <v>12852</v>
      </c>
      <c r="D16" s="189">
        <v>98</v>
      </c>
      <c r="E16" s="20">
        <v>16017</v>
      </c>
      <c r="F16" s="21">
        <v>1304</v>
      </c>
      <c r="G16" s="19">
        <v>33430</v>
      </c>
      <c r="H16" s="189">
        <v>361</v>
      </c>
      <c r="I16" s="20">
        <v>42577</v>
      </c>
      <c r="J16" s="22">
        <v>3400</v>
      </c>
      <c r="K16" s="19">
        <v>460649</v>
      </c>
      <c r="L16" s="23">
        <v>8945</v>
      </c>
      <c r="M16" s="20">
        <v>593211</v>
      </c>
      <c r="N16" s="22">
        <v>51904</v>
      </c>
    </row>
    <row r="17" spans="1:14" ht="18" customHeight="1">
      <c r="A17" s="1310"/>
      <c r="B17" s="406" t="s">
        <v>65</v>
      </c>
      <c r="C17" s="24">
        <v>12742</v>
      </c>
      <c r="D17" s="215">
        <v>118</v>
      </c>
      <c r="E17" s="25">
        <v>15854</v>
      </c>
      <c r="F17" s="26">
        <v>1236</v>
      </c>
      <c r="G17" s="24">
        <v>33645</v>
      </c>
      <c r="H17" s="215">
        <v>416</v>
      </c>
      <c r="I17" s="25">
        <v>42461</v>
      </c>
      <c r="J17" s="27">
        <v>3464</v>
      </c>
      <c r="K17" s="24">
        <v>464037</v>
      </c>
      <c r="L17" s="28">
        <v>8783</v>
      </c>
      <c r="M17" s="25">
        <v>594116</v>
      </c>
      <c r="N17" s="27">
        <v>50642</v>
      </c>
    </row>
    <row r="18" spans="1:14" ht="18" customHeight="1">
      <c r="A18" s="1310"/>
      <c r="B18" s="416" t="s">
        <v>66</v>
      </c>
      <c r="C18" s="19">
        <v>12648</v>
      </c>
      <c r="D18" s="189">
        <v>99</v>
      </c>
      <c r="E18" s="20">
        <v>15423</v>
      </c>
      <c r="F18" s="21">
        <v>1111</v>
      </c>
      <c r="G18" s="19">
        <v>33734</v>
      </c>
      <c r="H18" s="189">
        <v>321</v>
      </c>
      <c r="I18" s="20">
        <v>41947</v>
      </c>
      <c r="J18" s="22">
        <v>3112</v>
      </c>
      <c r="K18" s="19">
        <v>471573</v>
      </c>
      <c r="L18" s="23">
        <v>8466</v>
      </c>
      <c r="M18" s="20">
        <v>596282</v>
      </c>
      <c r="N18" s="22">
        <v>49490</v>
      </c>
    </row>
    <row r="19" spans="1:14" ht="18" customHeight="1">
      <c r="A19" s="1311"/>
      <c r="B19" s="417" t="s">
        <v>67</v>
      </c>
      <c r="C19" s="29">
        <v>13322</v>
      </c>
      <c r="D19" s="194">
        <v>104</v>
      </c>
      <c r="E19" s="30">
        <v>16163</v>
      </c>
      <c r="F19" s="31">
        <v>1586</v>
      </c>
      <c r="G19" s="29">
        <v>35734</v>
      </c>
      <c r="H19" s="194">
        <v>364</v>
      </c>
      <c r="I19" s="30">
        <v>44113</v>
      </c>
      <c r="J19" s="32">
        <v>4579</v>
      </c>
      <c r="K19" s="29">
        <v>476677</v>
      </c>
      <c r="L19" s="33">
        <v>8760</v>
      </c>
      <c r="M19" s="30">
        <v>598716</v>
      </c>
      <c r="N19" s="32">
        <v>64115</v>
      </c>
    </row>
    <row r="20" spans="1:14" ht="18" customHeight="1">
      <c r="A20" s="1309" t="s">
        <v>68</v>
      </c>
      <c r="B20" s="415" t="s">
        <v>69</v>
      </c>
      <c r="C20" s="14">
        <v>14262</v>
      </c>
      <c r="D20" s="214">
        <v>128</v>
      </c>
      <c r="E20" s="15">
        <v>17476</v>
      </c>
      <c r="F20" s="16">
        <v>1620</v>
      </c>
      <c r="G20" s="14">
        <v>37747</v>
      </c>
      <c r="H20" s="214">
        <v>383</v>
      </c>
      <c r="I20" s="15">
        <v>46569</v>
      </c>
      <c r="J20" s="17">
        <v>4839</v>
      </c>
      <c r="K20" s="14">
        <v>485578</v>
      </c>
      <c r="L20" s="18">
        <v>8719</v>
      </c>
      <c r="M20" s="15">
        <v>607346</v>
      </c>
      <c r="N20" s="17">
        <v>65595</v>
      </c>
    </row>
    <row r="21" spans="1:14" ht="18" customHeight="1">
      <c r="A21" s="1310"/>
      <c r="B21" s="416" t="s">
        <v>70</v>
      </c>
      <c r="C21" s="19">
        <v>15192</v>
      </c>
      <c r="D21" s="189">
        <v>131</v>
      </c>
      <c r="E21" s="20">
        <v>18448</v>
      </c>
      <c r="F21" s="21">
        <v>1718</v>
      </c>
      <c r="G21" s="19">
        <v>41862</v>
      </c>
      <c r="H21" s="189">
        <v>383</v>
      </c>
      <c r="I21" s="20">
        <v>51523</v>
      </c>
      <c r="J21" s="22">
        <v>5313</v>
      </c>
      <c r="K21" s="19">
        <v>502261</v>
      </c>
      <c r="L21" s="23">
        <v>9073</v>
      </c>
      <c r="M21" s="20">
        <v>626822</v>
      </c>
      <c r="N21" s="22">
        <v>69002</v>
      </c>
    </row>
    <row r="22" spans="1:14" ht="18" customHeight="1">
      <c r="A22" s="1310"/>
      <c r="B22" s="406" t="s">
        <v>71</v>
      </c>
      <c r="C22" s="24">
        <v>15719</v>
      </c>
      <c r="D22" s="215">
        <v>117</v>
      </c>
      <c r="E22" s="25">
        <v>19220</v>
      </c>
      <c r="F22" s="26">
        <v>1829</v>
      </c>
      <c r="G22" s="24">
        <v>44421</v>
      </c>
      <c r="H22" s="215">
        <v>412</v>
      </c>
      <c r="I22" s="25">
        <v>54354</v>
      </c>
      <c r="J22" s="27">
        <v>5392</v>
      </c>
      <c r="K22" s="24">
        <v>526362</v>
      </c>
      <c r="L22" s="28">
        <v>9520</v>
      </c>
      <c r="M22" s="25">
        <v>654822</v>
      </c>
      <c r="N22" s="27">
        <v>71117</v>
      </c>
    </row>
    <row r="23" spans="1:14" ht="18" customHeight="1">
      <c r="A23" s="1310"/>
      <c r="B23" s="416" t="s">
        <v>72</v>
      </c>
      <c r="C23" s="19">
        <v>15515</v>
      </c>
      <c r="D23" s="189">
        <v>138</v>
      </c>
      <c r="E23" s="20">
        <v>18863</v>
      </c>
      <c r="F23" s="21">
        <v>1667</v>
      </c>
      <c r="G23" s="19">
        <v>43517</v>
      </c>
      <c r="H23" s="189">
        <v>401</v>
      </c>
      <c r="I23" s="20">
        <v>54570</v>
      </c>
      <c r="J23" s="22">
        <v>5137</v>
      </c>
      <c r="K23" s="19">
        <v>518462</v>
      </c>
      <c r="L23" s="23">
        <v>9262</v>
      </c>
      <c r="M23" s="20">
        <v>644321</v>
      </c>
      <c r="N23" s="22">
        <v>68388</v>
      </c>
    </row>
    <row r="24" spans="1:14" ht="18" customHeight="1">
      <c r="A24" s="1311"/>
      <c r="B24" s="417" t="s">
        <v>73</v>
      </c>
      <c r="C24" s="29">
        <v>16284</v>
      </c>
      <c r="D24" s="194">
        <v>121</v>
      </c>
      <c r="E24" s="30">
        <v>19750</v>
      </c>
      <c r="F24" s="31">
        <v>1775</v>
      </c>
      <c r="G24" s="29">
        <v>47249</v>
      </c>
      <c r="H24" s="194">
        <v>391</v>
      </c>
      <c r="I24" s="30">
        <v>57673</v>
      </c>
      <c r="J24" s="32">
        <v>5321</v>
      </c>
      <c r="K24" s="29">
        <v>552788</v>
      </c>
      <c r="L24" s="33">
        <v>9261</v>
      </c>
      <c r="M24" s="30">
        <v>681346</v>
      </c>
      <c r="N24" s="32">
        <v>71851</v>
      </c>
    </row>
    <row r="25" spans="1:14" ht="18" customHeight="1">
      <c r="A25" s="1309" t="s">
        <v>74</v>
      </c>
      <c r="B25" s="415" t="s">
        <v>75</v>
      </c>
      <c r="C25" s="14">
        <v>16380</v>
      </c>
      <c r="D25" s="214">
        <v>134</v>
      </c>
      <c r="E25" s="15">
        <v>19970</v>
      </c>
      <c r="F25" s="16">
        <v>1645</v>
      </c>
      <c r="G25" s="14">
        <v>48940</v>
      </c>
      <c r="H25" s="214">
        <v>461</v>
      </c>
      <c r="I25" s="15">
        <v>60249</v>
      </c>
      <c r="J25" s="17">
        <v>5221</v>
      </c>
      <c r="K25" s="14">
        <v>579190</v>
      </c>
      <c r="L25" s="18">
        <v>9317</v>
      </c>
      <c r="M25" s="15">
        <v>712330</v>
      </c>
      <c r="N25" s="17">
        <v>73266</v>
      </c>
    </row>
    <row r="26" spans="1:14" ht="18" customHeight="1">
      <c r="A26" s="1310"/>
      <c r="B26" s="416" t="s">
        <v>76</v>
      </c>
      <c r="C26" s="19">
        <v>16386</v>
      </c>
      <c r="D26" s="189">
        <v>139</v>
      </c>
      <c r="E26" s="20">
        <v>20120</v>
      </c>
      <c r="F26" s="21">
        <v>1660</v>
      </c>
      <c r="G26" s="19">
        <v>50128</v>
      </c>
      <c r="H26" s="189">
        <v>434</v>
      </c>
      <c r="I26" s="20">
        <v>61620</v>
      </c>
      <c r="J26" s="22">
        <v>5187</v>
      </c>
      <c r="K26" s="19">
        <v>590723</v>
      </c>
      <c r="L26" s="23">
        <v>9347</v>
      </c>
      <c r="M26" s="20">
        <v>722179</v>
      </c>
      <c r="N26" s="22">
        <v>72867</v>
      </c>
    </row>
    <row r="27" spans="1:14" ht="18" customHeight="1">
      <c r="A27" s="1310"/>
      <c r="B27" s="406" t="s">
        <v>77</v>
      </c>
      <c r="C27" s="24">
        <v>16191</v>
      </c>
      <c r="D27" s="215">
        <v>145</v>
      </c>
      <c r="E27" s="25">
        <v>19807</v>
      </c>
      <c r="F27" s="26">
        <v>1636</v>
      </c>
      <c r="G27" s="24">
        <v>49461</v>
      </c>
      <c r="H27" s="215">
        <v>500</v>
      </c>
      <c r="I27" s="25">
        <v>61089</v>
      </c>
      <c r="J27" s="27">
        <v>5396</v>
      </c>
      <c r="K27" s="24">
        <v>614481</v>
      </c>
      <c r="L27" s="28">
        <v>10344</v>
      </c>
      <c r="M27" s="25">
        <v>752845</v>
      </c>
      <c r="N27" s="27">
        <v>76692</v>
      </c>
    </row>
    <row r="28" spans="1:14" ht="18" customHeight="1">
      <c r="A28" s="1310"/>
      <c r="B28" s="416" t="s">
        <v>78</v>
      </c>
      <c r="C28" s="19">
        <v>16518</v>
      </c>
      <c r="D28" s="189">
        <v>148</v>
      </c>
      <c r="E28" s="20">
        <v>20524</v>
      </c>
      <c r="F28" s="21">
        <v>1587</v>
      </c>
      <c r="G28" s="19">
        <v>50692</v>
      </c>
      <c r="H28" s="189">
        <v>519</v>
      </c>
      <c r="I28" s="20">
        <v>63572</v>
      </c>
      <c r="J28" s="22">
        <v>5345</v>
      </c>
      <c r="K28" s="19">
        <v>661363</v>
      </c>
      <c r="L28" s="23">
        <v>11086</v>
      </c>
      <c r="M28" s="20">
        <v>814832</v>
      </c>
      <c r="N28" s="22">
        <v>80948</v>
      </c>
    </row>
    <row r="29" spans="1:14" ht="18" customHeight="1">
      <c r="A29" s="1311"/>
      <c r="B29" s="417" t="s">
        <v>79</v>
      </c>
      <c r="C29" s="29">
        <v>14987</v>
      </c>
      <c r="D29" s="194">
        <v>164</v>
      </c>
      <c r="E29" s="30">
        <v>19896</v>
      </c>
      <c r="F29" s="31">
        <v>1584</v>
      </c>
      <c r="G29" s="29">
        <v>46156</v>
      </c>
      <c r="H29" s="194">
        <v>571</v>
      </c>
      <c r="I29" s="20">
        <v>58364</v>
      </c>
      <c r="J29" s="32">
        <v>5140</v>
      </c>
      <c r="K29" s="29">
        <v>643097</v>
      </c>
      <c r="L29" s="33">
        <v>11227</v>
      </c>
      <c r="M29" s="30">
        <v>790295</v>
      </c>
      <c r="N29" s="32">
        <v>79126</v>
      </c>
    </row>
    <row r="30" spans="1:14" ht="18" customHeight="1">
      <c r="A30" s="1309" t="s">
        <v>80</v>
      </c>
      <c r="B30" s="415" t="s">
        <v>81</v>
      </c>
      <c r="C30" s="14">
        <v>15690</v>
      </c>
      <c r="D30" s="214">
        <v>147</v>
      </c>
      <c r="E30" s="15">
        <v>19590</v>
      </c>
      <c r="F30" s="16">
        <v>1686</v>
      </c>
      <c r="G30" s="14">
        <v>49220</v>
      </c>
      <c r="H30" s="214">
        <v>550</v>
      </c>
      <c r="I30" s="30">
        <v>61504</v>
      </c>
      <c r="J30" s="27">
        <v>5390</v>
      </c>
      <c r="K30" s="14">
        <v>662392</v>
      </c>
      <c r="L30" s="18">
        <v>11109</v>
      </c>
      <c r="M30" s="15">
        <v>810245</v>
      </c>
      <c r="N30" s="27">
        <v>77977</v>
      </c>
    </row>
    <row r="31" spans="1:14" ht="18" customHeight="1">
      <c r="A31" s="1310"/>
      <c r="B31" s="416" t="s">
        <v>82</v>
      </c>
      <c r="C31" s="19">
        <v>16498</v>
      </c>
      <c r="D31" s="189">
        <v>157</v>
      </c>
      <c r="E31" s="20">
        <v>20232</v>
      </c>
      <c r="F31" s="21">
        <v>1707</v>
      </c>
      <c r="G31" s="19">
        <v>51606</v>
      </c>
      <c r="H31" s="189">
        <v>527</v>
      </c>
      <c r="I31" s="15">
        <v>63551</v>
      </c>
      <c r="J31" s="22">
        <v>5431</v>
      </c>
      <c r="K31" s="19">
        <v>695346</v>
      </c>
      <c r="L31" s="23">
        <v>11452</v>
      </c>
      <c r="M31" s="20">
        <v>844003</v>
      </c>
      <c r="N31" s="22">
        <v>79535</v>
      </c>
    </row>
    <row r="32" spans="1:14" ht="18" customHeight="1">
      <c r="A32" s="1310"/>
      <c r="B32" s="406" t="s">
        <v>83</v>
      </c>
      <c r="C32" s="24">
        <v>16340</v>
      </c>
      <c r="D32" s="215">
        <v>167</v>
      </c>
      <c r="E32" s="25">
        <v>19840</v>
      </c>
      <c r="F32" s="26">
        <v>1636</v>
      </c>
      <c r="G32" s="24">
        <v>52319</v>
      </c>
      <c r="H32" s="215">
        <v>481</v>
      </c>
      <c r="I32" s="20">
        <v>63857</v>
      </c>
      <c r="J32" s="22">
        <v>5279</v>
      </c>
      <c r="K32" s="24">
        <v>724678</v>
      </c>
      <c r="L32" s="28">
        <v>10945</v>
      </c>
      <c r="M32" s="25">
        <v>878633</v>
      </c>
      <c r="N32" s="22">
        <v>80109</v>
      </c>
    </row>
    <row r="33" spans="1:14" ht="18" customHeight="1">
      <c r="A33" s="1310"/>
      <c r="B33" s="416" t="s">
        <v>84</v>
      </c>
      <c r="C33" s="19">
        <v>16354</v>
      </c>
      <c r="D33" s="189">
        <v>156</v>
      </c>
      <c r="E33" s="20">
        <v>19748</v>
      </c>
      <c r="F33" s="21">
        <v>1700</v>
      </c>
      <c r="G33" s="19">
        <v>52450</v>
      </c>
      <c r="H33" s="189">
        <v>469</v>
      </c>
      <c r="I33" s="25">
        <v>63309</v>
      </c>
      <c r="J33" s="22">
        <v>5350</v>
      </c>
      <c r="K33" s="19">
        <v>729461</v>
      </c>
      <c r="L33" s="23">
        <v>10653</v>
      </c>
      <c r="M33" s="20">
        <v>881723</v>
      </c>
      <c r="N33" s="22">
        <v>77674</v>
      </c>
    </row>
    <row r="34" spans="1:14" ht="18" customHeight="1">
      <c r="A34" s="1311"/>
      <c r="B34" s="417" t="s">
        <v>85</v>
      </c>
      <c r="C34" s="29">
        <v>17087</v>
      </c>
      <c r="D34" s="194">
        <v>159</v>
      </c>
      <c r="E34" s="30">
        <v>20621</v>
      </c>
      <c r="F34" s="31">
        <v>1767</v>
      </c>
      <c r="G34" s="29">
        <v>55369</v>
      </c>
      <c r="H34" s="194">
        <v>474</v>
      </c>
      <c r="I34" s="20">
        <v>65926</v>
      </c>
      <c r="J34" s="22">
        <v>5300</v>
      </c>
      <c r="K34" s="29">
        <v>761794</v>
      </c>
      <c r="L34" s="33">
        <v>10684</v>
      </c>
      <c r="M34" s="30">
        <v>922677</v>
      </c>
      <c r="N34" s="22">
        <v>78952</v>
      </c>
    </row>
    <row r="35" spans="1:14" ht="18" customHeight="1">
      <c r="A35" s="1309" t="s">
        <v>86</v>
      </c>
      <c r="B35" s="415" t="s">
        <v>87</v>
      </c>
      <c r="C35" s="14">
        <v>17366</v>
      </c>
      <c r="D35" s="214">
        <v>122</v>
      </c>
      <c r="E35" s="15">
        <v>20667</v>
      </c>
      <c r="F35" s="16">
        <v>1676</v>
      </c>
      <c r="G35" s="14">
        <v>56109</v>
      </c>
      <c r="H35" s="214">
        <v>435</v>
      </c>
      <c r="I35" s="30">
        <v>65965</v>
      </c>
      <c r="J35" s="27">
        <v>5065</v>
      </c>
      <c r="K35" s="14">
        <v>771085</v>
      </c>
      <c r="L35" s="18">
        <v>9943</v>
      </c>
      <c r="M35" s="15">
        <v>942204</v>
      </c>
      <c r="N35" s="27">
        <v>77053</v>
      </c>
    </row>
    <row r="36" spans="1:14" ht="18" customHeight="1">
      <c r="A36" s="1310"/>
      <c r="B36" s="416" t="s">
        <v>88</v>
      </c>
      <c r="C36" s="19">
        <v>16806</v>
      </c>
      <c r="D36" s="189">
        <v>132</v>
      </c>
      <c r="E36" s="20">
        <v>19764</v>
      </c>
      <c r="F36" s="21">
        <v>1491</v>
      </c>
      <c r="G36" s="19">
        <v>55209</v>
      </c>
      <c r="H36" s="189">
        <v>384</v>
      </c>
      <c r="I36" s="15">
        <v>64476</v>
      </c>
      <c r="J36" s="17">
        <v>4916</v>
      </c>
      <c r="K36" s="19">
        <v>780401</v>
      </c>
      <c r="L36" s="23">
        <v>9642</v>
      </c>
      <c r="M36" s="20">
        <v>958925</v>
      </c>
      <c r="N36" s="17">
        <v>76281</v>
      </c>
    </row>
    <row r="37" spans="1:14" ht="18" customHeight="1">
      <c r="A37" s="1310"/>
      <c r="B37" s="406" t="s">
        <v>89</v>
      </c>
      <c r="C37" s="24">
        <v>17237</v>
      </c>
      <c r="D37" s="215">
        <v>129</v>
      </c>
      <c r="E37" s="25">
        <v>20434</v>
      </c>
      <c r="F37" s="26">
        <v>1617</v>
      </c>
      <c r="G37" s="24">
        <v>56478</v>
      </c>
      <c r="H37" s="215">
        <v>394</v>
      </c>
      <c r="I37" s="20">
        <v>67551</v>
      </c>
      <c r="J37" s="22">
        <v>5200</v>
      </c>
      <c r="K37" s="24">
        <v>803882</v>
      </c>
      <c r="L37" s="28">
        <v>9214</v>
      </c>
      <c r="M37" s="25">
        <v>990676</v>
      </c>
      <c r="N37" s="22">
        <v>74247</v>
      </c>
    </row>
    <row r="38" spans="1:14" ht="18" customHeight="1">
      <c r="A38" s="1310"/>
      <c r="B38" s="416" t="s">
        <v>90</v>
      </c>
      <c r="C38" s="19">
        <v>17775</v>
      </c>
      <c r="D38" s="189">
        <v>117</v>
      </c>
      <c r="E38" s="20">
        <v>21146</v>
      </c>
      <c r="F38" s="21">
        <v>1550</v>
      </c>
      <c r="G38" s="19">
        <v>58506</v>
      </c>
      <c r="H38" s="189">
        <v>367</v>
      </c>
      <c r="I38" s="21">
        <v>70015</v>
      </c>
      <c r="J38" s="22">
        <v>5170</v>
      </c>
      <c r="K38" s="19">
        <v>850371</v>
      </c>
      <c r="L38" s="23">
        <v>9012</v>
      </c>
      <c r="M38" s="20">
        <v>1050399</v>
      </c>
      <c r="N38" s="22">
        <v>75894</v>
      </c>
    </row>
    <row r="39" spans="1:14" ht="18" customHeight="1">
      <c r="A39" s="1311"/>
      <c r="B39" s="417" t="s">
        <v>91</v>
      </c>
      <c r="C39" s="29">
        <v>19490</v>
      </c>
      <c r="D39" s="194">
        <v>100</v>
      </c>
      <c r="E39" s="30">
        <v>23167</v>
      </c>
      <c r="F39" s="31">
        <v>1630</v>
      </c>
      <c r="G39" s="29">
        <v>63273</v>
      </c>
      <c r="H39" s="194">
        <v>369</v>
      </c>
      <c r="I39" s="20">
        <v>75768</v>
      </c>
      <c r="J39" s="32">
        <v>5701</v>
      </c>
      <c r="K39" s="29">
        <v>931950</v>
      </c>
      <c r="L39" s="33">
        <v>9073</v>
      </c>
      <c r="M39" s="30">
        <v>1155707</v>
      </c>
      <c r="N39" s="32">
        <v>80105</v>
      </c>
    </row>
    <row r="40" spans="1:14" ht="18" customHeight="1">
      <c r="A40" s="1309" t="s">
        <v>92</v>
      </c>
      <c r="B40" s="415" t="s">
        <v>93</v>
      </c>
      <c r="C40" s="14">
        <v>19686</v>
      </c>
      <c r="D40" s="214">
        <v>101</v>
      </c>
      <c r="E40" s="15">
        <v>23349</v>
      </c>
      <c r="F40" s="16">
        <v>1735</v>
      </c>
      <c r="G40" s="14">
        <v>63671</v>
      </c>
      <c r="H40" s="214">
        <v>327</v>
      </c>
      <c r="I40" s="30">
        <v>76594</v>
      </c>
      <c r="J40" s="27">
        <v>5524</v>
      </c>
      <c r="K40" s="14">
        <v>947253</v>
      </c>
      <c r="L40" s="18">
        <v>8757</v>
      </c>
      <c r="M40" s="15">
        <v>1181039</v>
      </c>
      <c r="N40" s="27">
        <v>79677</v>
      </c>
    </row>
    <row r="41" spans="1:14" ht="18" customHeight="1">
      <c r="A41" s="1310"/>
      <c r="B41" s="416" t="s">
        <v>94</v>
      </c>
      <c r="C41" s="19">
        <v>19690</v>
      </c>
      <c r="D41" s="189">
        <v>107</v>
      </c>
      <c r="E41" s="20">
        <v>23424</v>
      </c>
      <c r="F41" s="21">
        <v>1699</v>
      </c>
      <c r="G41" s="19">
        <v>63803</v>
      </c>
      <c r="H41" s="189">
        <v>323</v>
      </c>
      <c r="I41" s="15">
        <v>77299</v>
      </c>
      <c r="J41" s="17">
        <v>5573</v>
      </c>
      <c r="K41" s="19">
        <v>936950</v>
      </c>
      <c r="L41" s="23">
        <v>8396</v>
      </c>
      <c r="M41" s="20">
        <v>1168029</v>
      </c>
      <c r="N41" s="17">
        <v>78297</v>
      </c>
    </row>
    <row r="42" spans="1:14" ht="18" customHeight="1">
      <c r="A42" s="1310"/>
      <c r="B42" s="406" t="s">
        <v>95</v>
      </c>
      <c r="C42" s="24">
        <v>20320</v>
      </c>
      <c r="D42" s="215">
        <v>86</v>
      </c>
      <c r="E42" s="25">
        <v>24161</v>
      </c>
      <c r="F42" s="26">
        <v>1700</v>
      </c>
      <c r="G42" s="24">
        <v>66392</v>
      </c>
      <c r="H42" s="215">
        <v>291</v>
      </c>
      <c r="I42" s="20">
        <v>80174</v>
      </c>
      <c r="J42" s="22">
        <v>5321</v>
      </c>
      <c r="K42" s="24">
        <v>948281</v>
      </c>
      <c r="L42" s="28">
        <v>7768</v>
      </c>
      <c r="M42" s="25">
        <v>1181681</v>
      </c>
      <c r="N42" s="22">
        <v>75112</v>
      </c>
    </row>
    <row r="43" spans="1:14" ht="18" customHeight="1">
      <c r="A43" s="1310"/>
      <c r="B43" s="415" t="s">
        <v>96</v>
      </c>
      <c r="C43" s="14">
        <v>20488</v>
      </c>
      <c r="D43" s="214">
        <v>91</v>
      </c>
      <c r="E43" s="15">
        <v>24183</v>
      </c>
      <c r="F43" s="16">
        <v>1525</v>
      </c>
      <c r="G43" s="14">
        <v>67593</v>
      </c>
      <c r="H43" s="214">
        <v>313</v>
      </c>
      <c r="I43" s="16">
        <v>81392</v>
      </c>
      <c r="J43" s="17">
        <v>5216</v>
      </c>
      <c r="K43" s="14">
        <v>952709</v>
      </c>
      <c r="L43" s="18">
        <v>7425</v>
      </c>
      <c r="M43" s="15">
        <v>1183616</v>
      </c>
      <c r="N43" s="17">
        <v>72817</v>
      </c>
    </row>
    <row r="44" spans="1:14" ht="18" customHeight="1">
      <c r="A44" s="1310"/>
      <c r="B44" s="415" t="s">
        <v>97</v>
      </c>
      <c r="C44" s="35">
        <v>19882</v>
      </c>
      <c r="D44" s="214">
        <v>80</v>
      </c>
      <c r="E44" s="16">
        <v>23353</v>
      </c>
      <c r="F44" s="16">
        <v>1542</v>
      </c>
      <c r="G44" s="35">
        <v>66105</v>
      </c>
      <c r="H44" s="214">
        <v>268</v>
      </c>
      <c r="I44" s="16">
        <v>79502</v>
      </c>
      <c r="J44" s="17">
        <v>4868</v>
      </c>
      <c r="K44" s="35">
        <v>934339</v>
      </c>
      <c r="L44" s="18">
        <v>6927</v>
      </c>
      <c r="M44" s="16">
        <v>1157115</v>
      </c>
      <c r="N44" s="17">
        <v>68975</v>
      </c>
    </row>
    <row r="45" spans="1:14" ht="18" customHeight="1">
      <c r="A45" s="1309" t="s">
        <v>98</v>
      </c>
      <c r="B45" s="415" t="s">
        <v>99</v>
      </c>
      <c r="C45" s="35">
        <v>18753</v>
      </c>
      <c r="D45" s="216">
        <v>75</v>
      </c>
      <c r="E45" s="16">
        <v>22100</v>
      </c>
      <c r="F45" s="16">
        <v>1454</v>
      </c>
      <c r="G45" s="35">
        <v>62834</v>
      </c>
      <c r="H45" s="216">
        <v>255</v>
      </c>
      <c r="I45" s="16">
        <v>75485</v>
      </c>
      <c r="J45" s="17">
        <v>4872</v>
      </c>
      <c r="K45" s="35">
        <v>887257</v>
      </c>
      <c r="L45" s="15">
        <v>6403</v>
      </c>
      <c r="M45" s="16">
        <v>1098566</v>
      </c>
      <c r="N45" s="17">
        <v>64145</v>
      </c>
    </row>
    <row r="46" spans="1:14" ht="18" customHeight="1">
      <c r="A46" s="1310"/>
      <c r="B46" s="416" t="s">
        <v>100</v>
      </c>
      <c r="C46" s="36">
        <v>17402</v>
      </c>
      <c r="D46" s="189">
        <v>73</v>
      </c>
      <c r="E46" s="21">
        <v>20318</v>
      </c>
      <c r="F46" s="21">
        <v>1535</v>
      </c>
      <c r="G46" s="36">
        <v>59062</v>
      </c>
      <c r="H46" s="189">
        <v>248</v>
      </c>
      <c r="I46" s="21">
        <v>70916</v>
      </c>
      <c r="J46" s="22">
        <v>4710</v>
      </c>
      <c r="K46" s="36">
        <v>832691</v>
      </c>
      <c r="L46" s="23">
        <v>5782</v>
      </c>
      <c r="M46" s="21">
        <v>1034653</v>
      </c>
      <c r="N46" s="22">
        <v>61034</v>
      </c>
    </row>
    <row r="47" spans="1:14" ht="18" customHeight="1">
      <c r="A47" s="1310"/>
      <c r="B47" s="417" t="s">
        <v>101</v>
      </c>
      <c r="C47" s="37">
        <v>15990</v>
      </c>
      <c r="D47" s="194">
        <v>61</v>
      </c>
      <c r="E47" s="31">
        <v>18741</v>
      </c>
      <c r="F47" s="31">
        <v>1241</v>
      </c>
      <c r="G47" s="37">
        <v>53769</v>
      </c>
      <c r="H47" s="194">
        <v>198</v>
      </c>
      <c r="I47" s="31">
        <v>64290</v>
      </c>
      <c r="J47" s="32">
        <v>4287</v>
      </c>
      <c r="K47" s="37">
        <v>766382</v>
      </c>
      <c r="L47" s="33">
        <v>5197</v>
      </c>
      <c r="M47" s="31">
        <v>945703</v>
      </c>
      <c r="N47" s="32">
        <v>56818</v>
      </c>
    </row>
    <row r="48" spans="1:14" ht="18" customHeight="1">
      <c r="A48" s="1310"/>
      <c r="B48" s="406" t="s">
        <v>102</v>
      </c>
      <c r="C48" s="38">
        <v>15575</v>
      </c>
      <c r="D48" s="215">
        <v>64</v>
      </c>
      <c r="E48" s="26">
        <v>18280</v>
      </c>
      <c r="F48" s="26">
        <v>1094</v>
      </c>
      <c r="G48" s="38">
        <v>51696</v>
      </c>
      <c r="H48" s="215">
        <v>205</v>
      </c>
      <c r="I48" s="26">
        <v>61842</v>
      </c>
      <c r="J48" s="27">
        <v>3741</v>
      </c>
      <c r="K48" s="38">
        <v>737628</v>
      </c>
      <c r="L48" s="28">
        <v>4968</v>
      </c>
      <c r="M48" s="26">
        <v>911215</v>
      </c>
      <c r="N48" s="27">
        <v>53708</v>
      </c>
    </row>
    <row r="49" spans="1:14" ht="18" customHeight="1">
      <c r="A49" s="1310"/>
      <c r="B49" s="416" t="s">
        <v>103</v>
      </c>
      <c r="C49" s="36">
        <v>15403</v>
      </c>
      <c r="D49" s="189">
        <v>62</v>
      </c>
      <c r="E49" s="21">
        <v>18024</v>
      </c>
      <c r="F49" s="21">
        <v>1066</v>
      </c>
      <c r="G49" s="36">
        <v>51292</v>
      </c>
      <c r="H49" s="189">
        <v>201</v>
      </c>
      <c r="I49" s="21">
        <v>61469</v>
      </c>
      <c r="J49" s="22">
        <v>3586</v>
      </c>
      <c r="K49" s="36">
        <v>725903</v>
      </c>
      <c r="L49" s="23">
        <v>4922</v>
      </c>
      <c r="M49" s="21">
        <v>896294</v>
      </c>
      <c r="N49" s="22">
        <v>51536</v>
      </c>
    </row>
    <row r="50" spans="1:14" ht="18" customHeight="1">
      <c r="A50" s="1309" t="s">
        <v>104</v>
      </c>
      <c r="B50" s="416" t="s">
        <v>105</v>
      </c>
      <c r="C50" s="320">
        <v>14747</v>
      </c>
      <c r="D50" s="23">
        <v>65</v>
      </c>
      <c r="E50" s="20">
        <v>17282</v>
      </c>
      <c r="F50" s="21">
        <v>1016</v>
      </c>
      <c r="G50" s="320">
        <v>49644</v>
      </c>
      <c r="H50" s="189">
        <v>197</v>
      </c>
      <c r="I50" s="188">
        <v>59489</v>
      </c>
      <c r="J50" s="217">
        <v>3501</v>
      </c>
      <c r="K50" s="320">
        <v>692056</v>
      </c>
      <c r="L50" s="189">
        <v>4663</v>
      </c>
      <c r="M50" s="188">
        <v>854610</v>
      </c>
      <c r="N50" s="217">
        <v>48663</v>
      </c>
    </row>
    <row r="51" spans="1:14" ht="18" customHeight="1">
      <c r="A51" s="1310"/>
      <c r="B51" s="416" t="s">
        <v>106</v>
      </c>
      <c r="C51" s="320">
        <v>14500</v>
      </c>
      <c r="D51" s="23">
        <v>51</v>
      </c>
      <c r="E51" s="20">
        <v>16900</v>
      </c>
      <c r="F51" s="21">
        <v>907</v>
      </c>
      <c r="G51" s="320">
        <v>48212</v>
      </c>
      <c r="H51" s="189">
        <v>182</v>
      </c>
      <c r="I51" s="188">
        <v>57804</v>
      </c>
      <c r="J51" s="217">
        <v>3357</v>
      </c>
      <c r="K51" s="320">
        <v>665138</v>
      </c>
      <c r="L51" s="189">
        <v>4411</v>
      </c>
      <c r="M51" s="188">
        <v>825396</v>
      </c>
      <c r="N51" s="217">
        <v>46663</v>
      </c>
    </row>
    <row r="52" spans="1:14" ht="18" customHeight="1">
      <c r="A52" s="1310"/>
      <c r="B52" s="416" t="s">
        <v>107</v>
      </c>
      <c r="C52" s="320">
        <v>13973</v>
      </c>
      <c r="D52" s="23">
        <v>49</v>
      </c>
      <c r="E52" s="20">
        <v>16418</v>
      </c>
      <c r="F52" s="21">
        <v>892</v>
      </c>
      <c r="G52" s="320">
        <v>46110</v>
      </c>
      <c r="H52" s="189">
        <v>179</v>
      </c>
      <c r="I52" s="188">
        <v>55363</v>
      </c>
      <c r="J52" s="217">
        <v>3157</v>
      </c>
      <c r="K52" s="320">
        <v>629021</v>
      </c>
      <c r="L52" s="189">
        <v>4373</v>
      </c>
      <c r="M52" s="188">
        <v>781494</v>
      </c>
      <c r="N52" s="217">
        <v>44546</v>
      </c>
    </row>
    <row r="53" spans="1:14" ht="18" customHeight="1">
      <c r="A53" s="1310"/>
      <c r="B53" s="406" t="s">
        <v>108</v>
      </c>
      <c r="C53" s="196">
        <v>12946</v>
      </c>
      <c r="D53" s="28">
        <v>51</v>
      </c>
      <c r="E53" s="25">
        <v>15221</v>
      </c>
      <c r="F53" s="26">
        <v>793</v>
      </c>
      <c r="G53" s="196">
        <v>42729</v>
      </c>
      <c r="H53" s="215">
        <v>143</v>
      </c>
      <c r="I53" s="218">
        <v>51501</v>
      </c>
      <c r="J53" s="219">
        <v>2910</v>
      </c>
      <c r="K53" s="196">
        <v>573842</v>
      </c>
      <c r="L53" s="215">
        <v>4113</v>
      </c>
      <c r="M53" s="218">
        <v>711374</v>
      </c>
      <c r="N53" s="219">
        <v>41658</v>
      </c>
    </row>
    <row r="54" spans="1:14" ht="18" customHeight="1">
      <c r="A54" s="1310"/>
      <c r="B54" s="415" t="s">
        <v>109</v>
      </c>
      <c r="C54" s="318">
        <v>12769</v>
      </c>
      <c r="D54" s="18">
        <v>51</v>
      </c>
      <c r="E54" s="15">
        <v>14867</v>
      </c>
      <c r="F54" s="16">
        <v>851</v>
      </c>
      <c r="G54" s="318">
        <v>40607</v>
      </c>
      <c r="H54" s="214">
        <v>196</v>
      </c>
      <c r="I54" s="220">
        <v>48481</v>
      </c>
      <c r="J54" s="221">
        <v>2903</v>
      </c>
      <c r="K54" s="318">
        <v>536899</v>
      </c>
      <c r="L54" s="214">
        <v>4117</v>
      </c>
      <c r="M54" s="220">
        <v>666023</v>
      </c>
      <c r="N54" s="221">
        <v>38959</v>
      </c>
    </row>
    <row r="55" spans="1:14" ht="18" customHeight="1">
      <c r="A55" s="1312" t="s">
        <v>110</v>
      </c>
      <c r="B55" s="416" t="s">
        <v>111</v>
      </c>
      <c r="C55" s="320">
        <v>12173</v>
      </c>
      <c r="D55" s="23">
        <v>49</v>
      </c>
      <c r="E55" s="21">
        <v>14231</v>
      </c>
      <c r="F55" s="21">
        <v>935</v>
      </c>
      <c r="G55" s="320">
        <v>37920</v>
      </c>
      <c r="H55" s="189">
        <v>161</v>
      </c>
      <c r="I55" s="188">
        <v>45460</v>
      </c>
      <c r="J55" s="217">
        <v>2937</v>
      </c>
      <c r="K55" s="320">
        <v>499201</v>
      </c>
      <c r="L55" s="189">
        <v>3904</v>
      </c>
      <c r="M55" s="188">
        <v>618853</v>
      </c>
      <c r="N55" s="217">
        <v>37356</v>
      </c>
    </row>
    <row r="56" spans="1:14" ht="18" customHeight="1">
      <c r="A56" s="1312"/>
      <c r="B56" s="416" t="s">
        <v>112</v>
      </c>
      <c r="C56" s="320">
        <v>11332</v>
      </c>
      <c r="D56" s="23">
        <v>44</v>
      </c>
      <c r="E56" s="21">
        <v>13398</v>
      </c>
      <c r="F56" s="21">
        <v>908</v>
      </c>
      <c r="G56" s="320">
        <v>35997</v>
      </c>
      <c r="H56" s="189">
        <v>150</v>
      </c>
      <c r="I56" s="188">
        <v>43585</v>
      </c>
      <c r="J56" s="217">
        <v>3173</v>
      </c>
      <c r="K56" s="320">
        <v>472165</v>
      </c>
      <c r="L56" s="189">
        <v>3694</v>
      </c>
      <c r="M56" s="188">
        <v>580850</v>
      </c>
      <c r="N56" s="217">
        <v>36895</v>
      </c>
    </row>
    <row r="57" spans="1:14" ht="18" customHeight="1">
      <c r="A57" s="1312"/>
      <c r="B57" s="416" t="s">
        <v>113</v>
      </c>
      <c r="C57" s="320">
        <v>10885</v>
      </c>
      <c r="D57" s="23">
        <v>44</v>
      </c>
      <c r="E57" s="21">
        <v>12723</v>
      </c>
      <c r="F57" s="21">
        <v>1085</v>
      </c>
      <c r="G57" s="320">
        <v>34382</v>
      </c>
      <c r="H57" s="189">
        <v>147</v>
      </c>
      <c r="I57" s="188">
        <v>40933</v>
      </c>
      <c r="J57" s="217">
        <v>3243</v>
      </c>
      <c r="K57" s="320">
        <v>430601</v>
      </c>
      <c r="L57" s="189">
        <v>3532</v>
      </c>
      <c r="M57" s="188">
        <v>525846</v>
      </c>
      <c r="N57" s="217">
        <v>34558</v>
      </c>
    </row>
    <row r="58" spans="1:14" ht="18" customHeight="1">
      <c r="A58" s="1312"/>
      <c r="B58" s="416" t="s">
        <v>114</v>
      </c>
      <c r="C58" s="320">
        <v>10080</v>
      </c>
      <c r="D58" s="23">
        <v>34</v>
      </c>
      <c r="E58" s="21">
        <v>11700</v>
      </c>
      <c r="F58" s="21">
        <v>977</v>
      </c>
      <c r="G58" s="320">
        <v>30914</v>
      </c>
      <c r="H58" s="189">
        <v>130</v>
      </c>
      <c r="I58" s="188">
        <v>36664</v>
      </c>
      <c r="J58" s="217">
        <v>3053</v>
      </c>
      <c r="K58" s="320">
        <v>381237</v>
      </c>
      <c r="L58" s="189">
        <v>3215</v>
      </c>
      <c r="M58" s="188">
        <v>461775</v>
      </c>
      <c r="N58" s="217">
        <v>32025</v>
      </c>
    </row>
    <row r="59" spans="1:14" ht="18" customHeight="1">
      <c r="A59" s="1312"/>
      <c r="B59" s="416" t="s">
        <v>115</v>
      </c>
      <c r="C59" s="320">
        <v>8256</v>
      </c>
      <c r="D59" s="23">
        <v>37</v>
      </c>
      <c r="E59" s="21">
        <v>9493</v>
      </c>
      <c r="F59" s="21">
        <v>878</v>
      </c>
      <c r="G59" s="320">
        <v>25543</v>
      </c>
      <c r="H59" s="189">
        <v>124</v>
      </c>
      <c r="I59" s="188">
        <v>29888</v>
      </c>
      <c r="J59" s="217">
        <v>2727</v>
      </c>
      <c r="K59" s="320">
        <v>309178</v>
      </c>
      <c r="L59" s="189">
        <v>2839</v>
      </c>
      <c r="M59" s="188">
        <v>369476</v>
      </c>
      <c r="N59" s="217">
        <v>27775</v>
      </c>
    </row>
    <row r="60" spans="1:14" ht="18" customHeight="1">
      <c r="A60" s="1308" t="s">
        <v>564</v>
      </c>
      <c r="B60" s="349" t="s">
        <v>116</v>
      </c>
      <c r="C60" s="320">
        <v>8296</v>
      </c>
      <c r="D60" s="23">
        <v>43</v>
      </c>
      <c r="E60" s="23">
        <v>9584</v>
      </c>
      <c r="F60" s="22">
        <v>879</v>
      </c>
      <c r="G60" s="320">
        <v>25388</v>
      </c>
      <c r="H60" s="189">
        <v>140</v>
      </c>
      <c r="I60" s="188">
        <v>29560</v>
      </c>
      <c r="J60" s="217">
        <v>2779</v>
      </c>
      <c r="K60" s="320">
        <v>305196</v>
      </c>
      <c r="L60" s="189">
        <v>2636</v>
      </c>
      <c r="M60" s="189">
        <v>362131</v>
      </c>
      <c r="N60" s="217">
        <v>27204</v>
      </c>
    </row>
    <row r="61" spans="1:14" ht="18" customHeight="1">
      <c r="A61" s="1302"/>
      <c r="B61" s="349" t="s">
        <v>117</v>
      </c>
      <c r="C61" s="320">
        <v>8106</v>
      </c>
      <c r="D61" s="23">
        <v>40</v>
      </c>
      <c r="E61" s="23">
        <v>9278</v>
      </c>
      <c r="F61" s="22">
        <v>894</v>
      </c>
      <c r="G61" s="320">
        <v>25509</v>
      </c>
      <c r="H61" s="189">
        <v>141</v>
      </c>
      <c r="I61" s="188">
        <v>29760</v>
      </c>
      <c r="J61" s="217">
        <v>2808</v>
      </c>
      <c r="K61" s="320">
        <v>300839</v>
      </c>
      <c r="L61" s="189">
        <v>2610</v>
      </c>
      <c r="M61" s="189">
        <v>356601</v>
      </c>
      <c r="N61" s="217">
        <v>26207</v>
      </c>
    </row>
    <row r="62" spans="1:14" ht="18" customHeight="1">
      <c r="A62" s="1302"/>
      <c r="B62" s="349" t="s">
        <v>118</v>
      </c>
      <c r="C62" s="320">
        <v>8199</v>
      </c>
      <c r="D62" s="23">
        <v>40</v>
      </c>
      <c r="E62" s="23">
        <v>9392</v>
      </c>
      <c r="F62" s="21">
        <v>981</v>
      </c>
      <c r="G62" s="320">
        <v>25951</v>
      </c>
      <c r="H62" s="189">
        <v>148</v>
      </c>
      <c r="I62" s="189">
        <v>30097</v>
      </c>
      <c r="J62" s="217">
        <v>3057</v>
      </c>
      <c r="K62" s="180">
        <v>307930</v>
      </c>
      <c r="L62" s="189">
        <v>2678</v>
      </c>
      <c r="M62" s="189">
        <v>365595</v>
      </c>
      <c r="N62" s="217">
        <v>27636</v>
      </c>
    </row>
    <row r="63" spans="1:14" ht="18" customHeight="1">
      <c r="A63" s="1302"/>
      <c r="B63" s="418" t="s">
        <v>502</v>
      </c>
      <c r="C63" s="318">
        <v>7688</v>
      </c>
      <c r="D63" s="18">
        <v>43</v>
      </c>
      <c r="E63" s="18">
        <v>8722</v>
      </c>
      <c r="F63" s="16">
        <v>927</v>
      </c>
      <c r="G63" s="318">
        <v>24780</v>
      </c>
      <c r="H63" s="214">
        <v>127</v>
      </c>
      <c r="I63" s="214">
        <v>28690</v>
      </c>
      <c r="J63" s="221">
        <v>2885</v>
      </c>
      <c r="K63" s="192">
        <v>290896</v>
      </c>
      <c r="L63" s="214">
        <v>2663</v>
      </c>
      <c r="M63" s="214">
        <v>344398</v>
      </c>
      <c r="N63" s="221">
        <v>27281</v>
      </c>
    </row>
    <row r="64" spans="1:14" ht="18" customHeight="1" thickBot="1">
      <c r="A64" s="1263"/>
      <c r="B64" s="347" t="s">
        <v>553</v>
      </c>
      <c r="C64" s="181">
        <v>7849</v>
      </c>
      <c r="D64" s="39">
        <v>43</v>
      </c>
      <c r="E64" s="39">
        <v>8916</v>
      </c>
      <c r="F64" s="40">
        <v>937</v>
      </c>
      <c r="G64" s="181">
        <v>25056</v>
      </c>
      <c r="H64" s="222">
        <v>120</v>
      </c>
      <c r="I64" s="222">
        <v>28865</v>
      </c>
      <c r="J64" s="223">
        <v>3100</v>
      </c>
      <c r="K64" s="182">
        <v>287023</v>
      </c>
      <c r="L64" s="222">
        <v>2547</v>
      </c>
      <c r="M64" s="222">
        <v>338508</v>
      </c>
      <c r="N64" s="223">
        <v>27563</v>
      </c>
    </row>
    <row r="65" spans="1:2" ht="18" customHeight="1">
      <c r="A65" s="1884" t="s">
        <v>899</v>
      </c>
      <c r="B65" s="1884"/>
    </row>
    <row r="66" spans="1:2" ht="18" customHeight="1">
      <c r="A66" s="1884" t="s">
        <v>900</v>
      </c>
      <c r="B66" s="1884"/>
    </row>
  </sheetData>
  <mergeCells count="25">
    <mergeCell ref="I4:N4"/>
    <mergeCell ref="A5:A8"/>
    <mergeCell ref="C5:F6"/>
    <mergeCell ref="G5:J6"/>
    <mergeCell ref="K5:N6"/>
    <mergeCell ref="C7:C8"/>
    <mergeCell ref="D7:D8"/>
    <mergeCell ref="E7:E8"/>
    <mergeCell ref="G7:G8"/>
    <mergeCell ref="H7:H8"/>
    <mergeCell ref="I7:I8"/>
    <mergeCell ref="K7:K8"/>
    <mergeCell ref="L7:L8"/>
    <mergeCell ref="M7:M8"/>
    <mergeCell ref="A60:A64"/>
    <mergeCell ref="A10:A14"/>
    <mergeCell ref="A50:A54"/>
    <mergeCell ref="A55:A59"/>
    <mergeCell ref="A20:A24"/>
    <mergeCell ref="A25:A29"/>
    <mergeCell ref="A30:A34"/>
    <mergeCell ref="A35:A39"/>
    <mergeCell ref="A40:A44"/>
    <mergeCell ref="A45:A49"/>
    <mergeCell ref="A15:A19"/>
  </mergeCells>
  <phoneticPr fontId="4"/>
  <printOptions horizontalCentered="1"/>
  <pageMargins left="0.78740157480314965" right="0.39370078740157483" top="0.98425196850393704" bottom="0.98425196850393704" header="0.31496062992125984" footer="0.51181102362204722"/>
  <pageSetup paperSize="9" scale="64" firstPageNumber="0" orientation="portrait" r:id="rId1"/>
  <headerFooter scaleWithDoc="0" alignWithMargins="0">
    <oddFooter>&amp;C- &amp;P -</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5C5DB-A090-4F15-A495-866DC55154A2}">
  <sheetPr>
    <pageSetUpPr fitToPage="1"/>
  </sheetPr>
  <dimension ref="A1:AR35"/>
  <sheetViews>
    <sheetView view="pageBreakPreview" topLeftCell="A6" zoomScaleNormal="100" zoomScaleSheetLayoutView="100" workbookViewId="0">
      <selection activeCell="S17" sqref="S17"/>
    </sheetView>
  </sheetViews>
  <sheetFormatPr defaultColWidth="9" defaultRowHeight="13.8"/>
  <cols>
    <col min="1" max="1" width="1.6640625" style="497" customWidth="1"/>
    <col min="2" max="2" width="13.6640625" style="497" customWidth="1"/>
    <col min="3" max="3" width="6.6640625" style="497" customWidth="1"/>
    <col min="4" max="13" width="6.21875" style="497" customWidth="1"/>
    <col min="14" max="14" width="6.77734375" style="497" customWidth="1"/>
    <col min="15" max="15" width="1.21875" style="497" customWidth="1"/>
    <col min="16" max="16" width="7.109375" style="497" customWidth="1"/>
    <col min="17" max="18" width="9" style="497"/>
    <col min="19" max="19" width="6.21875" style="497" customWidth="1"/>
    <col min="20" max="20" width="5.6640625" style="497" customWidth="1"/>
    <col min="21" max="21" width="5.21875" style="497" customWidth="1"/>
    <col min="22" max="22" width="6" style="497" customWidth="1"/>
    <col min="23" max="24" width="5.77734375" style="497" customWidth="1"/>
    <col min="25" max="25" width="5.6640625" style="497" customWidth="1"/>
    <col min="26" max="27" width="5.44140625" style="497" customWidth="1"/>
    <col min="28" max="28" width="5.33203125" style="497" customWidth="1"/>
    <col min="29" max="29" width="5.6640625" style="497" customWidth="1"/>
    <col min="30" max="30" width="5.77734375" style="497" customWidth="1"/>
    <col min="31" max="31" width="5.44140625" style="497" customWidth="1"/>
    <col min="32" max="44" width="0" style="497" hidden="1" customWidth="1"/>
    <col min="45" max="16384" width="9" style="497"/>
  </cols>
  <sheetData>
    <row r="1" spans="1:44" ht="15">
      <c r="A1" s="1127" t="s">
        <v>512</v>
      </c>
      <c r="B1" s="1127"/>
      <c r="C1" s="779"/>
      <c r="D1" s="779"/>
      <c r="E1" s="779"/>
      <c r="F1" s="779"/>
      <c r="G1" s="779"/>
      <c r="H1" s="779"/>
      <c r="I1" s="779"/>
      <c r="J1" s="779"/>
      <c r="K1" s="779"/>
    </row>
    <row r="2" spans="1:44">
      <c r="A2" s="779"/>
      <c r="B2" s="779"/>
      <c r="C2" s="779"/>
      <c r="D2" s="779"/>
      <c r="E2" s="779"/>
      <c r="F2" s="779"/>
      <c r="G2" s="779"/>
      <c r="H2" s="779"/>
      <c r="I2" s="779"/>
      <c r="J2" s="779"/>
      <c r="K2" s="779"/>
    </row>
    <row r="3" spans="1:44" ht="15.6" thickBot="1">
      <c r="A3" s="1128" t="s">
        <v>513</v>
      </c>
      <c r="B3" s="650"/>
      <c r="C3" s="779"/>
      <c r="D3" s="779"/>
      <c r="E3" s="779"/>
      <c r="F3" s="779"/>
      <c r="G3" s="779"/>
      <c r="H3" s="779"/>
      <c r="I3" s="779"/>
      <c r="J3" s="779"/>
      <c r="K3" s="779"/>
    </row>
    <row r="4" spans="1:44">
      <c r="A4" s="1654" t="s">
        <v>608</v>
      </c>
      <c r="B4" s="1655"/>
      <c r="C4" s="1621" t="s">
        <v>735</v>
      </c>
      <c r="D4" s="1549" t="s">
        <v>367</v>
      </c>
      <c r="E4" s="1549" t="s">
        <v>368</v>
      </c>
      <c r="F4" s="1549" t="s">
        <v>369</v>
      </c>
      <c r="G4" s="1549" t="s">
        <v>370</v>
      </c>
      <c r="H4" s="1549" t="s">
        <v>371</v>
      </c>
      <c r="I4" s="1549" t="s">
        <v>399</v>
      </c>
      <c r="J4" s="1651" t="s">
        <v>400</v>
      </c>
      <c r="K4" s="1652" t="s">
        <v>616</v>
      </c>
      <c r="L4" s="1649" t="s">
        <v>617</v>
      </c>
      <c r="M4" s="1649" t="s">
        <v>511</v>
      </c>
      <c r="N4" s="1648" t="s">
        <v>559</v>
      </c>
      <c r="AE4" s="812">
        <v>1</v>
      </c>
      <c r="AF4" s="813">
        <v>2</v>
      </c>
      <c r="AG4" s="813">
        <v>3</v>
      </c>
      <c r="AH4" s="813">
        <v>4</v>
      </c>
      <c r="AI4" s="813">
        <v>5</v>
      </c>
      <c r="AJ4" s="813">
        <v>6</v>
      </c>
      <c r="AK4" s="813">
        <v>7</v>
      </c>
      <c r="AL4" s="813">
        <v>8</v>
      </c>
      <c r="AM4" s="813">
        <v>9</v>
      </c>
      <c r="AN4" s="813">
        <v>10</v>
      </c>
      <c r="AO4" s="813">
        <v>11</v>
      </c>
      <c r="AP4" s="814">
        <v>12</v>
      </c>
      <c r="AQ4" s="815" t="s">
        <v>402</v>
      </c>
    </row>
    <row r="5" spans="1:44" ht="14.4" thickBot="1">
      <c r="A5" s="1650" t="s">
        <v>619</v>
      </c>
      <c r="B5" s="1627"/>
      <c r="C5" s="1622"/>
      <c r="D5" s="1619"/>
      <c r="E5" s="1619"/>
      <c r="F5" s="1619"/>
      <c r="G5" s="1619"/>
      <c r="H5" s="1619"/>
      <c r="I5" s="1619"/>
      <c r="J5" s="1619"/>
      <c r="K5" s="1653"/>
      <c r="L5" s="1580"/>
      <c r="M5" s="1580"/>
      <c r="N5" s="1578"/>
      <c r="AE5" s="816"/>
      <c r="AF5" s="817"/>
      <c r="AG5" s="817"/>
      <c r="AH5" s="817"/>
      <c r="AI5" s="817"/>
      <c r="AJ5" s="817"/>
      <c r="AK5" s="817"/>
      <c r="AL5" s="817"/>
      <c r="AM5" s="817"/>
      <c r="AN5" s="817"/>
      <c r="AO5" s="817"/>
      <c r="AP5" s="818"/>
      <c r="AQ5" s="668"/>
    </row>
    <row r="6" spans="1:44" s="500" customFormat="1" ht="18" customHeight="1">
      <c r="A6" s="1474" t="s">
        <v>738</v>
      </c>
      <c r="B6" s="1280"/>
      <c r="C6" s="1129">
        <v>42</v>
      </c>
      <c r="D6" s="1908">
        <v>0</v>
      </c>
      <c r="E6" s="1908">
        <v>2</v>
      </c>
      <c r="F6" s="1908">
        <v>0</v>
      </c>
      <c r="G6" s="1908">
        <v>3</v>
      </c>
      <c r="H6" s="1909">
        <v>0</v>
      </c>
      <c r="I6" s="1910">
        <v>1</v>
      </c>
      <c r="J6" s="1908">
        <v>0</v>
      </c>
      <c r="K6" s="1909">
        <v>1</v>
      </c>
      <c r="L6" s="1910">
        <v>0</v>
      </c>
      <c r="M6" s="1910">
        <v>1</v>
      </c>
      <c r="N6" s="634">
        <v>1</v>
      </c>
      <c r="AE6" s="414" t="e">
        <f>'[1]★２１ページ子ども（年齢別）'!Q5</f>
        <v>#REF!</v>
      </c>
      <c r="AF6" s="414" t="e">
        <f>'[1]★２１ページ子ども（年齢別）'!R5</f>
        <v>#REF!</v>
      </c>
      <c r="AG6" s="414" t="e">
        <f>'[1]★２１ページ子ども（年齢別）'!S5</f>
        <v>#REF!</v>
      </c>
      <c r="AH6" s="414" t="e">
        <f>'[1]★２１ページ子ども（年齢別）'!T5</f>
        <v>#REF!</v>
      </c>
      <c r="AI6" s="414" t="e">
        <f>'[1]★２１ページ子ども（年齢別）'!U5</f>
        <v>#REF!</v>
      </c>
      <c r="AJ6" s="414" t="e">
        <f>'[1]★２１ページ子ども（年齢別）'!V5</f>
        <v>#REF!</v>
      </c>
      <c r="AK6" s="414" t="e">
        <f>'[1]★２１ページ子ども（年齢別）'!W5</f>
        <v>#REF!</v>
      </c>
      <c r="AL6" s="414" t="e">
        <f>'[1]★２１ページ子ども（年齢別）'!X5</f>
        <v>#REF!</v>
      </c>
      <c r="AM6" s="414" t="e">
        <f>'[1]★２１ページ子ども（年齢別）'!Y5</f>
        <v>#REF!</v>
      </c>
      <c r="AN6" s="414" t="e">
        <f>'[1]★２１ページ子ども（年齢別）'!Z5</f>
        <v>#REF!</v>
      </c>
      <c r="AO6" s="414" t="e">
        <f>'[1]★２１ページ子ども（年齢別）'!AA5</f>
        <v>#REF!</v>
      </c>
      <c r="AP6" s="414" t="e">
        <f>'[1]★２１ページ子ども（年齢別）'!AB5</f>
        <v>#REF!</v>
      </c>
      <c r="AQ6" s="421" t="e">
        <f t="shared" ref="AQ6:AR15" si="0">SUM(AE6:AP6)</f>
        <v>#REF!</v>
      </c>
    </row>
    <row r="7" spans="1:44" s="500" customFormat="1" ht="18" customHeight="1">
      <c r="A7" s="1618" t="s">
        <v>739</v>
      </c>
      <c r="B7" s="1297"/>
      <c r="C7" s="328">
        <v>3913</v>
      </c>
      <c r="D7" s="1911">
        <v>634</v>
      </c>
      <c r="E7" s="1911">
        <v>661</v>
      </c>
      <c r="F7" s="1911">
        <v>615</v>
      </c>
      <c r="G7" s="1911">
        <v>588</v>
      </c>
      <c r="H7" s="1912">
        <v>547</v>
      </c>
      <c r="I7" s="1913">
        <v>399</v>
      </c>
      <c r="J7" s="1911">
        <v>426</v>
      </c>
      <c r="K7" s="1912">
        <v>381</v>
      </c>
      <c r="L7" s="1913">
        <v>446</v>
      </c>
      <c r="M7" s="1913">
        <v>343</v>
      </c>
      <c r="N7" s="526">
        <v>366</v>
      </c>
      <c r="AE7" s="1914" t="e">
        <f>'[1]★２１ページ子ども（年齢別）'!Q20</f>
        <v>#REF!</v>
      </c>
      <c r="AF7" s="1914" t="e">
        <f>'[1]★２１ページ子ども（年齢別）'!R20</f>
        <v>#REF!</v>
      </c>
      <c r="AG7" s="1914" t="e">
        <f>'[1]★２１ページ子ども（年齢別）'!S20</f>
        <v>#REF!</v>
      </c>
      <c r="AH7" s="1914" t="e">
        <f>'[1]★２１ページ子ども（年齢別）'!T20</f>
        <v>#REF!</v>
      </c>
      <c r="AI7" s="1914" t="e">
        <f>'[1]★２１ページ子ども（年齢別）'!U20</f>
        <v>#REF!</v>
      </c>
      <c r="AJ7" s="1914" t="e">
        <f>'[1]★２１ページ子ども（年齢別）'!V20</f>
        <v>#REF!</v>
      </c>
      <c r="AK7" s="1914" t="e">
        <f>'[1]★２１ページ子ども（年齢別）'!W20</f>
        <v>#REF!</v>
      </c>
      <c r="AL7" s="1914" t="e">
        <f>'[1]★２１ページ子ども（年齢別）'!X20</f>
        <v>#REF!</v>
      </c>
      <c r="AM7" s="1914" t="e">
        <f>'[1]★２１ページ子ども（年齢別）'!Y20</f>
        <v>#REF!</v>
      </c>
      <c r="AN7" s="1914" t="e">
        <f>'[1]★２１ページ子ども（年齢別）'!Z20</f>
        <v>#REF!</v>
      </c>
      <c r="AO7" s="1914" t="e">
        <f>'[1]★２１ページ子ども（年齢別）'!AA20</f>
        <v>#REF!</v>
      </c>
      <c r="AP7" s="1914" t="e">
        <f>'[1]★２１ページ子ども（年齢別）'!AB20</f>
        <v>#REF!</v>
      </c>
      <c r="AQ7" s="734" t="e">
        <f t="shared" si="0"/>
        <v>#REF!</v>
      </c>
    </row>
    <row r="8" spans="1:44" s="500" customFormat="1" ht="18" customHeight="1">
      <c r="A8" s="853"/>
      <c r="B8" s="555" t="s">
        <v>775</v>
      </c>
      <c r="C8" s="1131" t="s">
        <v>11</v>
      </c>
      <c r="D8" s="1915" t="s">
        <v>404</v>
      </c>
      <c r="E8" s="1915" t="s">
        <v>404</v>
      </c>
      <c r="F8" s="1915" t="s">
        <v>404</v>
      </c>
      <c r="G8" s="1911">
        <v>33</v>
      </c>
      <c r="H8" s="1912">
        <v>22</v>
      </c>
      <c r="I8" s="1913">
        <v>27</v>
      </c>
      <c r="J8" s="1911">
        <v>26</v>
      </c>
      <c r="K8" s="1912">
        <v>11</v>
      </c>
      <c r="L8" s="1913">
        <v>27</v>
      </c>
      <c r="M8" s="1913">
        <v>26</v>
      </c>
      <c r="N8" s="526">
        <v>27</v>
      </c>
      <c r="AE8" s="1914" t="e">
        <f>'[1]★２１ページ子ども（年齢別）'!Q23</f>
        <v>#REF!</v>
      </c>
      <c r="AF8" s="1914" t="e">
        <f>'[1]★２１ページ子ども（年齢別）'!R23</f>
        <v>#REF!</v>
      </c>
      <c r="AG8" s="1914" t="e">
        <f>'[1]★２１ページ子ども（年齢別）'!S23</f>
        <v>#REF!</v>
      </c>
      <c r="AH8" s="1914" t="e">
        <f>'[1]★２１ページ子ども（年齢別）'!T23</f>
        <v>#REF!</v>
      </c>
      <c r="AI8" s="1914" t="e">
        <f>'[1]★２１ページ子ども（年齢別）'!U23</f>
        <v>#REF!</v>
      </c>
      <c r="AJ8" s="1914" t="e">
        <f>'[1]★２１ページ子ども（年齢別）'!V23</f>
        <v>#REF!</v>
      </c>
      <c r="AK8" s="1914" t="e">
        <f>'[1]★２１ページ子ども（年齢別）'!W23</f>
        <v>#REF!</v>
      </c>
      <c r="AL8" s="1914" t="e">
        <f>'[1]★２１ページ子ども（年齢別）'!X23</f>
        <v>#REF!</v>
      </c>
      <c r="AM8" s="1914" t="e">
        <f>'[1]★２１ページ子ども（年齢別）'!Y23</f>
        <v>#REF!</v>
      </c>
      <c r="AN8" s="1914" t="e">
        <f>'[1]★２１ページ子ども（年齢別）'!Z23</f>
        <v>#REF!</v>
      </c>
      <c r="AO8" s="1914" t="e">
        <f>'[1]★２１ページ子ども（年齢別）'!AA23</f>
        <v>#REF!</v>
      </c>
      <c r="AP8" s="1914" t="e">
        <f>'[1]★２１ページ子ども（年齢別）'!AB23</f>
        <v>#REF!</v>
      </c>
      <c r="AQ8" s="734" t="e">
        <f t="shared" si="0"/>
        <v>#REF!</v>
      </c>
    </row>
    <row r="9" spans="1:44" s="500" customFormat="1" ht="18" customHeight="1">
      <c r="A9" s="1489" t="s">
        <v>742</v>
      </c>
      <c r="B9" s="1297"/>
      <c r="C9" s="327">
        <v>280</v>
      </c>
      <c r="D9" s="709">
        <v>51</v>
      </c>
      <c r="E9" s="709">
        <v>49</v>
      </c>
      <c r="F9" s="709">
        <v>44</v>
      </c>
      <c r="G9" s="709">
        <v>44</v>
      </c>
      <c r="H9" s="1916">
        <v>34</v>
      </c>
      <c r="I9" s="1078">
        <v>37</v>
      </c>
      <c r="J9" s="709">
        <v>43</v>
      </c>
      <c r="K9" s="1916">
        <v>40</v>
      </c>
      <c r="L9" s="1078">
        <v>40</v>
      </c>
      <c r="M9" s="1078">
        <v>43</v>
      </c>
      <c r="N9" s="666">
        <v>43</v>
      </c>
      <c r="AE9" s="1914" t="e">
        <f>'[1]★２１ページ子ども（年齢別）'!Q26</f>
        <v>#REF!</v>
      </c>
      <c r="AF9" s="1914" t="e">
        <f>'[1]★２１ページ子ども（年齢別）'!R26</f>
        <v>#REF!</v>
      </c>
      <c r="AG9" s="1914" t="e">
        <f>'[1]★２１ページ子ども（年齢別）'!S26</f>
        <v>#REF!</v>
      </c>
      <c r="AH9" s="1914" t="e">
        <f>'[1]★２１ページ子ども（年齢別）'!T26</f>
        <v>#REF!</v>
      </c>
      <c r="AI9" s="1914" t="e">
        <f>'[1]★２１ページ子ども（年齢別）'!U26</f>
        <v>#REF!</v>
      </c>
      <c r="AJ9" s="1914" t="e">
        <f>'[1]★２１ページ子ども（年齢別）'!V26</f>
        <v>#REF!</v>
      </c>
      <c r="AK9" s="1914" t="e">
        <f>'[1]★２１ページ子ども（年齢別）'!W26</f>
        <v>#REF!</v>
      </c>
      <c r="AL9" s="1914" t="e">
        <f>'[1]★２１ページ子ども（年齢別）'!X26</f>
        <v>#REF!</v>
      </c>
      <c r="AM9" s="1914" t="e">
        <f>'[1]★２１ページ子ども（年齢別）'!Y26</f>
        <v>#REF!</v>
      </c>
      <c r="AN9" s="1914" t="e">
        <f>'[1]★２１ページ子ども（年齢別）'!Z26</f>
        <v>#REF!</v>
      </c>
      <c r="AO9" s="1914" t="e">
        <f>'[1]★２１ページ子ども（年齢別）'!AA26</f>
        <v>#REF!</v>
      </c>
      <c r="AP9" s="1914" t="e">
        <f>'[1]★２１ページ子ども（年齢別）'!AB26</f>
        <v>#REF!</v>
      </c>
      <c r="AQ9" s="734" t="e">
        <f t="shared" si="0"/>
        <v>#REF!</v>
      </c>
    </row>
    <row r="10" spans="1:44" s="500" customFormat="1" ht="18" customHeight="1" thickBot="1">
      <c r="A10" s="1611" t="s">
        <v>743</v>
      </c>
      <c r="B10" s="1656"/>
      <c r="C10" s="1132">
        <f t="shared" ref="C10:L10" si="1">C6/C9*100</f>
        <v>15</v>
      </c>
      <c r="D10" s="969">
        <f t="shared" si="1"/>
        <v>0</v>
      </c>
      <c r="E10" s="969">
        <f t="shared" si="1"/>
        <v>4.0816326530612246</v>
      </c>
      <c r="F10" s="969">
        <f t="shared" si="1"/>
        <v>0</v>
      </c>
      <c r="G10" s="969">
        <f t="shared" si="1"/>
        <v>6.8181818181818175</v>
      </c>
      <c r="H10" s="1133">
        <f t="shared" si="1"/>
        <v>0</v>
      </c>
      <c r="I10" s="968">
        <f t="shared" si="1"/>
        <v>2.7027027027027026</v>
      </c>
      <c r="J10" s="969">
        <f t="shared" si="1"/>
        <v>0</v>
      </c>
      <c r="K10" s="1133">
        <f t="shared" si="1"/>
        <v>2.5</v>
      </c>
      <c r="L10" s="968">
        <f t="shared" si="1"/>
        <v>0</v>
      </c>
      <c r="M10" s="968">
        <f>M6/M9*100</f>
        <v>2.3255813953488373</v>
      </c>
      <c r="N10" s="781">
        <f>N6/N9*100</f>
        <v>2.3255813953488373</v>
      </c>
      <c r="AE10" s="1914" t="e">
        <f>'[1]★２１ページ子ども（年齢別）'!Q29</f>
        <v>#REF!</v>
      </c>
      <c r="AF10" s="1914" t="e">
        <f>'[1]★２１ページ子ども（年齢別）'!R29</f>
        <v>#REF!</v>
      </c>
      <c r="AG10" s="1914" t="e">
        <f>'[1]★２１ページ子ども（年齢別）'!S29</f>
        <v>#REF!</v>
      </c>
      <c r="AH10" s="1914" t="e">
        <f>'[1]★２１ページ子ども（年齢別）'!T29</f>
        <v>#REF!</v>
      </c>
      <c r="AI10" s="1914" t="e">
        <f>'[1]★２１ページ子ども（年齢別）'!U29</f>
        <v>#REF!</v>
      </c>
      <c r="AJ10" s="1914" t="e">
        <f>'[1]★２１ページ子ども（年齢別）'!V29</f>
        <v>#REF!</v>
      </c>
      <c r="AK10" s="1914" t="e">
        <f>'[1]★２１ページ子ども（年齢別）'!W29</f>
        <v>#REF!</v>
      </c>
      <c r="AL10" s="1914" t="e">
        <f>'[1]★２１ページ子ども（年齢別）'!X29</f>
        <v>#REF!</v>
      </c>
      <c r="AM10" s="1914" t="e">
        <f>'[1]★２１ページ子ども（年齢別）'!Y29</f>
        <v>#REF!</v>
      </c>
      <c r="AN10" s="1914" t="e">
        <f>'[1]★２１ページ子ども（年齢別）'!Z29</f>
        <v>#REF!</v>
      </c>
      <c r="AO10" s="1914" t="e">
        <f>'[1]★２１ページ子ども（年齢別）'!AA29</f>
        <v>#REF!</v>
      </c>
      <c r="AP10" s="1914" t="e">
        <f>'[1]★２１ページ子ども（年齢別）'!AB29</f>
        <v>#REF!</v>
      </c>
      <c r="AQ10" s="734" t="e">
        <f t="shared" si="0"/>
        <v>#REF!</v>
      </c>
    </row>
    <row r="11" spans="1:44" s="680" customFormat="1" ht="15" customHeight="1">
      <c r="A11" s="1929" t="s">
        <v>924</v>
      </c>
      <c r="B11" s="1929"/>
      <c r="C11" s="1929"/>
      <c r="D11" s="1929"/>
      <c r="E11" s="1929"/>
      <c r="F11" s="1929"/>
      <c r="G11" s="1929"/>
      <c r="H11" s="1929"/>
      <c r="I11" s="1929"/>
      <c r="J11" s="1929"/>
      <c r="K11" s="1929"/>
      <c r="L11" s="1929"/>
      <c r="M11" s="1929"/>
      <c r="N11" s="1929"/>
      <c r="AF11" s="1976" t="e">
        <f>'[1]★２１ページ子ども（年齢別）'!Q32</f>
        <v>#REF!</v>
      </c>
      <c r="AG11" s="1976" t="e">
        <f>'[1]★２１ページ子ども（年齢別）'!R32</f>
        <v>#REF!</v>
      </c>
      <c r="AH11" s="1976" t="e">
        <f>'[1]★２１ページ子ども（年齢別）'!S32</f>
        <v>#REF!</v>
      </c>
      <c r="AI11" s="1976" t="e">
        <f>'[1]★２１ページ子ども（年齢別）'!T32</f>
        <v>#REF!</v>
      </c>
      <c r="AJ11" s="1976" t="e">
        <f>'[1]★２１ページ子ども（年齢別）'!U32</f>
        <v>#REF!</v>
      </c>
      <c r="AK11" s="1976" t="e">
        <f>'[1]★２１ページ子ども（年齢別）'!V32</f>
        <v>#REF!</v>
      </c>
      <c r="AL11" s="1976" t="e">
        <f>'[1]★２１ページ子ども（年齢別）'!W32</f>
        <v>#REF!</v>
      </c>
      <c r="AM11" s="1976" t="e">
        <f>'[1]★２１ページ子ども（年齢別）'!X32</f>
        <v>#REF!</v>
      </c>
      <c r="AN11" s="1976" t="e">
        <f>'[1]★２１ページ子ども（年齢別）'!Y32</f>
        <v>#REF!</v>
      </c>
      <c r="AO11" s="1976" t="e">
        <f>'[1]★２１ページ子ども（年齢別）'!Z32</f>
        <v>#REF!</v>
      </c>
      <c r="AP11" s="1976" t="e">
        <f>'[1]★２１ページ子ども（年齢別）'!AA32</f>
        <v>#REF!</v>
      </c>
      <c r="AQ11" s="1976" t="e">
        <f>'[1]★２１ページ子ども（年齢別）'!AB32</f>
        <v>#REF!</v>
      </c>
      <c r="AR11" s="1977" t="e">
        <f t="shared" si="0"/>
        <v>#REF!</v>
      </c>
    </row>
    <row r="12" spans="1:44" s="680" customFormat="1" ht="15" customHeight="1">
      <c r="A12" s="1978" t="s">
        <v>925</v>
      </c>
      <c r="B12" s="1978"/>
      <c r="C12" s="1978"/>
      <c r="D12" s="1978"/>
      <c r="E12" s="1978"/>
      <c r="F12" s="1978"/>
      <c r="G12" s="1978"/>
      <c r="H12" s="1978"/>
      <c r="I12" s="1978"/>
      <c r="J12" s="1978"/>
      <c r="K12" s="1978"/>
      <c r="L12" s="1978"/>
      <c r="M12" s="1978"/>
      <c r="N12" s="1978"/>
      <c r="AF12" s="1976"/>
      <c r="AG12" s="1976"/>
      <c r="AH12" s="1976"/>
      <c r="AI12" s="1976"/>
      <c r="AJ12" s="1976"/>
      <c r="AK12" s="1976"/>
      <c r="AL12" s="1976"/>
      <c r="AM12" s="1976"/>
      <c r="AN12" s="1976"/>
      <c r="AO12" s="1976"/>
      <c r="AP12" s="1976"/>
      <c r="AQ12" s="1976"/>
      <c r="AR12" s="1977"/>
    </row>
    <row r="13" spans="1:44" s="680" customFormat="1" ht="15" customHeight="1">
      <c r="A13" s="1972" t="s">
        <v>918</v>
      </c>
      <c r="B13" s="1972"/>
      <c r="C13" s="1972"/>
      <c r="D13" s="1972"/>
      <c r="E13" s="1972"/>
      <c r="F13" s="1972"/>
      <c r="G13" s="1972"/>
      <c r="H13" s="1972"/>
      <c r="I13" s="1972"/>
      <c r="J13" s="1972"/>
      <c r="K13" s="1972"/>
      <c r="L13" s="1972"/>
      <c r="M13" s="1972"/>
      <c r="N13" s="1972"/>
      <c r="AF13" s="1976" t="e">
        <f>'[1]★２１ページ子ども（年齢別）'!Q35</f>
        <v>#REF!</v>
      </c>
      <c r="AG13" s="1976" t="e">
        <f>'[1]★２１ページ子ども（年齢別）'!R35</f>
        <v>#REF!</v>
      </c>
      <c r="AH13" s="1976" t="e">
        <f>'[1]★２１ページ子ども（年齢別）'!S35</f>
        <v>#REF!</v>
      </c>
      <c r="AI13" s="1976" t="e">
        <f>'[1]★２１ページ子ども（年齢別）'!T35</f>
        <v>#REF!</v>
      </c>
      <c r="AJ13" s="1976" t="e">
        <f>'[1]★２１ページ子ども（年齢別）'!U35</f>
        <v>#REF!</v>
      </c>
      <c r="AK13" s="1976" t="e">
        <f>'[1]★２１ページ子ども（年齢別）'!V35</f>
        <v>#REF!</v>
      </c>
      <c r="AL13" s="1976" t="e">
        <f>'[1]★２１ページ子ども（年齢別）'!W35</f>
        <v>#REF!</v>
      </c>
      <c r="AM13" s="1976" t="e">
        <f>'[1]★２１ページ子ども（年齢別）'!X35</f>
        <v>#REF!</v>
      </c>
      <c r="AN13" s="1976" t="e">
        <f>'[1]★２１ページ子ども（年齢別）'!Y35</f>
        <v>#REF!</v>
      </c>
      <c r="AO13" s="1976" t="e">
        <f>'[1]★２１ページ子ども（年齢別）'!Z35</f>
        <v>#REF!</v>
      </c>
      <c r="AP13" s="1976" t="e">
        <f>'[1]★２１ページ子ども（年齢別）'!AA35</f>
        <v>#REF!</v>
      </c>
      <c r="AQ13" s="1976" t="e">
        <f>'[1]★２１ページ子ども（年齢別）'!AB35</f>
        <v>#REF!</v>
      </c>
      <c r="AR13" s="1977" t="e">
        <f t="shared" si="0"/>
        <v>#REF!</v>
      </c>
    </row>
    <row r="14" spans="1:44" ht="28.5" customHeight="1">
      <c r="A14" s="779"/>
      <c r="B14" s="779"/>
      <c r="C14" s="779"/>
      <c r="D14" s="779"/>
      <c r="E14" s="779"/>
      <c r="F14" s="779"/>
      <c r="G14" s="779"/>
      <c r="H14" s="779"/>
      <c r="I14" s="779"/>
      <c r="J14" s="779"/>
      <c r="K14" s="779"/>
      <c r="AF14" s="1130" t="e">
        <f>'[1]★２１ページ子ども（年齢別）'!Q41</f>
        <v>#REF!</v>
      </c>
      <c r="AG14" s="1130" t="e">
        <f>'[1]★２１ページ子ども（年齢別）'!R41</f>
        <v>#REF!</v>
      </c>
      <c r="AH14" s="1130" t="e">
        <f>'[1]★２１ページ子ども（年齢別）'!S41</f>
        <v>#REF!</v>
      </c>
      <c r="AI14" s="1130" t="e">
        <f>'[1]★２１ページ子ども（年齢別）'!T41</f>
        <v>#REF!</v>
      </c>
      <c r="AJ14" s="1130" t="e">
        <f>'[1]★２１ページ子ども（年齢別）'!U41</f>
        <v>#REF!</v>
      </c>
      <c r="AK14" s="1130" t="e">
        <f>'[1]★２１ページ子ども（年齢別）'!V41</f>
        <v>#REF!</v>
      </c>
      <c r="AL14" s="1130" t="e">
        <f>'[1]★２１ページ子ども（年齢別）'!W41</f>
        <v>#REF!</v>
      </c>
      <c r="AM14" s="1130" t="e">
        <f>'[1]★２１ページ子ども（年齢別）'!X41</f>
        <v>#REF!</v>
      </c>
      <c r="AN14" s="1130" t="e">
        <f>'[1]★２１ページ子ども（年齢別）'!Y41</f>
        <v>#REF!</v>
      </c>
      <c r="AO14" s="1130" t="e">
        <f>'[1]★２１ページ子ども（年齢別）'!Z41</f>
        <v>#REF!</v>
      </c>
      <c r="AP14" s="1130" t="e">
        <f>'[1]★２１ページ子ども（年齢別）'!AA41</f>
        <v>#REF!</v>
      </c>
      <c r="AQ14" s="1130" t="e">
        <f>'[1]★２１ページ子ども（年齢別）'!AB41</f>
        <v>#REF!</v>
      </c>
      <c r="AR14" s="669" t="e">
        <f t="shared" si="0"/>
        <v>#REF!</v>
      </c>
    </row>
    <row r="15" spans="1:44" ht="30" customHeight="1">
      <c r="A15" s="779"/>
      <c r="B15" s="779"/>
      <c r="C15" s="779"/>
      <c r="D15" s="779"/>
      <c r="E15" s="779"/>
      <c r="F15" s="779"/>
      <c r="G15" s="779"/>
      <c r="H15" s="779"/>
      <c r="I15" s="779"/>
      <c r="J15" s="779"/>
      <c r="K15" s="779"/>
      <c r="AF15" s="1130" t="e">
        <f>'[1]★２１ページ子ども（年齢別）'!Q44</f>
        <v>#REF!</v>
      </c>
      <c r="AG15" s="1130" t="e">
        <f>'[1]★２１ページ子ども（年齢別）'!R44</f>
        <v>#REF!</v>
      </c>
      <c r="AH15" s="1130" t="e">
        <f>'[1]★２１ページ子ども（年齢別）'!S44</f>
        <v>#REF!</v>
      </c>
      <c r="AI15" s="1130" t="e">
        <f>'[1]★２１ページ子ども（年齢別）'!T44</f>
        <v>#REF!</v>
      </c>
      <c r="AJ15" s="1130" t="e">
        <f>'[1]★２１ページ子ども（年齢別）'!U44</f>
        <v>#REF!</v>
      </c>
      <c r="AK15" s="1130" t="e">
        <f>'[1]★２１ページ子ども（年齢別）'!V44</f>
        <v>#REF!</v>
      </c>
      <c r="AL15" s="1130" t="e">
        <f>'[1]★２１ページ子ども（年齢別）'!W44</f>
        <v>#REF!</v>
      </c>
      <c r="AM15" s="1130" t="e">
        <f>'[1]★２１ページ子ども（年齢別）'!X44</f>
        <v>#REF!</v>
      </c>
      <c r="AN15" s="1130" t="e">
        <f>'[1]★２１ページ子ども（年齢別）'!Y44</f>
        <v>#REF!</v>
      </c>
      <c r="AO15" s="1130" t="e">
        <f>'[1]★２１ページ子ども（年齢別）'!Z44</f>
        <v>#REF!</v>
      </c>
      <c r="AP15" s="1130" t="e">
        <f>'[1]★２１ページ子ども（年齢別）'!AA44</f>
        <v>#REF!</v>
      </c>
      <c r="AQ15" s="1130" t="e">
        <f>'[1]★２１ページ子ども（年齢別）'!AB44</f>
        <v>#REF!</v>
      </c>
      <c r="AR15" s="669" t="e">
        <f t="shared" si="0"/>
        <v>#REF!</v>
      </c>
    </row>
    <row r="16" spans="1:44" ht="30" customHeight="1">
      <c r="A16" s="779"/>
      <c r="B16" s="779"/>
      <c r="C16" s="779"/>
      <c r="D16" s="779"/>
      <c r="E16" s="779"/>
      <c r="F16" s="779"/>
      <c r="G16" s="779"/>
      <c r="H16" s="779"/>
      <c r="I16" s="779"/>
      <c r="J16" s="779"/>
      <c r="K16" s="779"/>
    </row>
    <row r="17" spans="1:31" ht="45" customHeight="1">
      <c r="A17" s="779"/>
      <c r="B17" s="779"/>
      <c r="C17" s="779"/>
      <c r="D17" s="779"/>
      <c r="E17" s="779"/>
      <c r="F17" s="779"/>
      <c r="G17" s="779"/>
      <c r="H17" s="779"/>
      <c r="I17" s="779"/>
      <c r="J17" s="779"/>
      <c r="K17" s="779"/>
    </row>
    <row r="18" spans="1:31">
      <c r="A18" s="779"/>
      <c r="B18" s="779"/>
      <c r="C18" s="779"/>
      <c r="D18" s="779"/>
      <c r="E18" s="779"/>
      <c r="F18" s="779"/>
      <c r="G18" s="779"/>
      <c r="H18" s="779"/>
      <c r="I18" s="779"/>
      <c r="J18" s="779"/>
      <c r="K18" s="779"/>
    </row>
    <row r="19" spans="1:31">
      <c r="A19" s="779"/>
      <c r="B19" s="779"/>
      <c r="C19" s="779"/>
      <c r="D19" s="779"/>
      <c r="E19" s="779"/>
      <c r="F19" s="779"/>
      <c r="G19" s="779"/>
      <c r="H19" s="779"/>
      <c r="I19" s="779"/>
      <c r="J19" s="779"/>
    </row>
    <row r="20" spans="1:31">
      <c r="A20" s="779"/>
      <c r="B20" s="779"/>
      <c r="C20" s="779"/>
      <c r="D20" s="779"/>
      <c r="E20" s="779"/>
      <c r="F20" s="779"/>
      <c r="G20" s="779"/>
      <c r="H20" s="779"/>
      <c r="I20" s="779"/>
      <c r="J20" s="779"/>
      <c r="K20" s="779"/>
    </row>
    <row r="21" spans="1:31">
      <c r="A21" s="779"/>
      <c r="B21" s="779"/>
      <c r="C21" s="779"/>
      <c r="D21" s="779"/>
      <c r="E21" s="779"/>
      <c r="F21" s="779"/>
      <c r="G21" s="779"/>
      <c r="H21" s="779"/>
      <c r="I21" s="779"/>
      <c r="J21" s="779"/>
      <c r="K21" s="779"/>
    </row>
    <row r="22" spans="1:31">
      <c r="A22" s="779"/>
      <c r="B22" s="779"/>
      <c r="C22" s="779"/>
      <c r="D22" s="779"/>
      <c r="E22" s="779"/>
      <c r="F22" s="779"/>
      <c r="G22" s="779"/>
      <c r="H22" s="779"/>
      <c r="I22" s="779"/>
      <c r="J22" s="779"/>
      <c r="K22" s="779"/>
    </row>
    <row r="23" spans="1:31">
      <c r="A23" s="779"/>
      <c r="B23" s="779"/>
      <c r="C23" s="779"/>
      <c r="D23" s="779"/>
      <c r="E23" s="779"/>
      <c r="F23" s="779"/>
      <c r="G23" s="779"/>
      <c r="H23" s="779"/>
      <c r="I23" s="779"/>
      <c r="J23" s="779"/>
      <c r="K23" s="779"/>
    </row>
    <row r="24" spans="1:31">
      <c r="A24" s="779"/>
      <c r="B24" s="779"/>
      <c r="C24" s="779"/>
      <c r="D24" s="779"/>
      <c r="E24" s="779"/>
      <c r="F24" s="779"/>
      <c r="G24" s="779"/>
      <c r="H24" s="779"/>
      <c r="I24" s="779"/>
      <c r="J24" s="779"/>
      <c r="K24" s="779"/>
    </row>
    <row r="25" spans="1:31">
      <c r="A25" s="779"/>
      <c r="B25" s="779"/>
      <c r="C25" s="779"/>
      <c r="D25" s="779"/>
      <c r="E25" s="779"/>
      <c r="F25" s="779"/>
      <c r="G25" s="779"/>
      <c r="H25" s="779"/>
      <c r="I25" s="779"/>
      <c r="J25" s="779"/>
      <c r="K25" s="779"/>
    </row>
    <row r="26" spans="1:31">
      <c r="A26" s="779"/>
      <c r="B26" s="779"/>
      <c r="C26" s="779"/>
      <c r="D26" s="779"/>
      <c r="E26" s="779"/>
      <c r="F26" s="779"/>
      <c r="G26" s="779"/>
      <c r="H26" s="779"/>
      <c r="I26" s="779"/>
      <c r="J26" s="779"/>
      <c r="K26" s="779"/>
    </row>
    <row r="27" spans="1:31">
      <c r="A27" s="779"/>
      <c r="B27" s="779"/>
      <c r="C27" s="779"/>
      <c r="D27" s="779"/>
      <c r="E27" s="779"/>
      <c r="F27" s="779"/>
      <c r="G27" s="779"/>
      <c r="H27" s="779"/>
      <c r="I27" s="779"/>
      <c r="J27" s="779"/>
      <c r="K27" s="779"/>
    </row>
    <row r="28" spans="1:31" ht="14.4" thickBot="1">
      <c r="A28" s="779"/>
      <c r="B28" s="779"/>
      <c r="C28" s="779"/>
      <c r="D28" s="779"/>
      <c r="E28" s="779"/>
      <c r="F28" s="779"/>
      <c r="G28" s="779"/>
      <c r="H28" s="779"/>
      <c r="I28" s="779"/>
      <c r="J28" s="779"/>
      <c r="K28" s="779"/>
    </row>
    <row r="29" spans="1:31">
      <c r="A29" s="779"/>
      <c r="B29" s="779"/>
      <c r="C29" s="779"/>
      <c r="D29" s="779"/>
      <c r="E29" s="779"/>
      <c r="F29" s="779"/>
      <c r="G29" s="779"/>
      <c r="H29" s="779"/>
      <c r="I29" s="779"/>
      <c r="J29" s="779"/>
      <c r="K29" s="779"/>
      <c r="Q29" s="543"/>
      <c r="R29" s="857" t="s">
        <v>401</v>
      </c>
      <c r="S29" s="812">
        <v>1</v>
      </c>
      <c r="T29" s="813">
        <v>2</v>
      </c>
      <c r="U29" s="813">
        <v>3</v>
      </c>
      <c r="V29" s="813">
        <v>4</v>
      </c>
      <c r="W29" s="813">
        <v>5</v>
      </c>
      <c r="X29" s="813">
        <v>6</v>
      </c>
      <c r="Y29" s="813">
        <v>7</v>
      </c>
      <c r="Z29" s="813">
        <v>8</v>
      </c>
      <c r="AA29" s="813">
        <v>9</v>
      </c>
      <c r="AB29" s="813">
        <v>10</v>
      </c>
      <c r="AC29" s="813">
        <v>11</v>
      </c>
      <c r="AD29" s="814">
        <v>12</v>
      </c>
      <c r="AE29" s="815" t="s">
        <v>402</v>
      </c>
    </row>
    <row r="30" spans="1:31" ht="14.4" thickBot="1">
      <c r="A30" s="779"/>
      <c r="B30" s="779"/>
      <c r="C30" s="779"/>
      <c r="D30" s="779"/>
      <c r="E30" s="779"/>
      <c r="F30" s="779"/>
      <c r="G30" s="779"/>
      <c r="H30" s="779"/>
      <c r="I30" s="779"/>
      <c r="J30" s="779"/>
      <c r="K30" s="779"/>
      <c r="Q30" s="798" t="s">
        <v>403</v>
      </c>
      <c r="S30" s="816"/>
      <c r="T30" s="817"/>
      <c r="U30" s="817"/>
      <c r="V30" s="817"/>
      <c r="W30" s="817"/>
      <c r="X30" s="817"/>
      <c r="Y30" s="817"/>
      <c r="Z30" s="817"/>
      <c r="AA30" s="817"/>
      <c r="AB30" s="817"/>
      <c r="AC30" s="817"/>
      <c r="AD30" s="818"/>
      <c r="AE30" s="498"/>
    </row>
    <row r="31" spans="1:31" ht="14.4" thickBot="1">
      <c r="A31" s="779"/>
      <c r="B31" s="779"/>
      <c r="C31" s="779"/>
      <c r="D31" s="779"/>
      <c r="E31" s="779"/>
      <c r="F31" s="779"/>
      <c r="G31" s="779"/>
      <c r="H31" s="779"/>
      <c r="I31" s="779"/>
      <c r="J31" s="779"/>
      <c r="K31" s="779"/>
      <c r="Q31" s="1134" t="s">
        <v>544</v>
      </c>
      <c r="R31" s="1135" t="s">
        <v>542</v>
      </c>
      <c r="S31" s="1136">
        <v>0</v>
      </c>
      <c r="T31" s="820">
        <v>0</v>
      </c>
      <c r="U31" s="820">
        <v>0</v>
      </c>
      <c r="V31" s="820">
        <v>0</v>
      </c>
      <c r="W31" s="820">
        <v>0</v>
      </c>
      <c r="X31" s="820">
        <v>0</v>
      </c>
      <c r="Y31" s="820">
        <v>0</v>
      </c>
      <c r="Z31" s="820">
        <v>0</v>
      </c>
      <c r="AA31" s="820">
        <v>0</v>
      </c>
      <c r="AB31" s="820">
        <v>1</v>
      </c>
      <c r="AC31" s="820">
        <v>0</v>
      </c>
      <c r="AD31" s="706">
        <v>0</v>
      </c>
      <c r="AE31" s="1137">
        <f>SUM(S31:AD31)</f>
        <v>1</v>
      </c>
    </row>
    <row r="32" spans="1:31" ht="14.4" thickBot="1">
      <c r="A32" s="779"/>
      <c r="B32" s="779"/>
      <c r="C32" s="779"/>
      <c r="D32" s="779"/>
      <c r="E32" s="779"/>
      <c r="F32" s="779"/>
      <c r="G32" s="779"/>
      <c r="H32" s="779"/>
      <c r="I32" s="779"/>
      <c r="J32" s="779"/>
      <c r="K32" s="779"/>
      <c r="Q32" s="1134" t="s">
        <v>544</v>
      </c>
      <c r="R32" s="1138" t="s">
        <v>543</v>
      </c>
      <c r="S32" s="294">
        <v>24</v>
      </c>
      <c r="T32" s="270">
        <v>30</v>
      </c>
      <c r="U32" s="270">
        <v>39</v>
      </c>
      <c r="V32" s="270">
        <v>31</v>
      </c>
      <c r="W32" s="270">
        <v>22</v>
      </c>
      <c r="X32" s="270">
        <v>32</v>
      </c>
      <c r="Y32" s="270">
        <v>42</v>
      </c>
      <c r="Z32" s="270">
        <v>30</v>
      </c>
      <c r="AA32" s="270">
        <v>25</v>
      </c>
      <c r="AB32" s="270">
        <v>28</v>
      </c>
      <c r="AC32" s="270">
        <v>28</v>
      </c>
      <c r="AD32" s="271">
        <v>35</v>
      </c>
      <c r="AE32" s="1137">
        <f>SUM(S32:AD32)</f>
        <v>366</v>
      </c>
    </row>
    <row r="33" spans="1:11">
      <c r="A33" s="779"/>
      <c r="B33" s="779"/>
      <c r="C33" s="779"/>
      <c r="D33" s="779"/>
      <c r="E33" s="779"/>
      <c r="F33" s="779"/>
      <c r="G33" s="779"/>
      <c r="H33" s="779"/>
      <c r="I33" s="779"/>
      <c r="J33" s="779"/>
      <c r="K33" s="779"/>
    </row>
    <row r="34" spans="1:11">
      <c r="A34" s="779"/>
      <c r="B34" s="779"/>
      <c r="C34" s="779"/>
      <c r="D34" s="779"/>
      <c r="E34" s="779"/>
      <c r="F34" s="779"/>
      <c r="G34" s="779"/>
      <c r="H34" s="779"/>
      <c r="I34" s="779"/>
      <c r="J34" s="779"/>
      <c r="K34" s="779"/>
    </row>
    <row r="35" spans="1:11" s="680" customFormat="1" ht="15">
      <c r="B35" s="1939" t="s">
        <v>914</v>
      </c>
      <c r="C35" s="1975"/>
      <c r="D35" s="1975"/>
      <c r="E35" s="1975"/>
      <c r="F35" s="1975"/>
      <c r="G35" s="1975"/>
    </row>
  </sheetData>
  <mergeCells count="21">
    <mergeCell ref="A12:N12"/>
    <mergeCell ref="A13:N13"/>
    <mergeCell ref="A10:B10"/>
    <mergeCell ref="A9:B9"/>
    <mergeCell ref="A7:B7"/>
    <mergeCell ref="A11:N11"/>
    <mergeCell ref="N4:N5"/>
    <mergeCell ref="M4:M5"/>
    <mergeCell ref="L4:L5"/>
    <mergeCell ref="A5:B5"/>
    <mergeCell ref="A6:B6"/>
    <mergeCell ref="F4:F5"/>
    <mergeCell ref="G4:G5"/>
    <mergeCell ref="H4:H5"/>
    <mergeCell ref="I4:I5"/>
    <mergeCell ref="J4:J5"/>
    <mergeCell ref="K4:K5"/>
    <mergeCell ref="A4:B4"/>
    <mergeCell ref="C4:C5"/>
    <mergeCell ref="D4:D5"/>
    <mergeCell ref="E4:E5"/>
  </mergeCells>
  <phoneticPr fontId="4"/>
  <printOptions horizontalCentered="1"/>
  <pageMargins left="0.78740157480314965" right="0.39370078740157483" top="0.98425196850393704" bottom="0.98425196850393704" header="0.31496062992125984" footer="0.51181102362204722"/>
  <pageSetup paperSize="9" orientation="portrait" r:id="rId1"/>
  <headerFooter scaleWithDoc="0" alignWithMargins="0">
    <oddFooter>&amp;C- &amp;P -</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C520C6-D0E3-40AD-8C6D-EDCFF448CF45}">
  <sheetPr>
    <pageSetUpPr fitToPage="1"/>
  </sheetPr>
  <dimension ref="A1:P59"/>
  <sheetViews>
    <sheetView view="pageBreakPreview" topLeftCell="A36" zoomScale="90" zoomScaleNormal="100" zoomScaleSheetLayoutView="90" workbookViewId="0">
      <selection activeCell="L76" sqref="L76"/>
    </sheetView>
  </sheetViews>
  <sheetFormatPr defaultColWidth="9" defaultRowHeight="13.8"/>
  <cols>
    <col min="1" max="1" width="5.6640625" style="497" customWidth="1"/>
    <col min="2" max="2" width="1.44140625" style="497" customWidth="1"/>
    <col min="3" max="3" width="10.6640625" style="497" customWidth="1"/>
    <col min="4" max="15" width="5.6640625" style="497" customWidth="1"/>
    <col min="16" max="16" width="6.77734375" style="497" customWidth="1"/>
    <col min="17" max="16384" width="9" style="497"/>
  </cols>
  <sheetData>
    <row r="1" spans="1:16" ht="15">
      <c r="A1" s="650" t="s">
        <v>405</v>
      </c>
    </row>
    <row r="2" spans="1:16" ht="14.4" thickBot="1">
      <c r="N2" s="1385" t="s">
        <v>376</v>
      </c>
      <c r="O2" s="1385"/>
      <c r="P2" s="1385"/>
    </row>
    <row r="3" spans="1:16">
      <c r="A3" s="543"/>
      <c r="B3" s="797"/>
      <c r="C3" s="797" t="s">
        <v>406</v>
      </c>
      <c r="D3" s="1386">
        <v>1</v>
      </c>
      <c r="E3" s="1387">
        <v>2</v>
      </c>
      <c r="F3" s="1387">
        <v>3</v>
      </c>
      <c r="G3" s="1387">
        <v>4</v>
      </c>
      <c r="H3" s="1387">
        <v>5</v>
      </c>
      <c r="I3" s="1387">
        <v>6</v>
      </c>
      <c r="J3" s="1387">
        <v>7</v>
      </c>
      <c r="K3" s="1387">
        <v>8</v>
      </c>
      <c r="L3" s="1387">
        <v>9</v>
      </c>
      <c r="M3" s="1387">
        <v>10</v>
      </c>
      <c r="N3" s="1532">
        <v>11</v>
      </c>
      <c r="O3" s="1389">
        <v>12</v>
      </c>
      <c r="P3" s="1390" t="s">
        <v>635</v>
      </c>
    </row>
    <row r="4" spans="1:16" ht="14.4" thickBot="1">
      <c r="A4" s="798" t="s">
        <v>378</v>
      </c>
      <c r="D4" s="1662"/>
      <c r="E4" s="1663"/>
      <c r="F4" s="1663"/>
      <c r="G4" s="1663"/>
      <c r="H4" s="1663"/>
      <c r="I4" s="1663"/>
      <c r="J4" s="1663"/>
      <c r="K4" s="1663"/>
      <c r="L4" s="1663"/>
      <c r="M4" s="1663"/>
      <c r="N4" s="1664"/>
      <c r="O4" s="1665"/>
      <c r="P4" s="1666"/>
    </row>
    <row r="5" spans="1:16" ht="18" customHeight="1">
      <c r="A5" s="1659" t="s">
        <v>407</v>
      </c>
      <c r="B5" s="1349" t="s">
        <v>776</v>
      </c>
      <c r="C5" s="1414"/>
      <c r="D5" s="319">
        <v>0</v>
      </c>
      <c r="E5" s="186">
        <v>0</v>
      </c>
      <c r="F5" s="186">
        <v>0</v>
      </c>
      <c r="G5" s="186">
        <v>0</v>
      </c>
      <c r="H5" s="186">
        <v>0</v>
      </c>
      <c r="I5" s="186">
        <v>0</v>
      </c>
      <c r="J5" s="186">
        <v>0</v>
      </c>
      <c r="K5" s="186">
        <v>0</v>
      </c>
      <c r="L5" s="186">
        <v>0</v>
      </c>
      <c r="M5" s="186">
        <v>0</v>
      </c>
      <c r="N5" s="186">
        <v>0</v>
      </c>
      <c r="O5" s="277">
        <v>0</v>
      </c>
      <c r="P5" s="278">
        <f t="shared" ref="P5:P55" si="0">SUM(D5:O5)</f>
        <v>0</v>
      </c>
    </row>
    <row r="6" spans="1:16" ht="18" customHeight="1">
      <c r="A6" s="1276"/>
      <c r="B6" s="1337" t="s">
        <v>777</v>
      </c>
      <c r="C6" s="1395"/>
      <c r="D6" s="320">
        <v>0</v>
      </c>
      <c r="E6" s="189">
        <v>2</v>
      </c>
      <c r="F6" s="189">
        <v>3</v>
      </c>
      <c r="G6" s="189">
        <v>1</v>
      </c>
      <c r="H6" s="189">
        <v>0</v>
      </c>
      <c r="I6" s="189">
        <v>2</v>
      </c>
      <c r="J6" s="189">
        <v>3</v>
      </c>
      <c r="K6" s="189">
        <v>3</v>
      </c>
      <c r="L6" s="189">
        <v>3</v>
      </c>
      <c r="M6" s="189">
        <v>1</v>
      </c>
      <c r="N6" s="189">
        <v>3</v>
      </c>
      <c r="O6" s="217">
        <v>5</v>
      </c>
      <c r="P6" s="279">
        <f t="shared" si="0"/>
        <v>26</v>
      </c>
    </row>
    <row r="7" spans="1:16" ht="18" customHeight="1">
      <c r="A7" s="1661"/>
      <c r="B7" s="799"/>
      <c r="C7" s="510" t="s">
        <v>408</v>
      </c>
      <c r="D7" s="320">
        <v>0</v>
      </c>
      <c r="E7" s="189">
        <v>0</v>
      </c>
      <c r="F7" s="189">
        <v>0</v>
      </c>
      <c r="G7" s="189">
        <v>0</v>
      </c>
      <c r="H7" s="189">
        <v>0</v>
      </c>
      <c r="I7" s="189">
        <v>0</v>
      </c>
      <c r="J7" s="189">
        <v>0</v>
      </c>
      <c r="K7" s="189">
        <v>0</v>
      </c>
      <c r="L7" s="189">
        <v>0</v>
      </c>
      <c r="M7" s="189">
        <v>0</v>
      </c>
      <c r="N7" s="189">
        <v>0</v>
      </c>
      <c r="O7" s="217">
        <v>0</v>
      </c>
      <c r="P7" s="279">
        <f t="shared" si="0"/>
        <v>0</v>
      </c>
    </row>
    <row r="8" spans="1:16" ht="18" customHeight="1">
      <c r="A8" s="1309" t="s">
        <v>778</v>
      </c>
      <c r="B8" s="1335" t="s">
        <v>776</v>
      </c>
      <c r="C8" s="1395"/>
      <c r="D8" s="320">
        <v>0</v>
      </c>
      <c r="E8" s="189">
        <v>0</v>
      </c>
      <c r="F8" s="189">
        <v>0</v>
      </c>
      <c r="G8" s="189">
        <v>0</v>
      </c>
      <c r="H8" s="189">
        <v>0</v>
      </c>
      <c r="I8" s="189">
        <v>0</v>
      </c>
      <c r="J8" s="189">
        <v>0</v>
      </c>
      <c r="K8" s="189">
        <v>0</v>
      </c>
      <c r="L8" s="189">
        <v>0</v>
      </c>
      <c r="M8" s="189">
        <v>0</v>
      </c>
      <c r="N8" s="189">
        <v>0</v>
      </c>
      <c r="O8" s="217">
        <v>0</v>
      </c>
      <c r="P8" s="279">
        <f t="shared" si="0"/>
        <v>0</v>
      </c>
    </row>
    <row r="9" spans="1:16" ht="18" customHeight="1">
      <c r="A9" s="1657"/>
      <c r="B9" s="1337" t="s">
        <v>777</v>
      </c>
      <c r="C9" s="1395"/>
      <c r="D9" s="320">
        <v>0</v>
      </c>
      <c r="E9" s="189">
        <v>2</v>
      </c>
      <c r="F9" s="189">
        <v>1</v>
      </c>
      <c r="G9" s="189">
        <v>0</v>
      </c>
      <c r="H9" s="189">
        <v>0</v>
      </c>
      <c r="I9" s="189">
        <v>1</v>
      </c>
      <c r="J9" s="189">
        <v>2</v>
      </c>
      <c r="K9" s="189">
        <v>0</v>
      </c>
      <c r="L9" s="189">
        <v>1</v>
      </c>
      <c r="M9" s="189">
        <v>0</v>
      </c>
      <c r="N9" s="189">
        <v>0</v>
      </c>
      <c r="O9" s="217">
        <v>0</v>
      </c>
      <c r="P9" s="279">
        <f t="shared" si="0"/>
        <v>7</v>
      </c>
    </row>
    <row r="10" spans="1:16" ht="18" customHeight="1">
      <c r="A10" s="1660"/>
      <c r="B10" s="799"/>
      <c r="C10" s="510" t="s">
        <v>408</v>
      </c>
      <c r="D10" s="320">
        <v>0</v>
      </c>
      <c r="E10" s="189">
        <v>0</v>
      </c>
      <c r="F10" s="189">
        <v>0</v>
      </c>
      <c r="G10" s="189">
        <v>0</v>
      </c>
      <c r="H10" s="189">
        <v>0</v>
      </c>
      <c r="I10" s="189">
        <v>1</v>
      </c>
      <c r="J10" s="189">
        <v>0</v>
      </c>
      <c r="K10" s="189">
        <v>0</v>
      </c>
      <c r="L10" s="189">
        <v>0</v>
      </c>
      <c r="M10" s="189">
        <v>0</v>
      </c>
      <c r="N10" s="189">
        <v>0</v>
      </c>
      <c r="O10" s="217">
        <v>0</v>
      </c>
      <c r="P10" s="279">
        <f t="shared" si="0"/>
        <v>1</v>
      </c>
    </row>
    <row r="11" spans="1:16" ht="18" customHeight="1">
      <c r="A11" s="1309" t="s">
        <v>779</v>
      </c>
      <c r="B11" s="1335" t="s">
        <v>776</v>
      </c>
      <c r="C11" s="1395"/>
      <c r="D11" s="320">
        <v>0</v>
      </c>
      <c r="E11" s="189">
        <v>0</v>
      </c>
      <c r="F11" s="189">
        <v>0</v>
      </c>
      <c r="G11" s="189">
        <v>0</v>
      </c>
      <c r="H11" s="189">
        <v>0</v>
      </c>
      <c r="I11" s="189">
        <v>0</v>
      </c>
      <c r="J11" s="189">
        <v>0</v>
      </c>
      <c r="K11" s="189">
        <v>0</v>
      </c>
      <c r="L11" s="189">
        <v>0</v>
      </c>
      <c r="M11" s="189">
        <v>0</v>
      </c>
      <c r="N11" s="189">
        <v>0</v>
      </c>
      <c r="O11" s="217">
        <v>0</v>
      </c>
      <c r="P11" s="279">
        <f t="shared" si="0"/>
        <v>0</v>
      </c>
    </row>
    <row r="12" spans="1:16" ht="18" customHeight="1">
      <c r="A12" s="1657"/>
      <c r="B12" s="1337" t="s">
        <v>777</v>
      </c>
      <c r="C12" s="1395"/>
      <c r="D12" s="320">
        <v>3</v>
      </c>
      <c r="E12" s="189">
        <v>0</v>
      </c>
      <c r="F12" s="189">
        <v>3</v>
      </c>
      <c r="G12" s="189">
        <v>1</v>
      </c>
      <c r="H12" s="189">
        <v>0</v>
      </c>
      <c r="I12" s="189">
        <v>2</v>
      </c>
      <c r="J12" s="189">
        <v>0</v>
      </c>
      <c r="K12" s="189">
        <v>1</v>
      </c>
      <c r="L12" s="189">
        <v>1</v>
      </c>
      <c r="M12" s="189">
        <v>2</v>
      </c>
      <c r="N12" s="189">
        <v>0</v>
      </c>
      <c r="O12" s="217">
        <v>2</v>
      </c>
      <c r="P12" s="279">
        <f t="shared" si="0"/>
        <v>15</v>
      </c>
    </row>
    <row r="13" spans="1:16" ht="18" customHeight="1">
      <c r="A13" s="1660"/>
      <c r="B13" s="799"/>
      <c r="C13" s="510" t="s">
        <v>408</v>
      </c>
      <c r="D13" s="320">
        <v>0</v>
      </c>
      <c r="E13" s="189">
        <v>0</v>
      </c>
      <c r="F13" s="189">
        <v>0</v>
      </c>
      <c r="G13" s="189">
        <v>0</v>
      </c>
      <c r="H13" s="189">
        <v>0</v>
      </c>
      <c r="I13" s="189">
        <v>0</v>
      </c>
      <c r="J13" s="189">
        <v>0</v>
      </c>
      <c r="K13" s="189">
        <v>0</v>
      </c>
      <c r="L13" s="189">
        <v>0</v>
      </c>
      <c r="M13" s="189">
        <v>0</v>
      </c>
      <c r="N13" s="189">
        <v>0</v>
      </c>
      <c r="O13" s="217">
        <v>0</v>
      </c>
      <c r="P13" s="279">
        <f t="shared" si="0"/>
        <v>0</v>
      </c>
    </row>
    <row r="14" spans="1:16" ht="18" customHeight="1">
      <c r="A14" s="1309" t="s">
        <v>780</v>
      </c>
      <c r="B14" s="1335" t="s">
        <v>776</v>
      </c>
      <c r="C14" s="1395"/>
      <c r="D14" s="320">
        <v>0</v>
      </c>
      <c r="E14" s="189">
        <v>0</v>
      </c>
      <c r="F14" s="189">
        <v>0</v>
      </c>
      <c r="G14" s="189">
        <v>0</v>
      </c>
      <c r="H14" s="189">
        <v>0</v>
      </c>
      <c r="I14" s="189">
        <v>0</v>
      </c>
      <c r="J14" s="189">
        <v>0</v>
      </c>
      <c r="K14" s="189">
        <v>0</v>
      </c>
      <c r="L14" s="189">
        <v>0</v>
      </c>
      <c r="M14" s="189">
        <v>0</v>
      </c>
      <c r="N14" s="189">
        <v>0</v>
      </c>
      <c r="O14" s="217">
        <v>0</v>
      </c>
      <c r="P14" s="279">
        <f t="shared" si="0"/>
        <v>0</v>
      </c>
    </row>
    <row r="15" spans="1:16" ht="18" customHeight="1">
      <c r="A15" s="1657"/>
      <c r="B15" s="1337" t="s">
        <v>777</v>
      </c>
      <c r="C15" s="1395"/>
      <c r="D15" s="320">
        <v>4</v>
      </c>
      <c r="E15" s="189">
        <v>2</v>
      </c>
      <c r="F15" s="189">
        <v>0</v>
      </c>
      <c r="G15" s="189">
        <v>2</v>
      </c>
      <c r="H15" s="189">
        <v>0</v>
      </c>
      <c r="I15" s="189">
        <v>1</v>
      </c>
      <c r="J15" s="189">
        <v>3</v>
      </c>
      <c r="K15" s="189">
        <v>2</v>
      </c>
      <c r="L15" s="189">
        <v>1</v>
      </c>
      <c r="M15" s="189">
        <v>0</v>
      </c>
      <c r="N15" s="189">
        <v>0</v>
      </c>
      <c r="O15" s="217">
        <v>2</v>
      </c>
      <c r="P15" s="279">
        <f t="shared" si="0"/>
        <v>17</v>
      </c>
    </row>
    <row r="16" spans="1:16" ht="18" customHeight="1">
      <c r="A16" s="1660"/>
      <c r="B16" s="799"/>
      <c r="C16" s="510" t="s">
        <v>408</v>
      </c>
      <c r="D16" s="320">
        <v>0</v>
      </c>
      <c r="E16" s="189">
        <v>0</v>
      </c>
      <c r="F16" s="189">
        <v>0</v>
      </c>
      <c r="G16" s="189">
        <v>0</v>
      </c>
      <c r="H16" s="189">
        <v>0</v>
      </c>
      <c r="I16" s="189">
        <v>0</v>
      </c>
      <c r="J16" s="189">
        <v>0</v>
      </c>
      <c r="K16" s="189">
        <v>0</v>
      </c>
      <c r="L16" s="189">
        <v>0</v>
      </c>
      <c r="M16" s="189">
        <v>0</v>
      </c>
      <c r="N16" s="189">
        <v>0</v>
      </c>
      <c r="O16" s="217">
        <v>0</v>
      </c>
      <c r="P16" s="279">
        <f t="shared" si="0"/>
        <v>0</v>
      </c>
    </row>
    <row r="17" spans="1:16" ht="18" customHeight="1">
      <c r="A17" s="1309" t="s">
        <v>781</v>
      </c>
      <c r="B17" s="1335" t="s">
        <v>776</v>
      </c>
      <c r="C17" s="1395"/>
      <c r="D17" s="320">
        <v>0</v>
      </c>
      <c r="E17" s="189">
        <v>0</v>
      </c>
      <c r="F17" s="189">
        <v>0</v>
      </c>
      <c r="G17" s="189">
        <v>0</v>
      </c>
      <c r="H17" s="189">
        <v>0</v>
      </c>
      <c r="I17" s="189">
        <v>0</v>
      </c>
      <c r="J17" s="189">
        <v>0</v>
      </c>
      <c r="K17" s="189">
        <v>0</v>
      </c>
      <c r="L17" s="189">
        <v>0</v>
      </c>
      <c r="M17" s="189">
        <v>0</v>
      </c>
      <c r="N17" s="189">
        <v>0</v>
      </c>
      <c r="O17" s="217">
        <v>0</v>
      </c>
      <c r="P17" s="279">
        <f t="shared" si="0"/>
        <v>0</v>
      </c>
    </row>
    <row r="18" spans="1:16" ht="18" customHeight="1">
      <c r="A18" s="1657"/>
      <c r="B18" s="1337" t="s">
        <v>777</v>
      </c>
      <c r="C18" s="1395"/>
      <c r="D18" s="320">
        <v>4</v>
      </c>
      <c r="E18" s="189">
        <v>3</v>
      </c>
      <c r="F18" s="189">
        <v>4</v>
      </c>
      <c r="G18" s="189">
        <v>1</v>
      </c>
      <c r="H18" s="189">
        <v>1</v>
      </c>
      <c r="I18" s="189">
        <v>0</v>
      </c>
      <c r="J18" s="189">
        <v>5</v>
      </c>
      <c r="K18" s="189">
        <v>0</v>
      </c>
      <c r="L18" s="189">
        <v>2</v>
      </c>
      <c r="M18" s="189">
        <v>2</v>
      </c>
      <c r="N18" s="189">
        <v>4</v>
      </c>
      <c r="O18" s="217">
        <v>2</v>
      </c>
      <c r="P18" s="279">
        <f t="shared" si="0"/>
        <v>28</v>
      </c>
    </row>
    <row r="19" spans="1:16" ht="18" customHeight="1">
      <c r="A19" s="1660"/>
      <c r="B19" s="799"/>
      <c r="C19" s="510" t="s">
        <v>408</v>
      </c>
      <c r="D19" s="320">
        <v>0</v>
      </c>
      <c r="E19" s="189">
        <v>0</v>
      </c>
      <c r="F19" s="189">
        <v>0</v>
      </c>
      <c r="G19" s="189">
        <v>0</v>
      </c>
      <c r="H19" s="189">
        <v>0</v>
      </c>
      <c r="I19" s="189">
        <v>0</v>
      </c>
      <c r="J19" s="189">
        <v>0</v>
      </c>
      <c r="K19" s="189">
        <v>0</v>
      </c>
      <c r="L19" s="189">
        <v>0</v>
      </c>
      <c r="M19" s="189">
        <v>0</v>
      </c>
      <c r="N19" s="189">
        <v>0</v>
      </c>
      <c r="O19" s="217">
        <v>0</v>
      </c>
      <c r="P19" s="279">
        <f t="shared" si="0"/>
        <v>0</v>
      </c>
    </row>
    <row r="20" spans="1:16" ht="18" customHeight="1">
      <c r="A20" s="1309" t="s">
        <v>782</v>
      </c>
      <c r="B20" s="1335" t="s">
        <v>776</v>
      </c>
      <c r="C20" s="1395"/>
      <c r="D20" s="320">
        <v>0</v>
      </c>
      <c r="E20" s="189">
        <v>0</v>
      </c>
      <c r="F20" s="189">
        <v>0</v>
      </c>
      <c r="G20" s="189">
        <v>0</v>
      </c>
      <c r="H20" s="189">
        <v>0</v>
      </c>
      <c r="I20" s="189">
        <v>0</v>
      </c>
      <c r="J20" s="189">
        <v>0</v>
      </c>
      <c r="K20" s="189">
        <v>0</v>
      </c>
      <c r="L20" s="189">
        <v>0</v>
      </c>
      <c r="M20" s="189">
        <v>0</v>
      </c>
      <c r="N20" s="189">
        <v>0</v>
      </c>
      <c r="O20" s="217">
        <v>0</v>
      </c>
      <c r="P20" s="279">
        <f t="shared" si="0"/>
        <v>0</v>
      </c>
    </row>
    <row r="21" spans="1:16" ht="18" customHeight="1">
      <c r="A21" s="1657"/>
      <c r="B21" s="1337" t="s">
        <v>777</v>
      </c>
      <c r="C21" s="1395"/>
      <c r="D21" s="320">
        <v>0</v>
      </c>
      <c r="E21" s="189">
        <v>1</v>
      </c>
      <c r="F21" s="189">
        <v>3</v>
      </c>
      <c r="G21" s="189">
        <v>1</v>
      </c>
      <c r="H21" s="189">
        <v>0</v>
      </c>
      <c r="I21" s="189">
        <v>4</v>
      </c>
      <c r="J21" s="189">
        <v>4</v>
      </c>
      <c r="K21" s="189">
        <v>2</v>
      </c>
      <c r="L21" s="189">
        <v>3</v>
      </c>
      <c r="M21" s="189">
        <v>0</v>
      </c>
      <c r="N21" s="189">
        <v>0</v>
      </c>
      <c r="O21" s="217">
        <v>0</v>
      </c>
      <c r="P21" s="279">
        <f t="shared" si="0"/>
        <v>18</v>
      </c>
    </row>
    <row r="22" spans="1:16" ht="18" customHeight="1">
      <c r="A22" s="1660"/>
      <c r="B22" s="799"/>
      <c r="C22" s="510" t="s">
        <v>408</v>
      </c>
      <c r="D22" s="320">
        <v>0</v>
      </c>
      <c r="E22" s="189">
        <v>0</v>
      </c>
      <c r="F22" s="189">
        <v>0</v>
      </c>
      <c r="G22" s="189">
        <v>0</v>
      </c>
      <c r="H22" s="189">
        <v>0</v>
      </c>
      <c r="I22" s="189">
        <v>1</v>
      </c>
      <c r="J22" s="189">
        <v>0</v>
      </c>
      <c r="K22" s="189">
        <v>0</v>
      </c>
      <c r="L22" s="189">
        <v>1</v>
      </c>
      <c r="M22" s="189">
        <v>0</v>
      </c>
      <c r="N22" s="189">
        <v>0</v>
      </c>
      <c r="O22" s="217">
        <v>0</v>
      </c>
      <c r="P22" s="279">
        <f t="shared" si="0"/>
        <v>2</v>
      </c>
    </row>
    <row r="23" spans="1:16" ht="18" customHeight="1">
      <c r="A23" s="1309" t="s">
        <v>783</v>
      </c>
      <c r="B23" s="1335" t="s">
        <v>776</v>
      </c>
      <c r="C23" s="1395"/>
      <c r="D23" s="320">
        <v>0</v>
      </c>
      <c r="E23" s="189">
        <v>0</v>
      </c>
      <c r="F23" s="189">
        <v>0</v>
      </c>
      <c r="G23" s="189">
        <v>0</v>
      </c>
      <c r="H23" s="189">
        <v>0</v>
      </c>
      <c r="I23" s="189">
        <v>0</v>
      </c>
      <c r="J23" s="189">
        <v>0</v>
      </c>
      <c r="K23" s="189">
        <v>0</v>
      </c>
      <c r="L23" s="189">
        <v>0</v>
      </c>
      <c r="M23" s="189">
        <v>0</v>
      </c>
      <c r="N23" s="189">
        <v>0</v>
      </c>
      <c r="O23" s="217">
        <v>0</v>
      </c>
      <c r="P23" s="279">
        <f t="shared" si="0"/>
        <v>0</v>
      </c>
    </row>
    <row r="24" spans="1:16" ht="18" customHeight="1">
      <c r="A24" s="1657"/>
      <c r="B24" s="1337" t="s">
        <v>777</v>
      </c>
      <c r="C24" s="1395"/>
      <c r="D24" s="320">
        <v>0</v>
      </c>
      <c r="E24" s="189">
        <v>5</v>
      </c>
      <c r="F24" s="189">
        <v>5</v>
      </c>
      <c r="G24" s="189">
        <v>3</v>
      </c>
      <c r="H24" s="189">
        <v>4</v>
      </c>
      <c r="I24" s="189">
        <v>5</v>
      </c>
      <c r="J24" s="189">
        <v>5</v>
      </c>
      <c r="K24" s="189">
        <v>1</v>
      </c>
      <c r="L24" s="189">
        <v>2</v>
      </c>
      <c r="M24" s="189">
        <v>2</v>
      </c>
      <c r="N24" s="189">
        <v>1</v>
      </c>
      <c r="O24" s="217">
        <v>2</v>
      </c>
      <c r="P24" s="279">
        <f t="shared" si="0"/>
        <v>35</v>
      </c>
    </row>
    <row r="25" spans="1:16" ht="18" customHeight="1">
      <c r="A25" s="1660"/>
      <c r="B25" s="799"/>
      <c r="C25" s="510" t="s">
        <v>408</v>
      </c>
      <c r="D25" s="320">
        <v>0</v>
      </c>
      <c r="E25" s="189">
        <v>0</v>
      </c>
      <c r="F25" s="189">
        <v>1</v>
      </c>
      <c r="G25" s="189">
        <v>0</v>
      </c>
      <c r="H25" s="189">
        <v>1</v>
      </c>
      <c r="I25" s="189">
        <v>0</v>
      </c>
      <c r="J25" s="189">
        <v>0</v>
      </c>
      <c r="K25" s="189">
        <v>0</v>
      </c>
      <c r="L25" s="189">
        <v>0</v>
      </c>
      <c r="M25" s="189">
        <v>1</v>
      </c>
      <c r="N25" s="189">
        <v>0</v>
      </c>
      <c r="O25" s="217">
        <v>0</v>
      </c>
      <c r="P25" s="279">
        <f t="shared" si="0"/>
        <v>3</v>
      </c>
    </row>
    <row r="26" spans="1:16" ht="18" customHeight="1">
      <c r="A26" s="1309" t="s">
        <v>784</v>
      </c>
      <c r="B26" s="1335" t="s">
        <v>776</v>
      </c>
      <c r="C26" s="1395"/>
      <c r="D26" s="320">
        <v>0</v>
      </c>
      <c r="E26" s="189">
        <v>0</v>
      </c>
      <c r="F26" s="189">
        <v>0</v>
      </c>
      <c r="G26" s="189">
        <v>0</v>
      </c>
      <c r="H26" s="189">
        <v>0</v>
      </c>
      <c r="I26" s="189">
        <v>0</v>
      </c>
      <c r="J26" s="189">
        <v>0</v>
      </c>
      <c r="K26" s="189">
        <v>0</v>
      </c>
      <c r="L26" s="189">
        <v>0</v>
      </c>
      <c r="M26" s="189">
        <v>0</v>
      </c>
      <c r="N26" s="189">
        <v>0</v>
      </c>
      <c r="O26" s="217">
        <v>0</v>
      </c>
      <c r="P26" s="279">
        <f t="shared" si="0"/>
        <v>0</v>
      </c>
    </row>
    <row r="27" spans="1:16" ht="18" customHeight="1">
      <c r="A27" s="1657"/>
      <c r="B27" s="1337" t="s">
        <v>777</v>
      </c>
      <c r="C27" s="1395"/>
      <c r="D27" s="320">
        <v>0</v>
      </c>
      <c r="E27" s="189">
        <v>4</v>
      </c>
      <c r="F27" s="189">
        <v>2</v>
      </c>
      <c r="G27" s="189">
        <v>1</v>
      </c>
      <c r="H27" s="189">
        <v>4</v>
      </c>
      <c r="I27" s="189">
        <v>3</v>
      </c>
      <c r="J27" s="189">
        <v>6</v>
      </c>
      <c r="K27" s="189">
        <v>6</v>
      </c>
      <c r="L27" s="189">
        <v>2</v>
      </c>
      <c r="M27" s="189">
        <v>2</v>
      </c>
      <c r="N27" s="189">
        <v>2</v>
      </c>
      <c r="O27" s="217">
        <v>2</v>
      </c>
      <c r="P27" s="279">
        <f t="shared" si="0"/>
        <v>34</v>
      </c>
    </row>
    <row r="28" spans="1:16" ht="18" customHeight="1">
      <c r="A28" s="1660"/>
      <c r="B28" s="799"/>
      <c r="C28" s="510" t="s">
        <v>408</v>
      </c>
      <c r="D28" s="320">
        <v>0</v>
      </c>
      <c r="E28" s="189">
        <v>0</v>
      </c>
      <c r="F28" s="189">
        <v>1</v>
      </c>
      <c r="G28" s="189">
        <v>0</v>
      </c>
      <c r="H28" s="189">
        <v>0</v>
      </c>
      <c r="I28" s="189">
        <v>0</v>
      </c>
      <c r="J28" s="189">
        <v>1</v>
      </c>
      <c r="K28" s="189">
        <v>0</v>
      </c>
      <c r="L28" s="189">
        <v>0</v>
      </c>
      <c r="M28" s="189">
        <v>0</v>
      </c>
      <c r="N28" s="189">
        <v>0</v>
      </c>
      <c r="O28" s="217">
        <v>0</v>
      </c>
      <c r="P28" s="279">
        <f t="shared" si="0"/>
        <v>2</v>
      </c>
    </row>
    <row r="29" spans="1:16" ht="18" customHeight="1">
      <c r="A29" s="1309" t="s">
        <v>785</v>
      </c>
      <c r="B29" s="1335" t="s">
        <v>776</v>
      </c>
      <c r="C29" s="1395"/>
      <c r="D29" s="320">
        <v>0</v>
      </c>
      <c r="E29" s="189">
        <v>0</v>
      </c>
      <c r="F29" s="189">
        <v>0</v>
      </c>
      <c r="G29" s="189">
        <v>0</v>
      </c>
      <c r="H29" s="189">
        <v>0</v>
      </c>
      <c r="I29" s="189">
        <v>0</v>
      </c>
      <c r="J29" s="189">
        <v>0</v>
      </c>
      <c r="K29" s="189">
        <v>0</v>
      </c>
      <c r="L29" s="189">
        <v>0</v>
      </c>
      <c r="M29" s="189">
        <v>0</v>
      </c>
      <c r="N29" s="189">
        <v>0</v>
      </c>
      <c r="O29" s="217">
        <v>0</v>
      </c>
      <c r="P29" s="279">
        <f t="shared" si="0"/>
        <v>0</v>
      </c>
    </row>
    <row r="30" spans="1:16" ht="18" customHeight="1">
      <c r="A30" s="1657"/>
      <c r="B30" s="1337" t="s">
        <v>777</v>
      </c>
      <c r="C30" s="1395"/>
      <c r="D30" s="320">
        <v>2</v>
      </c>
      <c r="E30" s="189">
        <v>3</v>
      </c>
      <c r="F30" s="189">
        <v>2</v>
      </c>
      <c r="G30" s="189">
        <v>4</v>
      </c>
      <c r="H30" s="189">
        <v>5</v>
      </c>
      <c r="I30" s="189">
        <v>4</v>
      </c>
      <c r="J30" s="189">
        <v>2</v>
      </c>
      <c r="K30" s="189">
        <v>4</v>
      </c>
      <c r="L30" s="189">
        <v>2</v>
      </c>
      <c r="M30" s="189">
        <v>4</v>
      </c>
      <c r="N30" s="189">
        <v>5</v>
      </c>
      <c r="O30" s="217">
        <v>4</v>
      </c>
      <c r="P30" s="279">
        <f t="shared" si="0"/>
        <v>41</v>
      </c>
    </row>
    <row r="31" spans="1:16" ht="18" customHeight="1">
      <c r="A31" s="1660"/>
      <c r="B31" s="799"/>
      <c r="C31" s="510" t="s">
        <v>408</v>
      </c>
      <c r="D31" s="320">
        <v>0</v>
      </c>
      <c r="E31" s="189">
        <v>0</v>
      </c>
      <c r="F31" s="189">
        <v>0</v>
      </c>
      <c r="G31" s="189">
        <v>0</v>
      </c>
      <c r="H31" s="189">
        <v>0</v>
      </c>
      <c r="I31" s="189">
        <v>1</v>
      </c>
      <c r="J31" s="189">
        <v>0</v>
      </c>
      <c r="K31" s="189">
        <v>0</v>
      </c>
      <c r="L31" s="189">
        <v>0</v>
      </c>
      <c r="M31" s="189">
        <v>0</v>
      </c>
      <c r="N31" s="189">
        <v>0</v>
      </c>
      <c r="O31" s="217">
        <v>1</v>
      </c>
      <c r="P31" s="279">
        <f t="shared" si="0"/>
        <v>2</v>
      </c>
    </row>
    <row r="32" spans="1:16" ht="18" customHeight="1">
      <c r="A32" s="1309" t="s">
        <v>786</v>
      </c>
      <c r="B32" s="1335" t="s">
        <v>776</v>
      </c>
      <c r="C32" s="1395"/>
      <c r="D32" s="320">
        <v>0</v>
      </c>
      <c r="E32" s="189">
        <v>0</v>
      </c>
      <c r="F32" s="189">
        <v>0</v>
      </c>
      <c r="G32" s="189">
        <v>0</v>
      </c>
      <c r="H32" s="189">
        <v>0</v>
      </c>
      <c r="I32" s="189">
        <v>0</v>
      </c>
      <c r="J32" s="189">
        <v>0</v>
      </c>
      <c r="K32" s="189">
        <v>0</v>
      </c>
      <c r="L32" s="189">
        <v>0</v>
      </c>
      <c r="M32" s="189">
        <v>0</v>
      </c>
      <c r="N32" s="189">
        <v>0</v>
      </c>
      <c r="O32" s="217">
        <v>0</v>
      </c>
      <c r="P32" s="279">
        <f t="shared" si="0"/>
        <v>0</v>
      </c>
    </row>
    <row r="33" spans="1:16" ht="18" customHeight="1">
      <c r="A33" s="1657"/>
      <c r="B33" s="1337" t="s">
        <v>777</v>
      </c>
      <c r="C33" s="1395"/>
      <c r="D33" s="320">
        <v>3</v>
      </c>
      <c r="E33" s="189">
        <v>2</v>
      </c>
      <c r="F33" s="189">
        <v>2</v>
      </c>
      <c r="G33" s="189">
        <v>3</v>
      </c>
      <c r="H33" s="189">
        <v>4</v>
      </c>
      <c r="I33" s="189">
        <v>1</v>
      </c>
      <c r="J33" s="189">
        <v>2</v>
      </c>
      <c r="K33" s="189">
        <v>3</v>
      </c>
      <c r="L33" s="189">
        <v>1</v>
      </c>
      <c r="M33" s="189">
        <v>1</v>
      </c>
      <c r="N33" s="189">
        <v>4</v>
      </c>
      <c r="O33" s="188">
        <v>3</v>
      </c>
      <c r="P33" s="279">
        <f t="shared" si="0"/>
        <v>29</v>
      </c>
    </row>
    <row r="34" spans="1:16" ht="18" customHeight="1">
      <c r="A34" s="1660"/>
      <c r="B34" s="799"/>
      <c r="C34" s="510" t="s">
        <v>408</v>
      </c>
      <c r="D34" s="320">
        <v>1</v>
      </c>
      <c r="E34" s="189">
        <v>1</v>
      </c>
      <c r="F34" s="189">
        <v>0</v>
      </c>
      <c r="G34" s="189">
        <v>1</v>
      </c>
      <c r="H34" s="189">
        <v>1</v>
      </c>
      <c r="I34" s="189">
        <v>0</v>
      </c>
      <c r="J34" s="189">
        <v>0</v>
      </c>
      <c r="K34" s="189">
        <v>0</v>
      </c>
      <c r="L34" s="189">
        <v>0</v>
      </c>
      <c r="M34" s="189">
        <v>0</v>
      </c>
      <c r="N34" s="189">
        <v>0</v>
      </c>
      <c r="O34" s="217">
        <v>0</v>
      </c>
      <c r="P34" s="279">
        <f t="shared" si="0"/>
        <v>4</v>
      </c>
    </row>
    <row r="35" spans="1:16" ht="18" customHeight="1">
      <c r="A35" s="1309" t="s">
        <v>787</v>
      </c>
      <c r="B35" s="1335" t="s">
        <v>776</v>
      </c>
      <c r="C35" s="1395"/>
      <c r="D35" s="320">
        <v>0</v>
      </c>
      <c r="E35" s="189">
        <v>0</v>
      </c>
      <c r="F35" s="189">
        <v>0</v>
      </c>
      <c r="G35" s="189">
        <v>0</v>
      </c>
      <c r="H35" s="189">
        <v>0</v>
      </c>
      <c r="I35" s="189">
        <v>0</v>
      </c>
      <c r="J35" s="189">
        <v>0</v>
      </c>
      <c r="K35" s="189">
        <v>0</v>
      </c>
      <c r="L35" s="189">
        <v>0</v>
      </c>
      <c r="M35" s="189">
        <v>0</v>
      </c>
      <c r="N35" s="189">
        <v>0</v>
      </c>
      <c r="O35" s="188">
        <v>0</v>
      </c>
      <c r="P35" s="279">
        <f t="shared" si="0"/>
        <v>0</v>
      </c>
    </row>
    <row r="36" spans="1:16" ht="18" customHeight="1">
      <c r="A36" s="1657"/>
      <c r="B36" s="1337" t="s">
        <v>777</v>
      </c>
      <c r="C36" s="1395"/>
      <c r="D36" s="320">
        <v>3</v>
      </c>
      <c r="E36" s="189">
        <v>2</v>
      </c>
      <c r="F36" s="189">
        <v>3</v>
      </c>
      <c r="G36" s="189">
        <v>3</v>
      </c>
      <c r="H36" s="189">
        <v>2</v>
      </c>
      <c r="I36" s="189">
        <v>1</v>
      </c>
      <c r="J36" s="189">
        <v>4</v>
      </c>
      <c r="K36" s="189">
        <v>1</v>
      </c>
      <c r="L36" s="189">
        <v>0</v>
      </c>
      <c r="M36" s="189">
        <v>1</v>
      </c>
      <c r="N36" s="189">
        <v>0</v>
      </c>
      <c r="O36" s="188">
        <v>3</v>
      </c>
      <c r="P36" s="279">
        <f t="shared" si="0"/>
        <v>23</v>
      </c>
    </row>
    <row r="37" spans="1:16" ht="18" customHeight="1">
      <c r="A37" s="1660"/>
      <c r="B37" s="800"/>
      <c r="C37" s="510" t="s">
        <v>408</v>
      </c>
      <c r="D37" s="320">
        <v>0</v>
      </c>
      <c r="E37" s="189">
        <v>0</v>
      </c>
      <c r="F37" s="189">
        <v>0</v>
      </c>
      <c r="G37" s="189">
        <v>0</v>
      </c>
      <c r="H37" s="189">
        <v>0</v>
      </c>
      <c r="I37" s="189">
        <v>0</v>
      </c>
      <c r="J37" s="189">
        <v>0</v>
      </c>
      <c r="K37" s="189">
        <v>0</v>
      </c>
      <c r="L37" s="189">
        <v>0</v>
      </c>
      <c r="M37" s="189">
        <v>0</v>
      </c>
      <c r="N37" s="189">
        <v>0</v>
      </c>
      <c r="O37" s="217">
        <v>0</v>
      </c>
      <c r="P37" s="279">
        <f t="shared" si="0"/>
        <v>0</v>
      </c>
    </row>
    <row r="38" spans="1:16" ht="18" customHeight="1">
      <c r="A38" s="1309" t="s">
        <v>788</v>
      </c>
      <c r="B38" s="1335" t="s">
        <v>686</v>
      </c>
      <c r="C38" s="1395"/>
      <c r="D38" s="320">
        <v>0</v>
      </c>
      <c r="E38" s="189">
        <v>0</v>
      </c>
      <c r="F38" s="189">
        <v>0</v>
      </c>
      <c r="G38" s="189">
        <v>0</v>
      </c>
      <c r="H38" s="189">
        <v>0</v>
      </c>
      <c r="I38" s="189">
        <v>0</v>
      </c>
      <c r="J38" s="189">
        <v>0</v>
      </c>
      <c r="K38" s="189">
        <v>0</v>
      </c>
      <c r="L38" s="189">
        <v>0</v>
      </c>
      <c r="M38" s="189">
        <v>0</v>
      </c>
      <c r="N38" s="189">
        <v>0</v>
      </c>
      <c r="O38" s="188">
        <v>0</v>
      </c>
      <c r="P38" s="279">
        <f t="shared" si="0"/>
        <v>0</v>
      </c>
    </row>
    <row r="39" spans="1:16" ht="18" customHeight="1">
      <c r="A39" s="1657"/>
      <c r="B39" s="1337" t="s">
        <v>777</v>
      </c>
      <c r="C39" s="1395"/>
      <c r="D39" s="320">
        <v>1</v>
      </c>
      <c r="E39" s="189">
        <v>1</v>
      </c>
      <c r="F39" s="189">
        <v>3</v>
      </c>
      <c r="G39" s="189">
        <v>5</v>
      </c>
      <c r="H39" s="189">
        <v>1</v>
      </c>
      <c r="I39" s="189">
        <v>4</v>
      </c>
      <c r="J39" s="189">
        <v>4</v>
      </c>
      <c r="K39" s="189">
        <v>3</v>
      </c>
      <c r="L39" s="189">
        <v>2</v>
      </c>
      <c r="M39" s="189">
        <v>7</v>
      </c>
      <c r="N39" s="189">
        <v>3</v>
      </c>
      <c r="O39" s="188">
        <v>1</v>
      </c>
      <c r="P39" s="279">
        <f t="shared" si="0"/>
        <v>35</v>
      </c>
    </row>
    <row r="40" spans="1:16" ht="18" customHeight="1">
      <c r="A40" s="1660"/>
      <c r="B40" s="799"/>
      <c r="C40" s="510" t="s">
        <v>408</v>
      </c>
      <c r="D40" s="320">
        <v>0</v>
      </c>
      <c r="E40" s="189">
        <v>1</v>
      </c>
      <c r="F40" s="189">
        <v>0</v>
      </c>
      <c r="G40" s="189">
        <v>0</v>
      </c>
      <c r="H40" s="189">
        <v>0</v>
      </c>
      <c r="I40" s="189">
        <v>0</v>
      </c>
      <c r="J40" s="189">
        <v>2</v>
      </c>
      <c r="K40" s="189">
        <v>0</v>
      </c>
      <c r="L40" s="189">
        <v>0</v>
      </c>
      <c r="M40" s="189">
        <v>1</v>
      </c>
      <c r="N40" s="189">
        <v>1</v>
      </c>
      <c r="O40" s="217">
        <v>0</v>
      </c>
      <c r="P40" s="279">
        <f t="shared" si="0"/>
        <v>5</v>
      </c>
    </row>
    <row r="41" spans="1:16" ht="18" customHeight="1">
      <c r="A41" s="1309" t="s">
        <v>789</v>
      </c>
      <c r="B41" s="1335" t="s">
        <v>776</v>
      </c>
      <c r="C41" s="1395"/>
      <c r="D41" s="320">
        <v>0</v>
      </c>
      <c r="E41" s="189">
        <v>0</v>
      </c>
      <c r="F41" s="189">
        <v>0</v>
      </c>
      <c r="G41" s="189">
        <v>0</v>
      </c>
      <c r="H41" s="189">
        <v>0</v>
      </c>
      <c r="I41" s="189">
        <v>0</v>
      </c>
      <c r="J41" s="189">
        <v>0</v>
      </c>
      <c r="K41" s="189">
        <v>0</v>
      </c>
      <c r="L41" s="189">
        <v>0</v>
      </c>
      <c r="M41" s="189">
        <v>0</v>
      </c>
      <c r="N41" s="189">
        <v>0</v>
      </c>
      <c r="O41" s="188">
        <v>0</v>
      </c>
      <c r="P41" s="279">
        <f t="shared" si="0"/>
        <v>0</v>
      </c>
    </row>
    <row r="42" spans="1:16" ht="18" customHeight="1">
      <c r="A42" s="1657"/>
      <c r="B42" s="1337" t="s">
        <v>777</v>
      </c>
      <c r="C42" s="1395"/>
      <c r="D42" s="320">
        <v>0</v>
      </c>
      <c r="E42" s="189">
        <v>1</v>
      </c>
      <c r="F42" s="189">
        <v>1</v>
      </c>
      <c r="G42" s="189">
        <v>4</v>
      </c>
      <c r="H42" s="189">
        <v>1</v>
      </c>
      <c r="I42" s="189">
        <v>2</v>
      </c>
      <c r="J42" s="189">
        <v>1</v>
      </c>
      <c r="K42" s="189">
        <v>3</v>
      </c>
      <c r="L42" s="189">
        <v>1</v>
      </c>
      <c r="M42" s="189">
        <v>3</v>
      </c>
      <c r="N42" s="189">
        <v>2</v>
      </c>
      <c r="O42" s="188">
        <v>4</v>
      </c>
      <c r="P42" s="279">
        <f t="shared" si="0"/>
        <v>23</v>
      </c>
    </row>
    <row r="43" spans="1:16" ht="18" customHeight="1">
      <c r="A43" s="1660"/>
      <c r="B43" s="800"/>
      <c r="C43" s="510" t="s">
        <v>408</v>
      </c>
      <c r="D43" s="320">
        <v>0</v>
      </c>
      <c r="E43" s="189">
        <v>0</v>
      </c>
      <c r="F43" s="189">
        <v>0</v>
      </c>
      <c r="G43" s="189">
        <v>0</v>
      </c>
      <c r="H43" s="189">
        <v>0</v>
      </c>
      <c r="I43" s="189">
        <v>0</v>
      </c>
      <c r="J43" s="189">
        <v>0</v>
      </c>
      <c r="K43" s="189">
        <v>0</v>
      </c>
      <c r="L43" s="189">
        <v>0</v>
      </c>
      <c r="M43" s="189">
        <v>0</v>
      </c>
      <c r="N43" s="189">
        <v>0</v>
      </c>
      <c r="O43" s="217">
        <v>1</v>
      </c>
      <c r="P43" s="279">
        <f t="shared" si="0"/>
        <v>1</v>
      </c>
    </row>
    <row r="44" spans="1:16" ht="18" customHeight="1">
      <c r="A44" s="1309" t="s">
        <v>790</v>
      </c>
      <c r="B44" s="1335" t="s">
        <v>776</v>
      </c>
      <c r="C44" s="1395"/>
      <c r="D44" s="320">
        <v>0</v>
      </c>
      <c r="E44" s="189">
        <v>0</v>
      </c>
      <c r="F44" s="189">
        <v>0</v>
      </c>
      <c r="G44" s="189">
        <v>0</v>
      </c>
      <c r="H44" s="189">
        <v>0</v>
      </c>
      <c r="I44" s="189">
        <v>0</v>
      </c>
      <c r="J44" s="189">
        <v>0</v>
      </c>
      <c r="K44" s="189">
        <v>0</v>
      </c>
      <c r="L44" s="189">
        <v>0</v>
      </c>
      <c r="M44" s="189">
        <v>0</v>
      </c>
      <c r="N44" s="189">
        <v>0</v>
      </c>
      <c r="O44" s="188">
        <v>0</v>
      </c>
      <c r="P44" s="279">
        <f t="shared" si="0"/>
        <v>0</v>
      </c>
    </row>
    <row r="45" spans="1:16" ht="18" customHeight="1">
      <c r="A45" s="1657"/>
      <c r="B45" s="1337" t="s">
        <v>777</v>
      </c>
      <c r="C45" s="1395"/>
      <c r="D45" s="320">
        <v>2</v>
      </c>
      <c r="E45" s="189">
        <v>2</v>
      </c>
      <c r="F45" s="189">
        <v>4</v>
      </c>
      <c r="G45" s="189">
        <v>2</v>
      </c>
      <c r="H45" s="189">
        <v>0</v>
      </c>
      <c r="I45" s="189">
        <v>2</v>
      </c>
      <c r="J45" s="189">
        <v>1</v>
      </c>
      <c r="K45" s="189">
        <v>1</v>
      </c>
      <c r="L45" s="189">
        <v>2</v>
      </c>
      <c r="M45" s="189">
        <v>3</v>
      </c>
      <c r="N45" s="189">
        <v>3</v>
      </c>
      <c r="O45" s="188">
        <v>1</v>
      </c>
      <c r="P45" s="279">
        <f t="shared" si="0"/>
        <v>23</v>
      </c>
    </row>
    <row r="46" spans="1:16" ht="18" customHeight="1">
      <c r="A46" s="1660"/>
      <c r="B46" s="799"/>
      <c r="C46" s="510" t="s">
        <v>408</v>
      </c>
      <c r="D46" s="320">
        <v>1</v>
      </c>
      <c r="E46" s="189">
        <v>0</v>
      </c>
      <c r="F46" s="189">
        <v>0</v>
      </c>
      <c r="G46" s="189">
        <v>1</v>
      </c>
      <c r="H46" s="189">
        <v>0</v>
      </c>
      <c r="I46" s="189">
        <v>1</v>
      </c>
      <c r="J46" s="189">
        <v>0</v>
      </c>
      <c r="K46" s="189">
        <v>0</v>
      </c>
      <c r="L46" s="189">
        <v>1</v>
      </c>
      <c r="M46" s="189">
        <v>0</v>
      </c>
      <c r="N46" s="189">
        <v>0</v>
      </c>
      <c r="O46" s="217">
        <v>1</v>
      </c>
      <c r="P46" s="279">
        <f t="shared" si="0"/>
        <v>5</v>
      </c>
    </row>
    <row r="47" spans="1:16" ht="18" customHeight="1">
      <c r="A47" s="1309" t="s">
        <v>791</v>
      </c>
      <c r="B47" s="1335" t="s">
        <v>776</v>
      </c>
      <c r="C47" s="1395"/>
      <c r="D47" s="320">
        <v>0</v>
      </c>
      <c r="E47" s="189">
        <v>0</v>
      </c>
      <c r="F47" s="189">
        <v>0</v>
      </c>
      <c r="G47" s="189">
        <v>0</v>
      </c>
      <c r="H47" s="189">
        <v>0</v>
      </c>
      <c r="I47" s="189">
        <v>0</v>
      </c>
      <c r="J47" s="189">
        <v>0</v>
      </c>
      <c r="K47" s="189">
        <v>0</v>
      </c>
      <c r="L47" s="189">
        <v>0</v>
      </c>
      <c r="M47" s="189">
        <v>1</v>
      </c>
      <c r="N47" s="189">
        <v>0</v>
      </c>
      <c r="O47" s="188">
        <v>0</v>
      </c>
      <c r="P47" s="279">
        <f t="shared" si="0"/>
        <v>1</v>
      </c>
    </row>
    <row r="48" spans="1:16" ht="18" customHeight="1">
      <c r="A48" s="1657"/>
      <c r="B48" s="1337" t="s">
        <v>777</v>
      </c>
      <c r="C48" s="1395"/>
      <c r="D48" s="318">
        <v>2</v>
      </c>
      <c r="E48" s="214">
        <v>0</v>
      </c>
      <c r="F48" s="214">
        <v>3</v>
      </c>
      <c r="G48" s="214">
        <v>0</v>
      </c>
      <c r="H48" s="214">
        <v>0</v>
      </c>
      <c r="I48" s="214">
        <v>0</v>
      </c>
      <c r="J48" s="214">
        <v>0</v>
      </c>
      <c r="K48" s="214">
        <v>0</v>
      </c>
      <c r="L48" s="214">
        <v>2</v>
      </c>
      <c r="M48" s="214">
        <v>0</v>
      </c>
      <c r="N48" s="214">
        <v>1</v>
      </c>
      <c r="O48" s="220">
        <v>4</v>
      </c>
      <c r="P48" s="290">
        <f t="shared" si="0"/>
        <v>12</v>
      </c>
    </row>
    <row r="49" spans="1:16" ht="18" customHeight="1" thickBot="1">
      <c r="A49" s="1658"/>
      <c r="B49" s="801"/>
      <c r="C49" s="725" t="s">
        <v>408</v>
      </c>
      <c r="D49" s="320">
        <v>0</v>
      </c>
      <c r="E49" s="189">
        <v>0</v>
      </c>
      <c r="F49" s="189">
        <v>0</v>
      </c>
      <c r="G49" s="189">
        <v>0</v>
      </c>
      <c r="H49" s="189">
        <v>0</v>
      </c>
      <c r="I49" s="189">
        <v>0</v>
      </c>
      <c r="J49" s="189">
        <v>0</v>
      </c>
      <c r="K49" s="189">
        <v>0</v>
      </c>
      <c r="L49" s="189">
        <v>1</v>
      </c>
      <c r="M49" s="189">
        <v>0</v>
      </c>
      <c r="N49" s="189">
        <v>0</v>
      </c>
      <c r="O49" s="217">
        <v>1</v>
      </c>
      <c r="P49" s="279">
        <f t="shared" si="0"/>
        <v>2</v>
      </c>
    </row>
    <row r="50" spans="1:16" ht="18" customHeight="1">
      <c r="A50" s="1386" t="s">
        <v>635</v>
      </c>
      <c r="B50" s="1349" t="s">
        <v>776</v>
      </c>
      <c r="C50" s="1414"/>
      <c r="D50" s="319">
        <f t="shared" ref="D50:O52" si="1">D5+D8+D11+D14+D17+D20+D23+D26+D29+D32+D35+D38+D41+D44+D47</f>
        <v>0</v>
      </c>
      <c r="E50" s="186">
        <f t="shared" si="1"/>
        <v>0</v>
      </c>
      <c r="F50" s="186">
        <f t="shared" si="1"/>
        <v>0</v>
      </c>
      <c r="G50" s="186">
        <f t="shared" si="1"/>
        <v>0</v>
      </c>
      <c r="H50" s="186">
        <f t="shared" si="1"/>
        <v>0</v>
      </c>
      <c r="I50" s="186">
        <f t="shared" si="1"/>
        <v>0</v>
      </c>
      <c r="J50" s="186">
        <f t="shared" si="1"/>
        <v>0</v>
      </c>
      <c r="K50" s="186">
        <f t="shared" si="1"/>
        <v>0</v>
      </c>
      <c r="L50" s="186">
        <f t="shared" si="1"/>
        <v>0</v>
      </c>
      <c r="M50" s="186">
        <f t="shared" si="1"/>
        <v>1</v>
      </c>
      <c r="N50" s="186">
        <f t="shared" si="1"/>
        <v>0</v>
      </c>
      <c r="O50" s="185">
        <f t="shared" si="1"/>
        <v>0</v>
      </c>
      <c r="P50" s="278">
        <f t="shared" si="0"/>
        <v>1</v>
      </c>
    </row>
    <row r="51" spans="1:16" ht="18" customHeight="1">
      <c r="A51" s="1310"/>
      <c r="B51" s="1337" t="s">
        <v>777</v>
      </c>
      <c r="C51" s="1395"/>
      <c r="D51" s="318">
        <f t="shared" si="1"/>
        <v>24</v>
      </c>
      <c r="E51" s="214">
        <f t="shared" si="1"/>
        <v>30</v>
      </c>
      <c r="F51" s="214">
        <f t="shared" si="1"/>
        <v>39</v>
      </c>
      <c r="G51" s="214">
        <f t="shared" si="1"/>
        <v>31</v>
      </c>
      <c r="H51" s="214">
        <f t="shared" si="1"/>
        <v>22</v>
      </c>
      <c r="I51" s="214">
        <f t="shared" si="1"/>
        <v>32</v>
      </c>
      <c r="J51" s="214">
        <f t="shared" si="1"/>
        <v>42</v>
      </c>
      <c r="K51" s="214">
        <f t="shared" si="1"/>
        <v>30</v>
      </c>
      <c r="L51" s="214">
        <f t="shared" si="1"/>
        <v>25</v>
      </c>
      <c r="M51" s="214">
        <f t="shared" si="1"/>
        <v>28</v>
      </c>
      <c r="N51" s="214">
        <f t="shared" si="1"/>
        <v>28</v>
      </c>
      <c r="O51" s="220">
        <f>O6+O9+O12+O15+O18+O21+O24+O27+O30+O33+O36+O39+O42+O45+O48</f>
        <v>35</v>
      </c>
      <c r="P51" s="290">
        <f>SUM(D51:O51)</f>
        <v>366</v>
      </c>
    </row>
    <row r="52" spans="1:16" ht="18" customHeight="1" thickBot="1">
      <c r="A52" s="1313"/>
      <c r="B52" s="801"/>
      <c r="C52" s="725" t="s">
        <v>408</v>
      </c>
      <c r="D52" s="320">
        <f t="shared" si="1"/>
        <v>2</v>
      </c>
      <c r="E52" s="214">
        <f t="shared" si="1"/>
        <v>2</v>
      </c>
      <c r="F52" s="214">
        <f t="shared" si="1"/>
        <v>2</v>
      </c>
      <c r="G52" s="214">
        <f t="shared" si="1"/>
        <v>2</v>
      </c>
      <c r="H52" s="214">
        <f t="shared" si="1"/>
        <v>2</v>
      </c>
      <c r="I52" s="214">
        <f t="shared" si="1"/>
        <v>4</v>
      </c>
      <c r="J52" s="214">
        <f t="shared" si="1"/>
        <v>3</v>
      </c>
      <c r="K52" s="214">
        <f t="shared" si="1"/>
        <v>0</v>
      </c>
      <c r="L52" s="214">
        <f t="shared" si="1"/>
        <v>3</v>
      </c>
      <c r="M52" s="214">
        <f t="shared" si="1"/>
        <v>2</v>
      </c>
      <c r="N52" s="214">
        <f t="shared" si="1"/>
        <v>1</v>
      </c>
      <c r="O52" s="221">
        <f t="shared" si="1"/>
        <v>4</v>
      </c>
      <c r="P52" s="290">
        <f>SUM(D52:O52)</f>
        <v>27</v>
      </c>
    </row>
    <row r="53" spans="1:16" ht="18" customHeight="1">
      <c r="A53" s="1659" t="s">
        <v>389</v>
      </c>
      <c r="B53" s="1349" t="s">
        <v>776</v>
      </c>
      <c r="C53" s="1414"/>
      <c r="D53" s="319">
        <v>0</v>
      </c>
      <c r="E53" s="186">
        <v>0</v>
      </c>
      <c r="F53" s="186">
        <v>0</v>
      </c>
      <c r="G53" s="186">
        <v>0</v>
      </c>
      <c r="H53" s="186">
        <v>0</v>
      </c>
      <c r="I53" s="186">
        <v>0</v>
      </c>
      <c r="J53" s="186">
        <v>0</v>
      </c>
      <c r="K53" s="186">
        <v>0</v>
      </c>
      <c r="L53" s="186">
        <v>0</v>
      </c>
      <c r="M53" s="186">
        <v>1</v>
      </c>
      <c r="N53" s="186">
        <v>2</v>
      </c>
      <c r="O53" s="186">
        <v>0</v>
      </c>
      <c r="P53" s="278">
        <f t="shared" si="0"/>
        <v>3</v>
      </c>
    </row>
    <row r="54" spans="1:16" ht="18" customHeight="1">
      <c r="A54" s="1276"/>
      <c r="B54" s="1337" t="s">
        <v>777</v>
      </c>
      <c r="C54" s="1395"/>
      <c r="D54" s="318">
        <v>97</v>
      </c>
      <c r="E54" s="214">
        <v>114</v>
      </c>
      <c r="F54" s="214">
        <v>132</v>
      </c>
      <c r="G54" s="214">
        <v>108</v>
      </c>
      <c r="H54" s="214">
        <v>140</v>
      </c>
      <c r="I54" s="214">
        <v>134</v>
      </c>
      <c r="J54" s="214">
        <v>145</v>
      </c>
      <c r="K54" s="214">
        <v>122</v>
      </c>
      <c r="L54" s="214">
        <v>122</v>
      </c>
      <c r="M54" s="214">
        <v>140</v>
      </c>
      <c r="N54" s="214">
        <v>128</v>
      </c>
      <c r="O54" s="221">
        <v>154</v>
      </c>
      <c r="P54" s="292">
        <f t="shared" si="0"/>
        <v>1536</v>
      </c>
    </row>
    <row r="55" spans="1:16" ht="18" customHeight="1" thickBot="1">
      <c r="A55" s="1277"/>
      <c r="B55" s="801"/>
      <c r="C55" s="725" t="s">
        <v>408</v>
      </c>
      <c r="D55" s="181">
        <v>6</v>
      </c>
      <c r="E55" s="222">
        <v>6</v>
      </c>
      <c r="F55" s="222">
        <v>7</v>
      </c>
      <c r="G55" s="222">
        <v>5</v>
      </c>
      <c r="H55" s="222">
        <v>13</v>
      </c>
      <c r="I55" s="222">
        <v>13</v>
      </c>
      <c r="J55" s="222">
        <v>11</v>
      </c>
      <c r="K55" s="222">
        <v>9</v>
      </c>
      <c r="L55" s="222">
        <v>9</v>
      </c>
      <c r="M55" s="222">
        <v>10</v>
      </c>
      <c r="N55" s="222">
        <v>9</v>
      </c>
      <c r="O55" s="223">
        <v>13</v>
      </c>
      <c r="P55" s="280">
        <f t="shared" si="0"/>
        <v>111</v>
      </c>
    </row>
    <row r="56" spans="1:16" ht="18" customHeight="1">
      <c r="A56" s="1895" t="s">
        <v>926</v>
      </c>
      <c r="B56" s="1886"/>
      <c r="C56" s="1886"/>
      <c r="D56" s="1906"/>
      <c r="E56" s="1906"/>
      <c r="F56" s="1906"/>
      <c r="G56" s="1906"/>
      <c r="H56" s="501"/>
      <c r="I56" s="501"/>
      <c r="J56" s="501"/>
      <c r="K56" s="501"/>
      <c r="L56" s="501"/>
      <c r="M56" s="501"/>
      <c r="N56" s="501"/>
      <c r="O56" s="501"/>
      <c r="P56" s="501"/>
    </row>
    <row r="57" spans="1:16" ht="18" customHeight="1">
      <c r="A57" s="1884" t="s">
        <v>916</v>
      </c>
      <c r="B57" s="1889"/>
      <c r="C57" s="1889"/>
      <c r="D57" s="1889"/>
      <c r="E57" s="1889"/>
      <c r="F57" s="1889"/>
      <c r="G57" s="1889"/>
      <c r="H57" s="501"/>
      <c r="I57" s="501"/>
      <c r="J57" s="501"/>
      <c r="K57" s="501"/>
      <c r="L57" s="501"/>
      <c r="M57" s="501"/>
      <c r="N57" s="501"/>
      <c r="O57" s="501"/>
      <c r="P57" s="501"/>
    </row>
    <row r="58" spans="1:16" ht="18" customHeight="1"/>
    <row r="59" spans="1:16" ht="18" customHeight="1"/>
  </sheetData>
  <mergeCells count="66">
    <mergeCell ref="N2:P2"/>
    <mergeCell ref="D3:D4"/>
    <mergeCell ref="E3:E4"/>
    <mergeCell ref="F3:F4"/>
    <mergeCell ref="G3:G4"/>
    <mergeCell ref="H3:H4"/>
    <mergeCell ref="I3:I4"/>
    <mergeCell ref="J3:J4"/>
    <mergeCell ref="K3:K4"/>
    <mergeCell ref="L3:L4"/>
    <mergeCell ref="M3:M4"/>
    <mergeCell ref="N3:N4"/>
    <mergeCell ref="O3:O4"/>
    <mergeCell ref="P3:P4"/>
    <mergeCell ref="A5:A7"/>
    <mergeCell ref="B5:C5"/>
    <mergeCell ref="B6:C6"/>
    <mergeCell ref="A8:A10"/>
    <mergeCell ref="B8:C8"/>
    <mergeCell ref="B9:C9"/>
    <mergeCell ref="A11:A13"/>
    <mergeCell ref="B11:C11"/>
    <mergeCell ref="B12:C12"/>
    <mergeCell ref="A14:A16"/>
    <mergeCell ref="B14:C14"/>
    <mergeCell ref="B15:C15"/>
    <mergeCell ref="A17:A19"/>
    <mergeCell ref="B17:C17"/>
    <mergeCell ref="B18:C18"/>
    <mergeCell ref="A20:A22"/>
    <mergeCell ref="B20:C20"/>
    <mergeCell ref="B21:C21"/>
    <mergeCell ref="A23:A25"/>
    <mergeCell ref="B23:C23"/>
    <mergeCell ref="B24:C24"/>
    <mergeCell ref="A26:A28"/>
    <mergeCell ref="B26:C26"/>
    <mergeCell ref="B27:C27"/>
    <mergeCell ref="A29:A31"/>
    <mergeCell ref="B29:C29"/>
    <mergeCell ref="B30:C30"/>
    <mergeCell ref="A32:A34"/>
    <mergeCell ref="B32:C32"/>
    <mergeCell ref="B33:C33"/>
    <mergeCell ref="A35:A37"/>
    <mergeCell ref="B35:C35"/>
    <mergeCell ref="B36:C36"/>
    <mergeCell ref="A38:A40"/>
    <mergeCell ref="B38:C38"/>
    <mergeCell ref="B39:C39"/>
    <mergeCell ref="A41:A43"/>
    <mergeCell ref="B41:C41"/>
    <mergeCell ref="B42:C42"/>
    <mergeCell ref="A44:A46"/>
    <mergeCell ref="B44:C44"/>
    <mergeCell ref="B45:C45"/>
    <mergeCell ref="A47:A49"/>
    <mergeCell ref="B47:C47"/>
    <mergeCell ref="B48:C48"/>
    <mergeCell ref="A56:G56"/>
    <mergeCell ref="A50:A52"/>
    <mergeCell ref="B50:C50"/>
    <mergeCell ref="B51:C51"/>
    <mergeCell ref="A53:A55"/>
    <mergeCell ref="B53:C53"/>
    <mergeCell ref="B54:C54"/>
  </mergeCells>
  <phoneticPr fontId="4"/>
  <printOptions horizontalCentered="1"/>
  <pageMargins left="0.78740157480314965" right="0.39370078740157483" top="0.98425196850393704" bottom="0.98425196850393704" header="0.31496062992125984" footer="0.51181102362204722"/>
  <pageSetup paperSize="9" scale="74" firstPageNumber="21" orientation="portrait" r:id="rId1"/>
  <headerFooter scaleWithDoc="0" alignWithMargins="0">
    <oddFooter>&amp;C- &amp;P -</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5E1E2-0B4B-41A9-9FB5-EB6F87AFD4A5}">
  <sheetPr>
    <pageSetUpPr fitToPage="1"/>
  </sheetPr>
  <dimension ref="A1:S33"/>
  <sheetViews>
    <sheetView showWhiteSpace="0" view="pageBreakPreview" topLeftCell="A9" zoomScale="70" zoomScaleNormal="100" zoomScaleSheetLayoutView="70" workbookViewId="0">
      <selection activeCell="L76" sqref="L76"/>
    </sheetView>
  </sheetViews>
  <sheetFormatPr defaultColWidth="9" defaultRowHeight="13.8"/>
  <cols>
    <col min="1" max="1" width="8.21875" style="497" customWidth="1"/>
    <col min="2" max="19" width="7.109375" style="497" customWidth="1"/>
    <col min="20" max="16384" width="9" style="497"/>
  </cols>
  <sheetData>
    <row r="1" spans="1:19" ht="15">
      <c r="A1" s="566" t="s">
        <v>514</v>
      </c>
    </row>
    <row r="2" spans="1:19" ht="14.4" thickBot="1">
      <c r="Q2" s="1385" t="s">
        <v>376</v>
      </c>
      <c r="R2" s="1385"/>
      <c r="S2" s="1477"/>
    </row>
    <row r="3" spans="1:19" ht="21" customHeight="1">
      <c r="A3" s="789" t="s">
        <v>391</v>
      </c>
      <c r="B3" s="1628" t="s">
        <v>744</v>
      </c>
      <c r="C3" s="1629"/>
      <c r="D3" s="1630"/>
      <c r="E3" s="1667" t="s">
        <v>745</v>
      </c>
      <c r="F3" s="1380"/>
      <c r="G3" s="1380"/>
      <c r="H3" s="1380"/>
      <c r="I3" s="1380"/>
      <c r="J3" s="1380"/>
      <c r="K3" s="1380"/>
      <c r="L3" s="1380"/>
      <c r="M3" s="1380"/>
      <c r="N3" s="1380"/>
      <c r="O3" s="1380"/>
      <c r="P3" s="1380"/>
      <c r="Q3" s="1380"/>
      <c r="R3" s="1380"/>
      <c r="S3" s="1668"/>
    </row>
    <row r="4" spans="1:19" ht="20.100000000000001" customHeight="1">
      <c r="A4" s="790"/>
      <c r="B4" s="1631"/>
      <c r="C4" s="1373"/>
      <c r="D4" s="1632"/>
      <c r="E4" s="1514" t="s">
        <v>746</v>
      </c>
      <c r="F4" s="1669"/>
      <c r="G4" s="1379"/>
      <c r="H4" s="1514" t="s">
        <v>747</v>
      </c>
      <c r="I4" s="1669"/>
      <c r="J4" s="1379"/>
      <c r="K4" s="1670" t="s">
        <v>409</v>
      </c>
      <c r="L4" s="1671"/>
      <c r="M4" s="1379"/>
      <c r="N4" s="1670" t="s">
        <v>392</v>
      </c>
      <c r="O4" s="1671"/>
      <c r="P4" s="1379"/>
      <c r="Q4" s="1514" t="s">
        <v>659</v>
      </c>
      <c r="R4" s="1669"/>
      <c r="S4" s="1379"/>
    </row>
    <row r="5" spans="1:19" ht="6" customHeight="1">
      <c r="A5" s="790"/>
      <c r="B5" s="1326" t="s">
        <v>394</v>
      </c>
      <c r="C5" s="1325" t="s">
        <v>410</v>
      </c>
      <c r="D5" s="806"/>
      <c r="E5" s="1326" t="s">
        <v>394</v>
      </c>
      <c r="F5" s="1325" t="s">
        <v>410</v>
      </c>
      <c r="G5" s="806"/>
      <c r="H5" s="1326" t="s">
        <v>394</v>
      </c>
      <c r="I5" s="1325" t="s">
        <v>410</v>
      </c>
      <c r="J5" s="806"/>
      <c r="K5" s="1326" t="s">
        <v>394</v>
      </c>
      <c r="L5" s="1325" t="s">
        <v>410</v>
      </c>
      <c r="M5" s="806"/>
      <c r="N5" s="1326" t="s">
        <v>394</v>
      </c>
      <c r="O5" s="1325" t="s">
        <v>410</v>
      </c>
      <c r="P5" s="806"/>
      <c r="Q5" s="1326" t="s">
        <v>394</v>
      </c>
      <c r="R5" s="1325" t="s">
        <v>410</v>
      </c>
      <c r="S5" s="806"/>
    </row>
    <row r="6" spans="1:19" ht="20.100000000000001" customHeight="1" thickBot="1">
      <c r="A6" s="803" t="s">
        <v>393</v>
      </c>
      <c r="B6" s="1625"/>
      <c r="C6" s="1626"/>
      <c r="D6" s="804" t="s">
        <v>411</v>
      </c>
      <c r="E6" s="1625"/>
      <c r="F6" s="1626"/>
      <c r="G6" s="805" t="s">
        <v>411</v>
      </c>
      <c r="H6" s="1625"/>
      <c r="I6" s="1626"/>
      <c r="J6" s="805" t="s">
        <v>411</v>
      </c>
      <c r="K6" s="1625"/>
      <c r="L6" s="1626"/>
      <c r="M6" s="805" t="s">
        <v>411</v>
      </c>
      <c r="N6" s="1625"/>
      <c r="O6" s="1626"/>
      <c r="P6" s="805" t="s">
        <v>411</v>
      </c>
      <c r="Q6" s="1625"/>
      <c r="R6" s="1626"/>
      <c r="S6" s="805" t="s">
        <v>411</v>
      </c>
    </row>
    <row r="7" spans="1:19" ht="24.9" customHeight="1">
      <c r="A7" s="793" t="s">
        <v>576</v>
      </c>
      <c r="B7" s="317">
        <f t="shared" ref="B7:D30" si="0">E7+H7+K7+N7+Q7</f>
        <v>0</v>
      </c>
      <c r="C7" s="195">
        <f t="shared" si="0"/>
        <v>21</v>
      </c>
      <c r="D7" s="293">
        <f>G7+J7+M7+P7+S7</f>
        <v>2</v>
      </c>
      <c r="E7" s="317">
        <v>0</v>
      </c>
      <c r="F7" s="195">
        <v>6</v>
      </c>
      <c r="G7" s="293">
        <v>0</v>
      </c>
      <c r="H7" s="317">
        <v>0</v>
      </c>
      <c r="I7" s="293">
        <v>9</v>
      </c>
      <c r="J7" s="293">
        <v>1</v>
      </c>
      <c r="K7" s="193">
        <v>0</v>
      </c>
      <c r="L7" s="195">
        <v>0</v>
      </c>
      <c r="M7" s="293">
        <v>0</v>
      </c>
      <c r="N7" s="317">
        <v>0</v>
      </c>
      <c r="O7" s="195">
        <v>6</v>
      </c>
      <c r="P7" s="277">
        <v>1</v>
      </c>
      <c r="Q7" s="193">
        <v>0</v>
      </c>
      <c r="R7" s="195">
        <v>0</v>
      </c>
      <c r="S7" s="293">
        <v>0</v>
      </c>
    </row>
    <row r="8" spans="1:19" ht="24.9" customHeight="1">
      <c r="A8" s="787" t="s">
        <v>577</v>
      </c>
      <c r="B8" s="317">
        <f t="shared" si="0"/>
        <v>0</v>
      </c>
      <c r="C8" s="195">
        <f t="shared" si="0"/>
        <v>6</v>
      </c>
      <c r="D8" s="293">
        <f t="shared" si="0"/>
        <v>0</v>
      </c>
      <c r="E8" s="317">
        <v>0</v>
      </c>
      <c r="F8" s="188">
        <v>2</v>
      </c>
      <c r="G8" s="293">
        <v>0</v>
      </c>
      <c r="H8" s="317">
        <v>0</v>
      </c>
      <c r="I8" s="217">
        <v>3</v>
      </c>
      <c r="J8" s="293">
        <v>0</v>
      </c>
      <c r="K8" s="193">
        <v>0</v>
      </c>
      <c r="L8" s="188">
        <v>0</v>
      </c>
      <c r="M8" s="293">
        <v>0</v>
      </c>
      <c r="N8" s="317">
        <v>0</v>
      </c>
      <c r="O8" s="188">
        <v>1</v>
      </c>
      <c r="P8" s="293">
        <v>0</v>
      </c>
      <c r="Q8" s="193">
        <v>0</v>
      </c>
      <c r="R8" s="195">
        <v>0</v>
      </c>
      <c r="S8" s="293">
        <v>0</v>
      </c>
    </row>
    <row r="9" spans="1:19" ht="24.9" customHeight="1">
      <c r="A9" s="787" t="s">
        <v>578</v>
      </c>
      <c r="B9" s="317">
        <f t="shared" si="0"/>
        <v>0</v>
      </c>
      <c r="C9" s="195">
        <f t="shared" si="0"/>
        <v>15</v>
      </c>
      <c r="D9" s="293">
        <f t="shared" si="0"/>
        <v>2</v>
      </c>
      <c r="E9" s="317">
        <v>0</v>
      </c>
      <c r="F9" s="188">
        <v>4</v>
      </c>
      <c r="G9" s="293">
        <v>1</v>
      </c>
      <c r="H9" s="317">
        <v>0</v>
      </c>
      <c r="I9" s="217">
        <v>10</v>
      </c>
      <c r="J9" s="293">
        <v>1</v>
      </c>
      <c r="K9" s="193">
        <v>0</v>
      </c>
      <c r="L9" s="188">
        <v>0</v>
      </c>
      <c r="M9" s="293">
        <v>0</v>
      </c>
      <c r="N9" s="317">
        <v>0</v>
      </c>
      <c r="O9" s="188">
        <v>1</v>
      </c>
      <c r="P9" s="293">
        <v>0</v>
      </c>
      <c r="Q9" s="193">
        <v>0</v>
      </c>
      <c r="R9" s="195">
        <v>0</v>
      </c>
      <c r="S9" s="293">
        <v>0</v>
      </c>
    </row>
    <row r="10" spans="1:19" ht="24.9" customHeight="1">
      <c r="A10" s="787" t="s">
        <v>580</v>
      </c>
      <c r="B10" s="317">
        <f t="shared" si="0"/>
        <v>0</v>
      </c>
      <c r="C10" s="195">
        <f t="shared" si="0"/>
        <v>10</v>
      </c>
      <c r="D10" s="293">
        <f t="shared" si="0"/>
        <v>0</v>
      </c>
      <c r="E10" s="317">
        <v>0</v>
      </c>
      <c r="F10" s="188">
        <v>1</v>
      </c>
      <c r="G10" s="293">
        <v>0</v>
      </c>
      <c r="H10" s="317">
        <v>0</v>
      </c>
      <c r="I10" s="217">
        <v>4</v>
      </c>
      <c r="J10" s="293">
        <v>0</v>
      </c>
      <c r="K10" s="193">
        <v>0</v>
      </c>
      <c r="L10" s="188">
        <v>0</v>
      </c>
      <c r="M10" s="293">
        <v>0</v>
      </c>
      <c r="N10" s="317">
        <v>0</v>
      </c>
      <c r="O10" s="188">
        <v>5</v>
      </c>
      <c r="P10" s="293">
        <v>0</v>
      </c>
      <c r="Q10" s="193">
        <v>0</v>
      </c>
      <c r="R10" s="195">
        <v>0</v>
      </c>
      <c r="S10" s="293">
        <v>0</v>
      </c>
    </row>
    <row r="11" spans="1:19" ht="24.9" customHeight="1">
      <c r="A11" s="787" t="s">
        <v>581</v>
      </c>
      <c r="B11" s="317">
        <f t="shared" si="0"/>
        <v>1</v>
      </c>
      <c r="C11" s="195">
        <f t="shared" si="0"/>
        <v>17</v>
      </c>
      <c r="D11" s="293">
        <f t="shared" si="0"/>
        <v>1</v>
      </c>
      <c r="E11" s="317">
        <v>0</v>
      </c>
      <c r="F11" s="188">
        <v>3</v>
      </c>
      <c r="G11" s="293">
        <v>0</v>
      </c>
      <c r="H11" s="317">
        <v>1</v>
      </c>
      <c r="I11" s="217">
        <v>6</v>
      </c>
      <c r="J11" s="293">
        <v>1</v>
      </c>
      <c r="K11" s="193">
        <v>0</v>
      </c>
      <c r="L11" s="188">
        <v>0</v>
      </c>
      <c r="M11" s="293">
        <v>0</v>
      </c>
      <c r="N11" s="317">
        <v>0</v>
      </c>
      <c r="O11" s="188">
        <v>8</v>
      </c>
      <c r="P11" s="293">
        <v>0</v>
      </c>
      <c r="Q11" s="193">
        <v>0</v>
      </c>
      <c r="R11" s="195">
        <v>0</v>
      </c>
      <c r="S11" s="293">
        <v>0</v>
      </c>
    </row>
    <row r="12" spans="1:19" ht="24.9" customHeight="1">
      <c r="A12" s="787" t="s">
        <v>582</v>
      </c>
      <c r="B12" s="317">
        <f t="shared" si="0"/>
        <v>0</v>
      </c>
      <c r="C12" s="195">
        <f t="shared" si="0"/>
        <v>12</v>
      </c>
      <c r="D12" s="293">
        <f t="shared" si="0"/>
        <v>1</v>
      </c>
      <c r="E12" s="317">
        <v>0</v>
      </c>
      <c r="F12" s="188">
        <v>3</v>
      </c>
      <c r="G12" s="293">
        <v>1</v>
      </c>
      <c r="H12" s="317">
        <v>0</v>
      </c>
      <c r="I12" s="217">
        <v>7</v>
      </c>
      <c r="J12" s="293">
        <v>0</v>
      </c>
      <c r="K12" s="193">
        <v>0</v>
      </c>
      <c r="L12" s="188">
        <v>0</v>
      </c>
      <c r="M12" s="293">
        <v>0</v>
      </c>
      <c r="N12" s="317">
        <v>0</v>
      </c>
      <c r="O12" s="188">
        <v>2</v>
      </c>
      <c r="P12" s="293">
        <v>0</v>
      </c>
      <c r="Q12" s="193">
        <v>0</v>
      </c>
      <c r="R12" s="195">
        <v>0</v>
      </c>
      <c r="S12" s="293">
        <v>0</v>
      </c>
    </row>
    <row r="13" spans="1:19" ht="24.9" customHeight="1">
      <c r="A13" s="787" t="s">
        <v>583</v>
      </c>
      <c r="B13" s="317">
        <f t="shared" si="0"/>
        <v>0</v>
      </c>
      <c r="C13" s="195">
        <f t="shared" si="0"/>
        <v>7</v>
      </c>
      <c r="D13" s="293">
        <f t="shared" si="0"/>
        <v>0</v>
      </c>
      <c r="E13" s="317">
        <v>0</v>
      </c>
      <c r="F13" s="188">
        <v>3</v>
      </c>
      <c r="G13" s="293">
        <v>0</v>
      </c>
      <c r="H13" s="317">
        <v>0</v>
      </c>
      <c r="I13" s="217">
        <v>3</v>
      </c>
      <c r="J13" s="293">
        <v>0</v>
      </c>
      <c r="K13" s="193">
        <v>0</v>
      </c>
      <c r="L13" s="188">
        <v>0</v>
      </c>
      <c r="M13" s="293">
        <v>0</v>
      </c>
      <c r="N13" s="317">
        <v>0</v>
      </c>
      <c r="O13" s="188">
        <v>1</v>
      </c>
      <c r="P13" s="293">
        <v>0</v>
      </c>
      <c r="Q13" s="193">
        <v>0</v>
      </c>
      <c r="R13" s="195">
        <v>0</v>
      </c>
      <c r="S13" s="293">
        <v>0</v>
      </c>
    </row>
    <row r="14" spans="1:19" ht="24.9" customHeight="1">
      <c r="A14" s="787" t="s">
        <v>584</v>
      </c>
      <c r="B14" s="317">
        <f t="shared" si="0"/>
        <v>0</v>
      </c>
      <c r="C14" s="195">
        <f t="shared" si="0"/>
        <v>10</v>
      </c>
      <c r="D14" s="293">
        <f t="shared" si="0"/>
        <v>0</v>
      </c>
      <c r="E14" s="317">
        <v>0</v>
      </c>
      <c r="F14" s="188">
        <v>0</v>
      </c>
      <c r="G14" s="293">
        <v>0</v>
      </c>
      <c r="H14" s="317">
        <v>0</v>
      </c>
      <c r="I14" s="217">
        <v>9</v>
      </c>
      <c r="J14" s="293">
        <v>0</v>
      </c>
      <c r="K14" s="193">
        <v>0</v>
      </c>
      <c r="L14" s="188">
        <v>0</v>
      </c>
      <c r="M14" s="293">
        <v>0</v>
      </c>
      <c r="N14" s="317">
        <v>0</v>
      </c>
      <c r="O14" s="188">
        <v>1</v>
      </c>
      <c r="P14" s="293">
        <v>0</v>
      </c>
      <c r="Q14" s="193">
        <v>0</v>
      </c>
      <c r="R14" s="195">
        <v>0</v>
      </c>
      <c r="S14" s="293">
        <v>0</v>
      </c>
    </row>
    <row r="15" spans="1:19" ht="24.9" customHeight="1">
      <c r="A15" s="787" t="s">
        <v>585</v>
      </c>
      <c r="B15" s="317">
        <f t="shared" si="0"/>
        <v>0</v>
      </c>
      <c r="C15" s="195">
        <f t="shared" si="0"/>
        <v>7</v>
      </c>
      <c r="D15" s="293">
        <f t="shared" si="0"/>
        <v>1</v>
      </c>
      <c r="E15" s="317">
        <v>0</v>
      </c>
      <c r="F15" s="188">
        <v>2</v>
      </c>
      <c r="G15" s="293">
        <v>1</v>
      </c>
      <c r="H15" s="317">
        <v>0</v>
      </c>
      <c r="I15" s="217">
        <v>3</v>
      </c>
      <c r="J15" s="293">
        <v>0</v>
      </c>
      <c r="K15" s="193">
        <v>0</v>
      </c>
      <c r="L15" s="188">
        <v>0</v>
      </c>
      <c r="M15" s="293">
        <v>0</v>
      </c>
      <c r="N15" s="317">
        <v>0</v>
      </c>
      <c r="O15" s="188">
        <v>2</v>
      </c>
      <c r="P15" s="293">
        <v>0</v>
      </c>
      <c r="Q15" s="193">
        <v>0</v>
      </c>
      <c r="R15" s="195">
        <v>0</v>
      </c>
      <c r="S15" s="293">
        <v>0</v>
      </c>
    </row>
    <row r="16" spans="1:19" ht="24.9" customHeight="1">
      <c r="A16" s="787" t="s">
        <v>586</v>
      </c>
      <c r="B16" s="317">
        <f t="shared" si="0"/>
        <v>0</v>
      </c>
      <c r="C16" s="195">
        <f t="shared" si="0"/>
        <v>4</v>
      </c>
      <c r="D16" s="293">
        <f t="shared" si="0"/>
        <v>1</v>
      </c>
      <c r="E16" s="317">
        <v>0</v>
      </c>
      <c r="F16" s="188">
        <v>2</v>
      </c>
      <c r="G16" s="293">
        <v>1</v>
      </c>
      <c r="H16" s="317">
        <v>0</v>
      </c>
      <c r="I16" s="217">
        <v>0</v>
      </c>
      <c r="J16" s="293">
        <v>0</v>
      </c>
      <c r="K16" s="193">
        <v>0</v>
      </c>
      <c r="L16" s="188">
        <v>0</v>
      </c>
      <c r="M16" s="293">
        <v>0</v>
      </c>
      <c r="N16" s="317">
        <v>0</v>
      </c>
      <c r="O16" s="188">
        <v>2</v>
      </c>
      <c r="P16" s="293">
        <v>0</v>
      </c>
      <c r="Q16" s="193">
        <v>0</v>
      </c>
      <c r="R16" s="195">
        <v>0</v>
      </c>
      <c r="S16" s="293">
        <v>0</v>
      </c>
    </row>
    <row r="17" spans="1:19" ht="24.9" customHeight="1">
      <c r="A17" s="787" t="s">
        <v>749</v>
      </c>
      <c r="B17" s="317">
        <f t="shared" si="0"/>
        <v>0</v>
      </c>
      <c r="C17" s="195">
        <f t="shared" si="0"/>
        <v>11</v>
      </c>
      <c r="D17" s="293">
        <f t="shared" si="0"/>
        <v>0</v>
      </c>
      <c r="E17" s="317">
        <v>0</v>
      </c>
      <c r="F17" s="188">
        <v>1</v>
      </c>
      <c r="G17" s="293">
        <v>0</v>
      </c>
      <c r="H17" s="317">
        <v>0</v>
      </c>
      <c r="I17" s="217">
        <v>7</v>
      </c>
      <c r="J17" s="293">
        <v>0</v>
      </c>
      <c r="K17" s="193">
        <v>0</v>
      </c>
      <c r="L17" s="188">
        <v>0</v>
      </c>
      <c r="M17" s="293">
        <v>0</v>
      </c>
      <c r="N17" s="317">
        <v>0</v>
      </c>
      <c r="O17" s="188">
        <v>3</v>
      </c>
      <c r="P17" s="293">
        <v>0</v>
      </c>
      <c r="Q17" s="193">
        <v>0</v>
      </c>
      <c r="R17" s="195">
        <v>0</v>
      </c>
      <c r="S17" s="293">
        <v>0</v>
      </c>
    </row>
    <row r="18" spans="1:19" ht="24.9" customHeight="1">
      <c r="A18" s="787" t="s">
        <v>588</v>
      </c>
      <c r="B18" s="317">
        <f t="shared" si="0"/>
        <v>0</v>
      </c>
      <c r="C18" s="195">
        <f t="shared" si="0"/>
        <v>18</v>
      </c>
      <c r="D18" s="293">
        <f t="shared" si="0"/>
        <v>0</v>
      </c>
      <c r="E18" s="317">
        <v>0</v>
      </c>
      <c r="F18" s="188">
        <v>5</v>
      </c>
      <c r="G18" s="293">
        <v>0</v>
      </c>
      <c r="H18" s="317">
        <v>0</v>
      </c>
      <c r="I18" s="217">
        <v>8</v>
      </c>
      <c r="J18" s="293">
        <v>0</v>
      </c>
      <c r="K18" s="193">
        <v>0</v>
      </c>
      <c r="L18" s="188">
        <v>0</v>
      </c>
      <c r="M18" s="293">
        <v>0</v>
      </c>
      <c r="N18" s="317">
        <v>0</v>
      </c>
      <c r="O18" s="188">
        <v>5</v>
      </c>
      <c r="P18" s="293">
        <v>0</v>
      </c>
      <c r="Q18" s="193">
        <v>0</v>
      </c>
      <c r="R18" s="195">
        <v>0</v>
      </c>
      <c r="S18" s="293">
        <v>0</v>
      </c>
    </row>
    <row r="19" spans="1:19" ht="24.9" customHeight="1">
      <c r="A19" s="787" t="s">
        <v>750</v>
      </c>
      <c r="B19" s="317">
        <f t="shared" si="0"/>
        <v>0</v>
      </c>
      <c r="C19" s="195">
        <f t="shared" si="0"/>
        <v>27</v>
      </c>
      <c r="D19" s="293">
        <f t="shared" si="0"/>
        <v>2</v>
      </c>
      <c r="E19" s="317">
        <v>0</v>
      </c>
      <c r="F19" s="188">
        <v>3</v>
      </c>
      <c r="G19" s="293">
        <v>0</v>
      </c>
      <c r="H19" s="317">
        <v>0</v>
      </c>
      <c r="I19" s="217">
        <v>23</v>
      </c>
      <c r="J19" s="293">
        <v>2</v>
      </c>
      <c r="K19" s="193">
        <v>0</v>
      </c>
      <c r="L19" s="188">
        <v>0</v>
      </c>
      <c r="M19" s="293">
        <v>0</v>
      </c>
      <c r="N19" s="317">
        <v>0</v>
      </c>
      <c r="O19" s="188">
        <v>1</v>
      </c>
      <c r="P19" s="293">
        <v>0</v>
      </c>
      <c r="Q19" s="193">
        <v>0</v>
      </c>
      <c r="R19" s="195">
        <v>0</v>
      </c>
      <c r="S19" s="293">
        <v>0</v>
      </c>
    </row>
    <row r="20" spans="1:19" ht="24.9" customHeight="1">
      <c r="A20" s="787" t="s">
        <v>590</v>
      </c>
      <c r="B20" s="317">
        <f t="shared" si="0"/>
        <v>0</v>
      </c>
      <c r="C20" s="195">
        <f t="shared" si="0"/>
        <v>15</v>
      </c>
      <c r="D20" s="293">
        <f t="shared" si="0"/>
        <v>0</v>
      </c>
      <c r="E20" s="317">
        <v>0</v>
      </c>
      <c r="F20" s="188">
        <v>4</v>
      </c>
      <c r="G20" s="293">
        <v>0</v>
      </c>
      <c r="H20" s="317">
        <v>0</v>
      </c>
      <c r="I20" s="217">
        <v>5</v>
      </c>
      <c r="J20" s="293">
        <v>0</v>
      </c>
      <c r="K20" s="193">
        <v>0</v>
      </c>
      <c r="L20" s="188">
        <v>0</v>
      </c>
      <c r="M20" s="293">
        <v>0</v>
      </c>
      <c r="N20" s="317">
        <v>0</v>
      </c>
      <c r="O20" s="188">
        <v>6</v>
      </c>
      <c r="P20" s="293">
        <v>0</v>
      </c>
      <c r="Q20" s="193">
        <v>0</v>
      </c>
      <c r="R20" s="195">
        <v>0</v>
      </c>
      <c r="S20" s="293">
        <v>0</v>
      </c>
    </row>
    <row r="21" spans="1:19" ht="24.9" customHeight="1">
      <c r="A21" s="787" t="s">
        <v>591</v>
      </c>
      <c r="B21" s="317">
        <f t="shared" si="0"/>
        <v>0</v>
      </c>
      <c r="C21" s="195">
        <f t="shared" si="0"/>
        <v>23</v>
      </c>
      <c r="D21" s="293">
        <f t="shared" si="0"/>
        <v>3</v>
      </c>
      <c r="E21" s="317">
        <v>0</v>
      </c>
      <c r="F21" s="188">
        <v>2</v>
      </c>
      <c r="G21" s="293">
        <v>1</v>
      </c>
      <c r="H21" s="317">
        <v>0</v>
      </c>
      <c r="I21" s="217">
        <v>10</v>
      </c>
      <c r="J21" s="293">
        <v>2</v>
      </c>
      <c r="K21" s="193">
        <v>0</v>
      </c>
      <c r="L21" s="188">
        <v>0</v>
      </c>
      <c r="M21" s="293">
        <v>0</v>
      </c>
      <c r="N21" s="317">
        <v>0</v>
      </c>
      <c r="O21" s="188">
        <v>11</v>
      </c>
      <c r="P21" s="293">
        <v>0</v>
      </c>
      <c r="Q21" s="193">
        <v>0</v>
      </c>
      <c r="R21" s="195">
        <v>0</v>
      </c>
      <c r="S21" s="293">
        <v>0</v>
      </c>
    </row>
    <row r="22" spans="1:19" ht="24.9" customHeight="1">
      <c r="A22" s="787" t="s">
        <v>592</v>
      </c>
      <c r="B22" s="317">
        <f t="shared" si="0"/>
        <v>0</v>
      </c>
      <c r="C22" s="195">
        <f t="shared" si="0"/>
        <v>12</v>
      </c>
      <c r="D22" s="293">
        <f t="shared" si="0"/>
        <v>0</v>
      </c>
      <c r="E22" s="317">
        <v>0</v>
      </c>
      <c r="F22" s="188">
        <v>3</v>
      </c>
      <c r="G22" s="293">
        <v>0</v>
      </c>
      <c r="H22" s="317">
        <v>0</v>
      </c>
      <c r="I22" s="217">
        <v>8</v>
      </c>
      <c r="J22" s="293">
        <v>0</v>
      </c>
      <c r="K22" s="193">
        <v>0</v>
      </c>
      <c r="L22" s="188">
        <v>0</v>
      </c>
      <c r="M22" s="293">
        <v>0</v>
      </c>
      <c r="N22" s="317">
        <v>0</v>
      </c>
      <c r="O22" s="188">
        <v>1</v>
      </c>
      <c r="P22" s="293">
        <v>0</v>
      </c>
      <c r="Q22" s="193">
        <v>0</v>
      </c>
      <c r="R22" s="195">
        <v>0</v>
      </c>
      <c r="S22" s="293">
        <v>0</v>
      </c>
    </row>
    <row r="23" spans="1:19" ht="24.9" customHeight="1">
      <c r="A23" s="787" t="s">
        <v>593</v>
      </c>
      <c r="B23" s="317">
        <f t="shared" si="0"/>
        <v>0</v>
      </c>
      <c r="C23" s="195">
        <f t="shared" si="0"/>
        <v>20</v>
      </c>
      <c r="D23" s="293">
        <f t="shared" si="0"/>
        <v>4</v>
      </c>
      <c r="E23" s="317">
        <v>0</v>
      </c>
      <c r="F23" s="188">
        <v>3</v>
      </c>
      <c r="G23" s="293">
        <v>1</v>
      </c>
      <c r="H23" s="317">
        <v>0</v>
      </c>
      <c r="I23" s="217">
        <v>15</v>
      </c>
      <c r="J23" s="293">
        <v>1</v>
      </c>
      <c r="K23" s="193">
        <v>0</v>
      </c>
      <c r="L23" s="188">
        <v>2</v>
      </c>
      <c r="M23" s="293">
        <v>2</v>
      </c>
      <c r="N23" s="317">
        <v>0</v>
      </c>
      <c r="O23" s="188">
        <v>0</v>
      </c>
      <c r="P23" s="293">
        <v>0</v>
      </c>
      <c r="Q23" s="193">
        <v>0</v>
      </c>
      <c r="R23" s="195">
        <v>0</v>
      </c>
      <c r="S23" s="293">
        <v>0</v>
      </c>
    </row>
    <row r="24" spans="1:19" ht="24.9" customHeight="1">
      <c r="A24" s="787" t="s">
        <v>594</v>
      </c>
      <c r="B24" s="317">
        <f t="shared" si="0"/>
        <v>0</v>
      </c>
      <c r="C24" s="195">
        <f t="shared" si="0"/>
        <v>22</v>
      </c>
      <c r="D24" s="293">
        <f t="shared" si="0"/>
        <v>0</v>
      </c>
      <c r="E24" s="317">
        <v>0</v>
      </c>
      <c r="F24" s="188">
        <v>2</v>
      </c>
      <c r="G24" s="293">
        <v>0</v>
      </c>
      <c r="H24" s="317">
        <v>0</v>
      </c>
      <c r="I24" s="217">
        <v>12</v>
      </c>
      <c r="J24" s="293">
        <v>0</v>
      </c>
      <c r="K24" s="193">
        <v>0</v>
      </c>
      <c r="L24" s="188">
        <v>0</v>
      </c>
      <c r="M24" s="293">
        <v>0</v>
      </c>
      <c r="N24" s="317">
        <v>0</v>
      </c>
      <c r="O24" s="188">
        <v>8</v>
      </c>
      <c r="P24" s="293">
        <v>0</v>
      </c>
      <c r="Q24" s="193">
        <v>0</v>
      </c>
      <c r="R24" s="195">
        <v>0</v>
      </c>
      <c r="S24" s="293">
        <v>0</v>
      </c>
    </row>
    <row r="25" spans="1:19" ht="24.9" customHeight="1">
      <c r="A25" s="787" t="s">
        <v>595</v>
      </c>
      <c r="B25" s="317">
        <f t="shared" si="0"/>
        <v>0</v>
      </c>
      <c r="C25" s="195">
        <f t="shared" si="0"/>
        <v>26</v>
      </c>
      <c r="D25" s="293">
        <f t="shared" si="0"/>
        <v>1</v>
      </c>
      <c r="E25" s="317">
        <v>0</v>
      </c>
      <c r="F25" s="188">
        <v>3</v>
      </c>
      <c r="G25" s="293">
        <v>0</v>
      </c>
      <c r="H25" s="317">
        <v>0</v>
      </c>
      <c r="I25" s="217">
        <v>18</v>
      </c>
      <c r="J25" s="293">
        <v>1</v>
      </c>
      <c r="K25" s="193">
        <v>0</v>
      </c>
      <c r="L25" s="188">
        <v>0</v>
      </c>
      <c r="M25" s="293">
        <v>0</v>
      </c>
      <c r="N25" s="317">
        <v>0</v>
      </c>
      <c r="O25" s="188">
        <v>5</v>
      </c>
      <c r="P25" s="293">
        <v>0</v>
      </c>
      <c r="Q25" s="193">
        <v>0</v>
      </c>
      <c r="R25" s="195">
        <v>0</v>
      </c>
      <c r="S25" s="293">
        <v>0</v>
      </c>
    </row>
    <row r="26" spans="1:19" ht="24.9" customHeight="1">
      <c r="A26" s="787" t="s">
        <v>596</v>
      </c>
      <c r="B26" s="317">
        <f t="shared" si="0"/>
        <v>0</v>
      </c>
      <c r="C26" s="195">
        <f t="shared" si="0"/>
        <v>12</v>
      </c>
      <c r="D26" s="293">
        <f t="shared" si="0"/>
        <v>4</v>
      </c>
      <c r="E26" s="317">
        <v>0</v>
      </c>
      <c r="F26" s="188">
        <v>0</v>
      </c>
      <c r="G26" s="293">
        <v>0</v>
      </c>
      <c r="H26" s="317">
        <v>0</v>
      </c>
      <c r="I26" s="217">
        <v>9</v>
      </c>
      <c r="J26" s="293">
        <v>2</v>
      </c>
      <c r="K26" s="193">
        <v>0</v>
      </c>
      <c r="L26" s="188">
        <v>2</v>
      </c>
      <c r="M26" s="293">
        <v>2</v>
      </c>
      <c r="N26" s="317">
        <v>0</v>
      </c>
      <c r="O26" s="188">
        <v>1</v>
      </c>
      <c r="P26" s="293">
        <v>0</v>
      </c>
      <c r="Q26" s="193">
        <v>0</v>
      </c>
      <c r="R26" s="195">
        <v>0</v>
      </c>
      <c r="S26" s="293">
        <v>0</v>
      </c>
    </row>
    <row r="27" spans="1:19" ht="24.9" customHeight="1">
      <c r="A27" s="787" t="s">
        <v>597</v>
      </c>
      <c r="B27" s="317">
        <f t="shared" si="0"/>
        <v>0</v>
      </c>
      <c r="C27" s="195">
        <f t="shared" si="0"/>
        <v>33</v>
      </c>
      <c r="D27" s="293">
        <f t="shared" si="0"/>
        <v>3</v>
      </c>
      <c r="E27" s="317">
        <v>0</v>
      </c>
      <c r="F27" s="188">
        <v>2</v>
      </c>
      <c r="G27" s="293">
        <v>0</v>
      </c>
      <c r="H27" s="317">
        <v>0</v>
      </c>
      <c r="I27" s="217">
        <v>20</v>
      </c>
      <c r="J27" s="293">
        <v>3</v>
      </c>
      <c r="K27" s="193">
        <v>0</v>
      </c>
      <c r="L27" s="188">
        <v>0</v>
      </c>
      <c r="M27" s="293">
        <v>0</v>
      </c>
      <c r="N27" s="317">
        <v>0</v>
      </c>
      <c r="O27" s="188">
        <v>11</v>
      </c>
      <c r="P27" s="293">
        <v>0</v>
      </c>
      <c r="Q27" s="193">
        <v>0</v>
      </c>
      <c r="R27" s="195">
        <v>0</v>
      </c>
      <c r="S27" s="293">
        <v>0</v>
      </c>
    </row>
    <row r="28" spans="1:19" ht="24.9" customHeight="1">
      <c r="A28" s="787" t="s">
        <v>751</v>
      </c>
      <c r="B28" s="317">
        <f t="shared" si="0"/>
        <v>0</v>
      </c>
      <c r="C28" s="195">
        <f t="shared" si="0"/>
        <v>15</v>
      </c>
      <c r="D28" s="293">
        <f t="shared" si="0"/>
        <v>1</v>
      </c>
      <c r="E28" s="317">
        <v>0</v>
      </c>
      <c r="F28" s="188">
        <v>4</v>
      </c>
      <c r="G28" s="293">
        <v>1</v>
      </c>
      <c r="H28" s="317">
        <v>0</v>
      </c>
      <c r="I28" s="217">
        <v>9</v>
      </c>
      <c r="J28" s="293">
        <v>0</v>
      </c>
      <c r="K28" s="193">
        <v>0</v>
      </c>
      <c r="L28" s="188">
        <v>0</v>
      </c>
      <c r="M28" s="293">
        <v>0</v>
      </c>
      <c r="N28" s="317">
        <v>0</v>
      </c>
      <c r="O28" s="188">
        <v>2</v>
      </c>
      <c r="P28" s="293">
        <v>0</v>
      </c>
      <c r="Q28" s="193">
        <v>0</v>
      </c>
      <c r="R28" s="195">
        <v>0</v>
      </c>
      <c r="S28" s="293">
        <v>0</v>
      </c>
    </row>
    <row r="29" spans="1:19" ht="24.9" customHeight="1">
      <c r="A29" s="787" t="s">
        <v>599</v>
      </c>
      <c r="B29" s="317">
        <f t="shared" si="0"/>
        <v>0</v>
      </c>
      <c r="C29" s="195">
        <f t="shared" si="0"/>
        <v>17</v>
      </c>
      <c r="D29" s="293">
        <f t="shared" si="0"/>
        <v>0</v>
      </c>
      <c r="E29" s="317">
        <v>0</v>
      </c>
      <c r="F29" s="188">
        <v>3</v>
      </c>
      <c r="G29" s="293">
        <v>0</v>
      </c>
      <c r="H29" s="317">
        <v>0</v>
      </c>
      <c r="I29" s="217">
        <v>8</v>
      </c>
      <c r="J29" s="293">
        <v>0</v>
      </c>
      <c r="K29" s="193">
        <v>0</v>
      </c>
      <c r="L29" s="188">
        <v>0</v>
      </c>
      <c r="M29" s="293">
        <v>0</v>
      </c>
      <c r="N29" s="317">
        <v>0</v>
      </c>
      <c r="O29" s="188">
        <v>6</v>
      </c>
      <c r="P29" s="293">
        <v>0</v>
      </c>
      <c r="Q29" s="193">
        <v>0</v>
      </c>
      <c r="R29" s="195">
        <v>0</v>
      </c>
      <c r="S29" s="293">
        <v>0</v>
      </c>
    </row>
    <row r="30" spans="1:19" ht="24.9" customHeight="1" thickBot="1">
      <c r="A30" s="503" t="s">
        <v>600</v>
      </c>
      <c r="B30" s="196">
        <f t="shared" si="0"/>
        <v>0</v>
      </c>
      <c r="C30" s="218">
        <f t="shared" si="0"/>
        <v>6</v>
      </c>
      <c r="D30" s="219">
        <f t="shared" si="0"/>
        <v>1</v>
      </c>
      <c r="E30" s="317">
        <v>0</v>
      </c>
      <c r="F30" s="220">
        <v>0</v>
      </c>
      <c r="G30" s="219">
        <v>0</v>
      </c>
      <c r="H30" s="317">
        <v>0</v>
      </c>
      <c r="I30" s="221">
        <v>4</v>
      </c>
      <c r="J30" s="219">
        <v>1</v>
      </c>
      <c r="K30" s="193">
        <v>0</v>
      </c>
      <c r="L30" s="220">
        <v>0</v>
      </c>
      <c r="M30" s="219">
        <v>0</v>
      </c>
      <c r="N30" s="317">
        <v>0</v>
      </c>
      <c r="O30" s="220">
        <v>2</v>
      </c>
      <c r="P30" s="219">
        <v>0</v>
      </c>
      <c r="Q30" s="193">
        <v>0</v>
      </c>
      <c r="R30" s="195">
        <v>0</v>
      </c>
      <c r="S30" s="219">
        <v>0</v>
      </c>
    </row>
    <row r="31" spans="1:19" ht="24.9" customHeight="1" thickBot="1">
      <c r="A31" s="788" t="s">
        <v>635</v>
      </c>
      <c r="B31" s="294">
        <f>SUM(B7:B30)</f>
        <v>1</v>
      </c>
      <c r="C31" s="271">
        <f>SUM(C7:C30)</f>
        <v>366</v>
      </c>
      <c r="D31" s="295">
        <f>SUM(D7:D30)</f>
        <v>27</v>
      </c>
      <c r="E31" s="294">
        <f t="shared" ref="E31:R31" si="1">SUM(E7:E30)</f>
        <v>0</v>
      </c>
      <c r="F31" s="271">
        <f t="shared" si="1"/>
        <v>61</v>
      </c>
      <c r="G31" s="295">
        <f>SUM(G7:G30)</f>
        <v>7</v>
      </c>
      <c r="H31" s="296">
        <f t="shared" si="1"/>
        <v>1</v>
      </c>
      <c r="I31" s="271">
        <f t="shared" si="1"/>
        <v>210</v>
      </c>
      <c r="J31" s="295">
        <f>SUM(J7:J30)</f>
        <v>15</v>
      </c>
      <c r="K31" s="294">
        <f t="shared" si="1"/>
        <v>0</v>
      </c>
      <c r="L31" s="295">
        <f t="shared" si="1"/>
        <v>4</v>
      </c>
      <c r="M31" s="295">
        <f>SUM(M7:M30)</f>
        <v>4</v>
      </c>
      <c r="N31" s="296">
        <f t="shared" si="1"/>
        <v>0</v>
      </c>
      <c r="O31" s="271">
        <f t="shared" si="1"/>
        <v>91</v>
      </c>
      <c r="P31" s="295">
        <f>SUM(P7:P30)</f>
        <v>1</v>
      </c>
      <c r="Q31" s="294">
        <f t="shared" si="1"/>
        <v>0</v>
      </c>
      <c r="R31" s="271">
        <f t="shared" si="1"/>
        <v>0</v>
      </c>
      <c r="S31" s="295">
        <f>SUM(S7:S30)</f>
        <v>0</v>
      </c>
    </row>
    <row r="32" spans="1:19" s="1889" customFormat="1" ht="18.75" customHeight="1">
      <c r="A32" s="1886" t="s">
        <v>926</v>
      </c>
      <c r="B32" s="1886"/>
      <c r="C32" s="1886"/>
      <c r="D32" s="1886"/>
      <c r="E32" s="1886"/>
      <c r="F32" s="1886"/>
      <c r="G32" s="1917"/>
      <c r="J32" s="1917"/>
      <c r="M32" s="1917"/>
      <c r="P32" s="1917"/>
      <c r="S32" s="1917"/>
    </row>
    <row r="33" spans="1:1" s="1889" customFormat="1" ht="18.75" customHeight="1">
      <c r="A33" s="1889" t="s">
        <v>916</v>
      </c>
    </row>
  </sheetData>
  <mergeCells count="21">
    <mergeCell ref="Q2:S2"/>
    <mergeCell ref="B3:D4"/>
    <mergeCell ref="E3:S3"/>
    <mergeCell ref="E4:G4"/>
    <mergeCell ref="H4:J4"/>
    <mergeCell ref="K4:M4"/>
    <mergeCell ref="N4:P4"/>
    <mergeCell ref="Q4:S4"/>
    <mergeCell ref="Q5:Q6"/>
    <mergeCell ref="R5:R6"/>
    <mergeCell ref="B5:B6"/>
    <mergeCell ref="C5:C6"/>
    <mergeCell ref="E5:E6"/>
    <mergeCell ref="F5:F6"/>
    <mergeCell ref="H5:H6"/>
    <mergeCell ref="I5:I6"/>
    <mergeCell ref="A32:F32"/>
    <mergeCell ref="K5:K6"/>
    <mergeCell ref="L5:L6"/>
    <mergeCell ref="N5:N6"/>
    <mergeCell ref="O5:O6"/>
  </mergeCells>
  <phoneticPr fontId="4"/>
  <printOptions horizontalCentered="1"/>
  <pageMargins left="0.78740157480314965" right="0.39370078740157483" top="0.98425196850393704" bottom="0.98425196850393704" header="0.31496062992125984" footer="0.51181102362204722"/>
  <pageSetup paperSize="9" scale="68" orientation="portrait" r:id="rId1"/>
  <headerFooter scaleWithDoc="0" alignWithMargins="0">
    <oddFooter>&amp;C- &amp;P -</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1695D2-B5C4-4C3F-AF13-494A4910662E}">
  <sheetPr>
    <pageSetUpPr fitToPage="1"/>
  </sheetPr>
  <dimension ref="A1:G32"/>
  <sheetViews>
    <sheetView view="pageBreakPreview" topLeftCell="A23" zoomScaleNormal="100" zoomScaleSheetLayoutView="100" workbookViewId="0">
      <selection activeCell="P39" sqref="P39"/>
    </sheetView>
  </sheetViews>
  <sheetFormatPr defaultColWidth="9" defaultRowHeight="13.8"/>
  <cols>
    <col min="1" max="1" width="2.6640625" style="497" customWidth="1"/>
    <col min="2" max="2" width="3" style="497" customWidth="1"/>
    <col min="3" max="3" width="30.44140625" style="497" customWidth="1"/>
    <col min="4" max="6" width="13.109375" style="497" customWidth="1"/>
    <col min="7" max="7" width="14.44140625" style="497" customWidth="1"/>
    <col min="8" max="16384" width="9" style="497"/>
  </cols>
  <sheetData>
    <row r="1" spans="1:7" ht="15">
      <c r="A1" s="1128" t="s">
        <v>515</v>
      </c>
    </row>
    <row r="2" spans="1:7" ht="14.4" thickBot="1"/>
    <row r="3" spans="1:7" ht="6.75" customHeight="1" thickBot="1">
      <c r="A3" s="1674" t="s">
        <v>619</v>
      </c>
      <c r="B3" s="1675"/>
      <c r="C3" s="1676"/>
      <c r="D3" s="1390" t="s">
        <v>753</v>
      </c>
      <c r="E3" s="1390" t="s">
        <v>754</v>
      </c>
      <c r="F3" s="1470" t="s">
        <v>755</v>
      </c>
      <c r="G3" s="795"/>
    </row>
    <row r="4" spans="1:7">
      <c r="A4" s="1677"/>
      <c r="B4" s="1678"/>
      <c r="C4" s="1679"/>
      <c r="D4" s="1672"/>
      <c r="E4" s="1672"/>
      <c r="F4" s="1672"/>
      <c r="G4" s="1431" t="s">
        <v>741</v>
      </c>
    </row>
    <row r="5" spans="1:7" ht="14.4" thickBot="1">
      <c r="A5" s="1498" t="s">
        <v>792</v>
      </c>
      <c r="B5" s="1301"/>
      <c r="C5" s="1499"/>
      <c r="D5" s="1646"/>
      <c r="E5" s="1646"/>
      <c r="F5" s="1646"/>
      <c r="G5" s="1673"/>
    </row>
    <row r="6" spans="1:7" ht="20.100000000000001" customHeight="1">
      <c r="A6" s="1011"/>
      <c r="B6" s="544" t="s">
        <v>702</v>
      </c>
      <c r="C6" s="545"/>
      <c r="D6" s="1139">
        <v>0</v>
      </c>
      <c r="E6" s="1139">
        <v>0</v>
      </c>
      <c r="F6" s="1139">
        <v>0</v>
      </c>
      <c r="G6" s="1139">
        <v>0</v>
      </c>
    </row>
    <row r="7" spans="1:7" ht="20.100000000000001" customHeight="1">
      <c r="A7" s="1140"/>
      <c r="B7" s="527" t="s">
        <v>704</v>
      </c>
      <c r="C7" s="530"/>
      <c r="D7" s="1141">
        <v>0</v>
      </c>
      <c r="E7" s="1141">
        <v>0</v>
      </c>
      <c r="F7" s="1141">
        <v>0</v>
      </c>
      <c r="G7" s="1141">
        <v>0</v>
      </c>
    </row>
    <row r="8" spans="1:7" ht="20.100000000000001" customHeight="1">
      <c r="A8" s="1140"/>
      <c r="B8" s="1647" t="s">
        <v>756</v>
      </c>
      <c r="C8" s="530" t="s">
        <v>757</v>
      </c>
      <c r="D8" s="1141">
        <v>0</v>
      </c>
      <c r="E8" s="1141">
        <v>0</v>
      </c>
      <c r="F8" s="1141">
        <v>0</v>
      </c>
      <c r="G8" s="1141">
        <v>0</v>
      </c>
    </row>
    <row r="9" spans="1:7" ht="20.100000000000001" customHeight="1">
      <c r="A9" s="1142" t="s">
        <v>726</v>
      </c>
      <c r="B9" s="1647"/>
      <c r="C9" s="530" t="s">
        <v>758</v>
      </c>
      <c r="D9" s="1141">
        <v>0</v>
      </c>
      <c r="E9" s="1141">
        <v>0</v>
      </c>
      <c r="F9" s="1141">
        <v>0</v>
      </c>
      <c r="G9" s="1141">
        <v>0</v>
      </c>
    </row>
    <row r="10" spans="1:7" ht="20.100000000000001" customHeight="1">
      <c r="A10" s="1142"/>
      <c r="B10" s="1647"/>
      <c r="C10" s="530" t="s">
        <v>793</v>
      </c>
      <c r="D10" s="1141">
        <v>0</v>
      </c>
      <c r="E10" s="1141">
        <v>0</v>
      </c>
      <c r="F10" s="1141">
        <v>0</v>
      </c>
      <c r="G10" s="1141">
        <v>0</v>
      </c>
    </row>
    <row r="11" spans="1:7" ht="20.100000000000001" customHeight="1">
      <c r="A11" s="1142" t="s">
        <v>729</v>
      </c>
      <c r="B11" s="1647"/>
      <c r="C11" s="530" t="s">
        <v>760</v>
      </c>
      <c r="D11" s="1141">
        <v>0</v>
      </c>
      <c r="E11" s="1141">
        <v>0</v>
      </c>
      <c r="F11" s="1141">
        <v>0</v>
      </c>
      <c r="G11" s="1141">
        <v>0</v>
      </c>
    </row>
    <row r="12" spans="1:7" ht="20.100000000000001" customHeight="1">
      <c r="A12" s="1142"/>
      <c r="B12" s="1647"/>
      <c r="C12" s="530" t="s">
        <v>761</v>
      </c>
      <c r="D12" s="1141">
        <v>0</v>
      </c>
      <c r="E12" s="1141">
        <v>0</v>
      </c>
      <c r="F12" s="1141">
        <v>0</v>
      </c>
      <c r="G12" s="1141">
        <v>0</v>
      </c>
    </row>
    <row r="13" spans="1:7" ht="20.100000000000001" customHeight="1">
      <c r="A13" s="1142" t="s">
        <v>762</v>
      </c>
      <c r="B13" s="527" t="s">
        <v>794</v>
      </c>
      <c r="C13" s="530"/>
      <c r="D13" s="1141">
        <v>0</v>
      </c>
      <c r="E13" s="1141">
        <v>0</v>
      </c>
      <c r="F13" s="1141">
        <v>0</v>
      </c>
      <c r="G13" s="1141">
        <v>0</v>
      </c>
    </row>
    <row r="14" spans="1:7" ht="20.100000000000001" customHeight="1">
      <c r="A14" s="1140"/>
      <c r="B14" s="527" t="s">
        <v>763</v>
      </c>
      <c r="C14" s="530"/>
      <c r="D14" s="1141">
        <v>0</v>
      </c>
      <c r="E14" s="1141">
        <v>0</v>
      </c>
      <c r="F14" s="1141">
        <v>0</v>
      </c>
      <c r="G14" s="1141">
        <v>0</v>
      </c>
    </row>
    <row r="15" spans="1:7" ht="20.100000000000001" customHeight="1">
      <c r="A15" s="1140"/>
      <c r="B15" s="527" t="s">
        <v>733</v>
      </c>
      <c r="C15" s="530"/>
      <c r="D15" s="1141">
        <v>0</v>
      </c>
      <c r="E15" s="1141">
        <v>0</v>
      </c>
      <c r="F15" s="1141">
        <v>0</v>
      </c>
      <c r="G15" s="1141">
        <v>0</v>
      </c>
    </row>
    <row r="16" spans="1:7" ht="20.100000000000001" customHeight="1">
      <c r="A16" s="1140"/>
      <c r="B16" s="527" t="s">
        <v>734</v>
      </c>
      <c r="C16" s="530"/>
      <c r="D16" s="1141">
        <v>0</v>
      </c>
      <c r="E16" s="1141">
        <v>0</v>
      </c>
      <c r="F16" s="1141">
        <v>0</v>
      </c>
      <c r="G16" s="1141">
        <v>0</v>
      </c>
    </row>
    <row r="17" spans="1:7" ht="20.100000000000001" customHeight="1" thickBot="1">
      <c r="A17" s="1140"/>
      <c r="B17" s="527" t="s">
        <v>659</v>
      </c>
      <c r="C17" s="530"/>
      <c r="D17" s="1141">
        <v>0</v>
      </c>
      <c r="E17" s="1143">
        <v>0</v>
      </c>
      <c r="F17" s="1141">
        <v>0</v>
      </c>
      <c r="G17" s="1141">
        <v>0</v>
      </c>
    </row>
    <row r="18" spans="1:7" ht="20.100000000000001" customHeight="1">
      <c r="A18" s="812"/>
      <c r="B18" s="544" t="s">
        <v>702</v>
      </c>
      <c r="C18" s="545"/>
      <c r="D18" s="1139">
        <v>2</v>
      </c>
      <c r="E18" s="1139">
        <v>0</v>
      </c>
      <c r="F18" s="1139">
        <v>2</v>
      </c>
      <c r="G18" s="1139">
        <v>0</v>
      </c>
    </row>
    <row r="19" spans="1:7" ht="20.100000000000001" customHeight="1">
      <c r="A19" s="1142" t="s">
        <v>764</v>
      </c>
      <c r="B19" s="527" t="s">
        <v>704</v>
      </c>
      <c r="C19" s="530"/>
      <c r="D19" s="1141">
        <v>0</v>
      </c>
      <c r="E19" s="1141">
        <v>0</v>
      </c>
      <c r="F19" s="1141">
        <v>0</v>
      </c>
      <c r="G19" s="1141">
        <v>0</v>
      </c>
    </row>
    <row r="20" spans="1:7" ht="20.100000000000001" customHeight="1">
      <c r="A20" s="1142" t="s">
        <v>765</v>
      </c>
      <c r="B20" s="527" t="s">
        <v>766</v>
      </c>
      <c r="C20" s="530"/>
      <c r="D20" s="1141">
        <v>0</v>
      </c>
      <c r="E20" s="1141">
        <v>0</v>
      </c>
      <c r="F20" s="1141">
        <v>0</v>
      </c>
      <c r="G20" s="1141">
        <v>0</v>
      </c>
    </row>
    <row r="21" spans="1:7" ht="20.100000000000001" customHeight="1">
      <c r="A21" s="1142" t="s">
        <v>705</v>
      </c>
      <c r="B21" s="527" t="s">
        <v>767</v>
      </c>
      <c r="C21" s="530"/>
      <c r="D21" s="1141">
        <v>0</v>
      </c>
      <c r="E21" s="1141">
        <v>0</v>
      </c>
      <c r="F21" s="1141">
        <v>0</v>
      </c>
      <c r="G21" s="1141">
        <v>0</v>
      </c>
    </row>
    <row r="22" spans="1:7" ht="20.100000000000001" customHeight="1">
      <c r="A22" s="1142" t="s">
        <v>768</v>
      </c>
      <c r="B22" s="527" t="s">
        <v>769</v>
      </c>
      <c r="C22" s="530"/>
      <c r="D22" s="1141">
        <v>0</v>
      </c>
      <c r="E22" s="1141">
        <v>0</v>
      </c>
      <c r="F22" s="1141">
        <v>0</v>
      </c>
      <c r="G22" s="1141">
        <v>0</v>
      </c>
    </row>
    <row r="23" spans="1:7" ht="20.100000000000001" customHeight="1">
      <c r="A23" s="1142" t="s">
        <v>770</v>
      </c>
      <c r="B23" s="527" t="s">
        <v>771</v>
      </c>
      <c r="C23" s="530"/>
      <c r="D23" s="1141">
        <v>0</v>
      </c>
      <c r="E23" s="1141">
        <v>0</v>
      </c>
      <c r="F23" s="1141">
        <v>0</v>
      </c>
      <c r="G23" s="1141">
        <v>0</v>
      </c>
    </row>
    <row r="24" spans="1:7" ht="20.100000000000001" customHeight="1">
      <c r="A24" s="1142" t="s">
        <v>762</v>
      </c>
      <c r="B24" s="527" t="s">
        <v>716</v>
      </c>
      <c r="C24" s="530"/>
      <c r="D24" s="1141">
        <v>1</v>
      </c>
      <c r="E24" s="1141">
        <v>0</v>
      </c>
      <c r="F24" s="1141">
        <v>1</v>
      </c>
      <c r="G24" s="1141">
        <v>0</v>
      </c>
    </row>
    <row r="25" spans="1:7" ht="20.100000000000001" customHeight="1">
      <c r="A25" s="1142"/>
      <c r="B25" s="527" t="s">
        <v>772</v>
      </c>
      <c r="C25" s="530"/>
      <c r="D25" s="1141">
        <v>0</v>
      </c>
      <c r="E25" s="1141">
        <v>0</v>
      </c>
      <c r="F25" s="1141">
        <v>0</v>
      </c>
      <c r="G25" s="1141">
        <v>0</v>
      </c>
    </row>
    <row r="26" spans="1:7" ht="20.100000000000001" customHeight="1">
      <c r="A26" s="1142"/>
      <c r="B26" s="527" t="s">
        <v>724</v>
      </c>
      <c r="C26" s="530"/>
      <c r="D26" s="1141">
        <v>13</v>
      </c>
      <c r="E26" s="1141">
        <v>0</v>
      </c>
      <c r="F26" s="1141">
        <v>13</v>
      </c>
      <c r="G26" s="1141">
        <v>5</v>
      </c>
    </row>
    <row r="27" spans="1:7" ht="20.100000000000001" customHeight="1" thickBot="1">
      <c r="A27" s="1142"/>
      <c r="B27" s="532" t="s">
        <v>659</v>
      </c>
      <c r="C27" s="505"/>
      <c r="D27" s="1144">
        <v>9</v>
      </c>
      <c r="E27" s="1143">
        <v>0</v>
      </c>
      <c r="F27" s="1144">
        <v>10</v>
      </c>
      <c r="G27" s="1144">
        <v>1</v>
      </c>
    </row>
    <row r="28" spans="1:7" ht="20.100000000000001" customHeight="1" thickBot="1">
      <c r="A28" s="1006" t="s">
        <v>816</v>
      </c>
      <c r="B28" s="561"/>
      <c r="C28" s="761"/>
      <c r="D28" s="807">
        <v>1</v>
      </c>
      <c r="E28" s="1139">
        <v>0</v>
      </c>
      <c r="F28" s="807">
        <v>1</v>
      </c>
      <c r="G28" s="807">
        <v>0</v>
      </c>
    </row>
    <row r="29" spans="1:7" ht="20.100000000000001" customHeight="1" thickBot="1">
      <c r="A29" s="549" t="s">
        <v>795</v>
      </c>
      <c r="B29" s="550"/>
      <c r="C29" s="550"/>
      <c r="D29" s="807">
        <f>SUM(D6:D28)</f>
        <v>26</v>
      </c>
      <c r="E29" s="807">
        <f>SUM(E6:E28)</f>
        <v>0</v>
      </c>
      <c r="F29" s="807">
        <f>SUM(F6:F28)</f>
        <v>27</v>
      </c>
      <c r="G29" s="807">
        <f>SUM(G6:G28)</f>
        <v>6</v>
      </c>
    </row>
    <row r="30" spans="1:7" ht="4.5" customHeight="1">
      <c r="A30" s="561"/>
      <c r="B30" s="561"/>
      <c r="C30" s="561"/>
      <c r="D30" s="994"/>
      <c r="E30" s="994"/>
      <c r="F30" s="994"/>
      <c r="G30" s="994"/>
    </row>
    <row r="31" spans="1:7" s="1939" customFormat="1" ht="15">
      <c r="A31" s="1979" t="s">
        <v>927</v>
      </c>
      <c r="B31" s="1979"/>
    </row>
    <row r="32" spans="1:7" s="1939" customFormat="1" ht="15">
      <c r="A32" s="1939" t="s">
        <v>916</v>
      </c>
    </row>
  </sheetData>
  <mergeCells count="7">
    <mergeCell ref="F3:F5"/>
    <mergeCell ref="G4:G5"/>
    <mergeCell ref="A5:C5"/>
    <mergeCell ref="B8:B12"/>
    <mergeCell ref="A3:C4"/>
    <mergeCell ref="D3:D5"/>
    <mergeCell ref="E3:E5"/>
  </mergeCells>
  <phoneticPr fontId="4"/>
  <printOptions horizontalCentered="1"/>
  <pageMargins left="0.78740157480314965" right="0.39370078740157483" top="0.98425196850393704" bottom="0.98425196850393704" header="0.31496062992125984" footer="0.51181102362204722"/>
  <pageSetup paperSize="9" orientation="portrait" r:id="rId1"/>
  <headerFooter scaleWithDoc="0" alignWithMargins="0">
    <oddFooter>&amp;C- &amp;P -</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80477-4A6C-4C6E-8107-78CBDAE463BF}">
  <sheetPr>
    <pageSetUpPr fitToPage="1"/>
  </sheetPr>
  <dimension ref="A1:AB52"/>
  <sheetViews>
    <sheetView view="pageBreakPreview" topLeftCell="A23" zoomScale="90" zoomScaleNormal="100" zoomScaleSheetLayoutView="90" workbookViewId="0">
      <selection activeCell="U39" sqref="U39"/>
    </sheetView>
  </sheetViews>
  <sheetFormatPr defaultColWidth="9" defaultRowHeight="13.8"/>
  <cols>
    <col min="1" max="1" width="1" style="497" customWidth="1"/>
    <col min="2" max="2" width="12.6640625" style="497" customWidth="1"/>
    <col min="3" max="15" width="6.6640625" style="497" customWidth="1"/>
    <col min="16" max="16" width="7.77734375" style="497" customWidth="1"/>
    <col min="17" max="17" width="9" style="497"/>
    <col min="18" max="18" width="6.109375" style="497" customWidth="1"/>
    <col min="19" max="19" width="7" style="497" customWidth="1"/>
    <col min="20" max="20" width="5.77734375" style="497" customWidth="1"/>
    <col min="21" max="21" width="5.33203125" style="497" customWidth="1"/>
    <col min="22" max="22" width="5.6640625" style="497" customWidth="1"/>
    <col min="23" max="23" width="5.44140625" style="497" customWidth="1"/>
    <col min="24" max="24" width="5.21875" style="497" customWidth="1"/>
    <col min="25" max="25" width="5.33203125" style="497" customWidth="1"/>
    <col min="26" max="26" width="5.6640625" style="497" customWidth="1"/>
    <col min="27" max="27" width="5.33203125" style="497" customWidth="1"/>
    <col min="28" max="28" width="5.44140625" style="497" customWidth="1"/>
    <col min="29" max="29" width="5.33203125" style="497" customWidth="1"/>
    <col min="30" max="30" width="5.6640625" style="497" customWidth="1"/>
    <col min="31" max="16384" width="9" style="497"/>
  </cols>
  <sheetData>
    <row r="1" spans="1:28" ht="15">
      <c r="A1" s="650" t="s">
        <v>412</v>
      </c>
      <c r="B1" s="650"/>
    </row>
    <row r="2" spans="1:28">
      <c r="A2" s="512"/>
      <c r="B2" s="512"/>
      <c r="C2" s="512"/>
      <c r="D2" s="512"/>
      <c r="E2" s="512"/>
      <c r="F2" s="512"/>
      <c r="G2" s="512"/>
      <c r="H2" s="512"/>
      <c r="I2" s="512"/>
      <c r="J2" s="512"/>
      <c r="K2" s="512"/>
      <c r="L2" s="512"/>
      <c r="M2" s="512"/>
      <c r="N2" s="512"/>
      <c r="O2" s="512"/>
      <c r="P2" s="512"/>
    </row>
    <row r="3" spans="1:28" ht="13.5" customHeight="1" thickBot="1">
      <c r="A3" s="595" t="s">
        <v>413</v>
      </c>
      <c r="B3" s="595"/>
    </row>
    <row r="4" spans="1:28">
      <c r="A4" s="1708" t="s">
        <v>608</v>
      </c>
      <c r="B4" s="1709"/>
      <c r="C4" s="1549" t="s">
        <v>610</v>
      </c>
      <c r="D4" s="1549" t="s">
        <v>611</v>
      </c>
      <c r="E4" s="1549" t="s">
        <v>612</v>
      </c>
      <c r="F4" s="1549" t="s">
        <v>613</v>
      </c>
      <c r="G4" s="1579" t="s">
        <v>414</v>
      </c>
      <c r="H4" s="1579" t="s">
        <v>615</v>
      </c>
      <c r="I4" s="1579" t="s">
        <v>796</v>
      </c>
      <c r="J4" s="1579" t="s">
        <v>797</v>
      </c>
      <c r="K4" s="1579" t="s">
        <v>798</v>
      </c>
      <c r="L4" s="1577" t="s">
        <v>799</v>
      </c>
      <c r="M4" s="1000"/>
      <c r="N4" s="543"/>
      <c r="O4" s="811" t="s">
        <v>401</v>
      </c>
      <c r="P4" s="812">
        <v>1</v>
      </c>
      <c r="Q4" s="813">
        <v>2</v>
      </c>
      <c r="R4" s="813">
        <v>3</v>
      </c>
      <c r="S4" s="813">
        <v>4</v>
      </c>
      <c r="T4" s="813">
        <v>5</v>
      </c>
      <c r="U4" s="813">
        <v>6</v>
      </c>
      <c r="V4" s="813">
        <v>7</v>
      </c>
      <c r="W4" s="813">
        <v>8</v>
      </c>
      <c r="X4" s="813">
        <v>9</v>
      </c>
      <c r="Y4" s="813">
        <v>10</v>
      </c>
      <c r="Z4" s="813">
        <v>11</v>
      </c>
      <c r="AA4" s="814">
        <v>12</v>
      </c>
      <c r="AB4" s="815" t="s">
        <v>402</v>
      </c>
    </row>
    <row r="5" spans="1:28" ht="14.4" thickBot="1">
      <c r="A5" s="498" t="s">
        <v>619</v>
      </c>
      <c r="B5" s="498"/>
      <c r="C5" s="1619"/>
      <c r="D5" s="1619"/>
      <c r="E5" s="1619"/>
      <c r="F5" s="1619"/>
      <c r="G5" s="1710"/>
      <c r="H5" s="1710"/>
      <c r="I5" s="1580"/>
      <c r="J5" s="1580"/>
      <c r="K5" s="1580"/>
      <c r="L5" s="1578"/>
      <c r="M5" s="1000"/>
      <c r="N5" s="798" t="s">
        <v>403</v>
      </c>
      <c r="O5" s="668"/>
      <c r="P5" s="816"/>
      <c r="Q5" s="817"/>
      <c r="R5" s="817"/>
      <c r="S5" s="817"/>
      <c r="T5" s="817"/>
      <c r="U5" s="817"/>
      <c r="V5" s="817"/>
      <c r="W5" s="817"/>
      <c r="X5" s="817"/>
      <c r="Y5" s="817"/>
      <c r="Z5" s="817"/>
      <c r="AA5" s="818"/>
      <c r="AB5" s="668"/>
    </row>
    <row r="6" spans="1:28" ht="14.4" thickBot="1">
      <c r="A6" s="1688" t="s">
        <v>800</v>
      </c>
      <c r="B6" s="1689"/>
      <c r="C6" s="140">
        <v>2694</v>
      </c>
      <c r="D6" s="138">
        <v>2552</v>
      </c>
      <c r="E6" s="139">
        <v>2489</v>
      </c>
      <c r="F6" s="138">
        <v>2256</v>
      </c>
      <c r="G6" s="141">
        <v>1914</v>
      </c>
      <c r="H6" s="141">
        <v>1915</v>
      </c>
      <c r="I6" s="141">
        <v>1777</v>
      </c>
      <c r="J6" s="141">
        <v>1856</v>
      </c>
      <c r="K6" s="141">
        <v>1676</v>
      </c>
      <c r="L6" s="48">
        <v>1694</v>
      </c>
      <c r="M6" s="315"/>
      <c r="N6" s="808" t="s">
        <v>601</v>
      </c>
      <c r="O6" s="810" t="s">
        <v>574</v>
      </c>
      <c r="P6" s="808">
        <v>0</v>
      </c>
      <c r="Q6" s="819">
        <v>0</v>
      </c>
      <c r="R6" s="819">
        <v>0</v>
      </c>
      <c r="S6" s="820">
        <v>1</v>
      </c>
      <c r="T6" s="819">
        <v>0</v>
      </c>
      <c r="U6" s="819">
        <v>1</v>
      </c>
      <c r="V6" s="819">
        <v>0</v>
      </c>
      <c r="W6" s="819">
        <v>0</v>
      </c>
      <c r="X6" s="819">
        <v>0</v>
      </c>
      <c r="Y6" s="819">
        <v>0</v>
      </c>
      <c r="Z6" s="819">
        <v>1</v>
      </c>
      <c r="AA6" s="706">
        <v>2</v>
      </c>
      <c r="AB6" s="810">
        <f>SUM(P6:AA6)</f>
        <v>5</v>
      </c>
    </row>
    <row r="7" spans="1:28" ht="14.4" thickBot="1">
      <c r="A7" s="1690" t="s">
        <v>738</v>
      </c>
      <c r="B7" s="1691"/>
      <c r="C7" s="143">
        <v>4</v>
      </c>
      <c r="D7" s="51">
        <v>4</v>
      </c>
      <c r="E7" s="142">
        <v>8</v>
      </c>
      <c r="F7" s="51">
        <v>1</v>
      </c>
      <c r="G7" s="144">
        <v>6</v>
      </c>
      <c r="H7" s="144">
        <v>3</v>
      </c>
      <c r="I7" s="144">
        <v>3</v>
      </c>
      <c r="J7" s="144">
        <v>6</v>
      </c>
      <c r="K7" s="144">
        <v>4</v>
      </c>
      <c r="L7" s="50">
        <v>5</v>
      </c>
      <c r="M7" s="315"/>
      <c r="N7" s="808" t="s">
        <v>601</v>
      </c>
      <c r="O7" s="809" t="s">
        <v>801</v>
      </c>
      <c r="P7" s="808">
        <v>85</v>
      </c>
      <c r="Q7" s="819">
        <v>82</v>
      </c>
      <c r="R7" s="819">
        <v>67</v>
      </c>
      <c r="S7" s="820">
        <v>76</v>
      </c>
      <c r="T7" s="819">
        <v>93</v>
      </c>
      <c r="U7" s="819">
        <v>85</v>
      </c>
      <c r="V7" s="819">
        <v>110</v>
      </c>
      <c r="W7" s="819">
        <v>68</v>
      </c>
      <c r="X7" s="819">
        <v>97</v>
      </c>
      <c r="Y7" s="819">
        <v>103</v>
      </c>
      <c r="Z7" s="819">
        <v>86</v>
      </c>
      <c r="AA7" s="706">
        <v>115</v>
      </c>
      <c r="AB7" s="810">
        <f>SUM(P7:AA7)</f>
        <v>1067</v>
      </c>
    </row>
    <row r="8" spans="1:28">
      <c r="A8" s="1703" t="s">
        <v>739</v>
      </c>
      <c r="B8" s="1707"/>
      <c r="C8" s="147">
        <v>1888</v>
      </c>
      <c r="D8" s="145">
        <v>1801</v>
      </c>
      <c r="E8" s="146">
        <v>1669</v>
      </c>
      <c r="F8" s="145">
        <v>1513</v>
      </c>
      <c r="G8" s="148">
        <v>1252</v>
      </c>
      <c r="H8" s="148">
        <v>1261</v>
      </c>
      <c r="I8" s="148">
        <v>1142</v>
      </c>
      <c r="J8" s="148">
        <v>1171</v>
      </c>
      <c r="K8" s="148">
        <v>1065</v>
      </c>
      <c r="L8" s="49">
        <v>1067</v>
      </c>
      <c r="M8" s="227"/>
    </row>
    <row r="9" spans="1:28" ht="14.4" thickBot="1">
      <c r="A9" s="821"/>
      <c r="B9" s="822" t="s">
        <v>802</v>
      </c>
      <c r="C9" s="150" t="s">
        <v>404</v>
      </c>
      <c r="D9" s="149" t="s">
        <v>404</v>
      </c>
      <c r="E9" s="151">
        <v>112</v>
      </c>
      <c r="F9" s="53">
        <v>100</v>
      </c>
      <c r="G9" s="152">
        <v>90</v>
      </c>
      <c r="H9" s="152">
        <v>101</v>
      </c>
      <c r="I9" s="152">
        <v>85</v>
      </c>
      <c r="J9" s="152">
        <v>98</v>
      </c>
      <c r="K9" s="152">
        <v>108</v>
      </c>
      <c r="L9" s="52">
        <v>95</v>
      </c>
      <c r="M9" s="227"/>
    </row>
    <row r="10" spans="1:28" ht="14.4" thickBot="1">
      <c r="A10" s="1696" t="s">
        <v>742</v>
      </c>
      <c r="B10" s="1697"/>
      <c r="C10" s="325">
        <v>49</v>
      </c>
      <c r="D10" s="323">
        <v>44</v>
      </c>
      <c r="E10" s="297">
        <v>44</v>
      </c>
      <c r="F10" s="323">
        <v>34</v>
      </c>
      <c r="G10" s="298">
        <v>37</v>
      </c>
      <c r="H10" s="298">
        <v>43</v>
      </c>
      <c r="I10" s="298">
        <v>40</v>
      </c>
      <c r="J10" s="298">
        <v>40</v>
      </c>
      <c r="K10" s="298">
        <v>43</v>
      </c>
      <c r="L10" s="272">
        <v>43</v>
      </c>
      <c r="M10" s="314"/>
    </row>
    <row r="11" spans="1:28" ht="14.25" customHeight="1">
      <c r="A11" s="1291" t="s">
        <v>743</v>
      </c>
      <c r="B11" s="1307"/>
      <c r="C11" s="1705">
        <f t="shared" ref="C11:J11" si="0">C7/C10*100</f>
        <v>8.1632653061224492</v>
      </c>
      <c r="D11" s="1705">
        <f t="shared" si="0"/>
        <v>9.0909090909090917</v>
      </c>
      <c r="E11" s="1705">
        <f t="shared" si="0"/>
        <v>18.181818181818183</v>
      </c>
      <c r="F11" s="1705">
        <f t="shared" si="0"/>
        <v>2.9411764705882351</v>
      </c>
      <c r="G11" s="1684">
        <f t="shared" si="0"/>
        <v>16.216216216216218</v>
      </c>
      <c r="H11" s="1705">
        <f t="shared" si="0"/>
        <v>6.9767441860465116</v>
      </c>
      <c r="I11" s="1684">
        <f t="shared" si="0"/>
        <v>7.5</v>
      </c>
      <c r="J11" s="1684">
        <f t="shared" si="0"/>
        <v>15</v>
      </c>
      <c r="K11" s="1684">
        <f>K7/K10*100</f>
        <v>9.3023255813953494</v>
      </c>
      <c r="L11" s="1680">
        <f>L7/L10*100</f>
        <v>11.627906976744185</v>
      </c>
      <c r="M11" s="996"/>
    </row>
    <row r="12" spans="1:28" ht="14.4" thickBot="1">
      <c r="A12" s="1293"/>
      <c r="B12" s="1698"/>
      <c r="C12" s="1706"/>
      <c r="D12" s="1706"/>
      <c r="E12" s="1706"/>
      <c r="F12" s="1706"/>
      <c r="G12" s="1685"/>
      <c r="H12" s="1702"/>
      <c r="I12" s="1685"/>
      <c r="J12" s="1685"/>
      <c r="K12" s="1685"/>
      <c r="L12" s="1681"/>
      <c r="M12" s="996"/>
    </row>
    <row r="13" spans="1:28" ht="3" customHeight="1">
      <c r="A13" s="1919"/>
      <c r="B13" s="1919"/>
      <c r="C13" s="996"/>
      <c r="D13" s="996"/>
      <c r="E13" s="996"/>
      <c r="F13" s="996"/>
      <c r="G13" s="996"/>
      <c r="H13" s="1920"/>
      <c r="I13" s="996"/>
      <c r="J13" s="996"/>
      <c r="K13" s="996"/>
      <c r="L13" s="996"/>
      <c r="M13" s="996"/>
    </row>
    <row r="14" spans="1:28" s="1884" customFormat="1" ht="18">
      <c r="A14" s="1884" t="s">
        <v>928</v>
      </c>
      <c r="Q14" s="1918"/>
    </row>
    <row r="15" spans="1:28" s="1889" customFormat="1" ht="18">
      <c r="A15" s="1889" t="s">
        <v>916</v>
      </c>
    </row>
    <row r="16" spans="1:28" ht="30" customHeight="1"/>
    <row r="17" spans="1:17" ht="15.6" thickBot="1">
      <c r="A17" s="595" t="s">
        <v>415</v>
      </c>
      <c r="B17" s="595"/>
    </row>
    <row r="18" spans="1:17">
      <c r="A18" s="1654" t="s">
        <v>608</v>
      </c>
      <c r="B18" s="1704"/>
      <c r="C18" s="1387" t="s">
        <v>610</v>
      </c>
      <c r="D18" s="1387" t="s">
        <v>611</v>
      </c>
      <c r="E18" s="1387" t="s">
        <v>612</v>
      </c>
      <c r="F18" s="1387" t="s">
        <v>613</v>
      </c>
      <c r="G18" s="1262" t="s">
        <v>414</v>
      </c>
      <c r="H18" s="1387" t="s">
        <v>615</v>
      </c>
      <c r="I18" s="1262" t="s">
        <v>796</v>
      </c>
      <c r="J18" s="1355" t="s">
        <v>797</v>
      </c>
      <c r="K18" s="1387" t="s">
        <v>798</v>
      </c>
      <c r="L18" s="1389" t="s">
        <v>799</v>
      </c>
      <c r="M18" s="995"/>
    </row>
    <row r="19" spans="1:17" ht="14.4" thickBot="1">
      <c r="A19" s="498" t="s">
        <v>619</v>
      </c>
      <c r="B19" s="498"/>
      <c r="C19" s="1388"/>
      <c r="D19" s="1388"/>
      <c r="E19" s="1388"/>
      <c r="F19" s="1388"/>
      <c r="G19" s="1264"/>
      <c r="H19" s="1388"/>
      <c r="I19" s="1264"/>
      <c r="J19" s="1267"/>
      <c r="K19" s="1388"/>
      <c r="L19" s="1304"/>
      <c r="M19" s="995"/>
    </row>
    <row r="20" spans="1:17">
      <c r="A20" s="1688" t="s">
        <v>800</v>
      </c>
      <c r="B20" s="1689"/>
      <c r="C20" s="824">
        <v>386</v>
      </c>
      <c r="D20" s="824">
        <v>315</v>
      </c>
      <c r="E20" s="823">
        <v>328</v>
      </c>
      <c r="F20" s="823">
        <v>300</v>
      </c>
      <c r="G20" s="825">
        <v>227</v>
      </c>
      <c r="H20" s="823">
        <v>210</v>
      </c>
      <c r="I20" s="825">
        <v>219</v>
      </c>
      <c r="J20" s="826">
        <v>219</v>
      </c>
      <c r="K20" s="1001">
        <v>215</v>
      </c>
      <c r="L20" s="1145">
        <v>252</v>
      </c>
      <c r="M20" s="997"/>
    </row>
    <row r="21" spans="1:17">
      <c r="A21" s="1690" t="s">
        <v>738</v>
      </c>
      <c r="B21" s="1691"/>
      <c r="C21" s="827">
        <v>0</v>
      </c>
      <c r="D21" s="827">
        <v>1</v>
      </c>
      <c r="E21" s="710">
        <v>4</v>
      </c>
      <c r="F21" s="710">
        <v>0</v>
      </c>
      <c r="G21" s="828">
        <v>0</v>
      </c>
      <c r="H21" s="710">
        <v>0</v>
      </c>
      <c r="I21" s="828">
        <v>0</v>
      </c>
      <c r="J21" s="623">
        <v>1</v>
      </c>
      <c r="K21" s="976">
        <v>0</v>
      </c>
      <c r="L21" s="1146">
        <v>2</v>
      </c>
      <c r="M21" s="997"/>
    </row>
    <row r="22" spans="1:17">
      <c r="A22" s="1703" t="s">
        <v>739</v>
      </c>
      <c r="B22" s="1691"/>
      <c r="C22" s="830">
        <v>344</v>
      </c>
      <c r="D22" s="830">
        <v>298</v>
      </c>
      <c r="E22" s="829">
        <v>282</v>
      </c>
      <c r="F22" s="829">
        <v>267</v>
      </c>
      <c r="G22" s="664">
        <v>199</v>
      </c>
      <c r="H22" s="829">
        <v>205</v>
      </c>
      <c r="I22" s="664">
        <v>180</v>
      </c>
      <c r="J22" s="831">
        <v>194</v>
      </c>
      <c r="K22" s="1002">
        <v>187</v>
      </c>
      <c r="L22" s="1147">
        <v>197</v>
      </c>
      <c r="M22" s="997"/>
    </row>
    <row r="23" spans="1:17" ht="14.4" thickBot="1">
      <c r="A23" s="832"/>
      <c r="B23" s="822" t="s">
        <v>802</v>
      </c>
      <c r="C23" s="150" t="s">
        <v>404</v>
      </c>
      <c r="D23" s="149" t="s">
        <v>404</v>
      </c>
      <c r="E23" s="151">
        <v>14</v>
      </c>
      <c r="F23" s="53">
        <v>25</v>
      </c>
      <c r="G23" s="152">
        <v>19</v>
      </c>
      <c r="H23" s="151">
        <v>18</v>
      </c>
      <c r="I23" s="53">
        <v>19</v>
      </c>
      <c r="J23" s="152">
        <v>15</v>
      </c>
      <c r="K23" s="1003">
        <v>20</v>
      </c>
      <c r="L23" s="1148">
        <v>17</v>
      </c>
      <c r="M23" s="998"/>
    </row>
    <row r="24" spans="1:17" ht="14.4" thickBot="1">
      <c r="A24" s="1696" t="s">
        <v>742</v>
      </c>
      <c r="B24" s="1697"/>
      <c r="C24" s="834">
        <v>49</v>
      </c>
      <c r="D24" s="834">
        <v>44</v>
      </c>
      <c r="E24" s="833">
        <v>44</v>
      </c>
      <c r="F24" s="833">
        <v>34</v>
      </c>
      <c r="G24" s="835">
        <v>37</v>
      </c>
      <c r="H24" s="833">
        <v>43</v>
      </c>
      <c r="I24" s="835">
        <v>40</v>
      </c>
      <c r="J24" s="836">
        <v>40</v>
      </c>
      <c r="K24" s="1004">
        <v>0</v>
      </c>
      <c r="L24" s="1149">
        <v>43</v>
      </c>
      <c r="M24" s="997"/>
    </row>
    <row r="25" spans="1:17" ht="14.25" customHeight="1">
      <c r="A25" s="1291" t="s">
        <v>743</v>
      </c>
      <c r="B25" s="1307"/>
      <c r="C25" s="1694">
        <f t="shared" ref="C25:J25" si="1">C21/C24*100</f>
        <v>0</v>
      </c>
      <c r="D25" s="1694">
        <f t="shared" si="1"/>
        <v>2.2727272727272729</v>
      </c>
      <c r="E25" s="1694">
        <f t="shared" si="1"/>
        <v>9.0909090909090917</v>
      </c>
      <c r="F25" s="1694">
        <f t="shared" si="1"/>
        <v>0</v>
      </c>
      <c r="G25" s="1699">
        <f t="shared" si="1"/>
        <v>0</v>
      </c>
      <c r="H25" s="1701">
        <f t="shared" si="1"/>
        <v>0</v>
      </c>
      <c r="I25" s="1699">
        <f t="shared" si="1"/>
        <v>0</v>
      </c>
      <c r="J25" s="1692">
        <f t="shared" si="1"/>
        <v>2.5</v>
      </c>
      <c r="K25" s="1686">
        <v>0</v>
      </c>
      <c r="L25" s="1682">
        <f t="shared" ref="L25" si="2">L21/L24*100</f>
        <v>4.6511627906976747</v>
      </c>
      <c r="M25" s="999"/>
    </row>
    <row r="26" spans="1:17" ht="14.4" thickBot="1">
      <c r="A26" s="1293"/>
      <c r="B26" s="1698"/>
      <c r="C26" s="1695"/>
      <c r="D26" s="1695"/>
      <c r="E26" s="1695"/>
      <c r="F26" s="1695"/>
      <c r="G26" s="1700"/>
      <c r="H26" s="1702"/>
      <c r="I26" s="1700"/>
      <c r="J26" s="1693"/>
      <c r="K26" s="1687"/>
      <c r="L26" s="1683"/>
      <c r="M26" s="999"/>
    </row>
    <row r="27" spans="1:17" ht="3.6" customHeight="1">
      <c r="A27" s="1919"/>
      <c r="B27" s="1919"/>
      <c r="C27" s="1921"/>
      <c r="D27" s="1921"/>
      <c r="E27" s="1921"/>
      <c r="F27" s="1921"/>
      <c r="G27" s="999"/>
      <c r="H27" s="1920"/>
      <c r="I27" s="999"/>
      <c r="J27" s="999"/>
      <c r="K27" s="999"/>
      <c r="L27" s="999"/>
      <c r="M27" s="999"/>
    </row>
    <row r="28" spans="1:17" s="1939" customFormat="1" ht="15">
      <c r="A28" s="1939" t="s">
        <v>929</v>
      </c>
    </row>
    <row r="29" spans="1:17" s="1939" customFormat="1" ht="15">
      <c r="A29" s="1939" t="s">
        <v>916</v>
      </c>
    </row>
    <row r="30" spans="1:17">
      <c r="C30" s="501"/>
      <c r="D30" s="501"/>
      <c r="E30" s="501"/>
      <c r="F30" s="501"/>
      <c r="G30" s="501"/>
      <c r="H30" s="501"/>
      <c r="I30" s="501"/>
      <c r="J30" s="501"/>
      <c r="K30" s="501"/>
      <c r="L30" s="501"/>
      <c r="M30" s="501"/>
      <c r="N30" s="501"/>
      <c r="O30" s="501"/>
      <c r="P30" s="501"/>
      <c r="Q30" s="501"/>
    </row>
    <row r="31" spans="1:17" ht="47.4" customHeight="1">
      <c r="C31" s="501"/>
      <c r="D31" s="501"/>
      <c r="E31" s="501"/>
      <c r="F31" s="501"/>
      <c r="G31" s="501"/>
      <c r="H31" s="501"/>
      <c r="I31" s="501"/>
      <c r="J31" s="501"/>
      <c r="K31" s="501"/>
      <c r="L31" s="501"/>
      <c r="M31" s="501"/>
      <c r="N31" s="501"/>
      <c r="O31" s="501"/>
      <c r="P31" s="501"/>
      <c r="Q31" s="501"/>
    </row>
    <row r="32" spans="1:17" ht="30" customHeight="1"/>
    <row r="38" spans="16:16">
      <c r="P38" s="500"/>
    </row>
    <row r="39" spans="16:16">
      <c r="P39" s="500"/>
    </row>
    <row r="50" spans="1:17" s="1939" customFormat="1" ht="15">
      <c r="B50" s="1946" t="s">
        <v>930</v>
      </c>
      <c r="C50" s="1946"/>
      <c r="D50" s="1946"/>
      <c r="E50" s="1946"/>
      <c r="F50" s="1946"/>
      <c r="G50" s="1946"/>
      <c r="H50" s="1946"/>
      <c r="I50" s="1946"/>
      <c r="J50" s="1946"/>
      <c r="K50" s="1946"/>
      <c r="L50" s="1946"/>
      <c r="M50" s="1946"/>
      <c r="N50" s="1946"/>
      <c r="O50" s="1946"/>
    </row>
    <row r="51" spans="1:17" s="1939" customFormat="1" ht="15">
      <c r="A51" s="1946"/>
      <c r="B51" s="1939" t="s">
        <v>916</v>
      </c>
      <c r="C51" s="1946"/>
      <c r="D51" s="1946"/>
      <c r="E51" s="1946"/>
      <c r="F51" s="1946"/>
      <c r="G51" s="1946"/>
      <c r="H51" s="1946"/>
      <c r="I51" s="1946"/>
      <c r="J51" s="1946"/>
      <c r="K51" s="1946"/>
      <c r="L51" s="1946"/>
      <c r="M51" s="1946"/>
      <c r="N51" s="1946"/>
      <c r="O51" s="1946"/>
    </row>
    <row r="52" spans="1:17">
      <c r="C52" s="501"/>
      <c r="D52" s="501"/>
      <c r="E52" s="501"/>
      <c r="F52" s="501"/>
      <c r="G52" s="501"/>
      <c r="H52" s="501"/>
      <c r="I52" s="501"/>
      <c r="J52" s="501"/>
      <c r="K52" s="501"/>
      <c r="L52" s="501"/>
      <c r="M52" s="501"/>
      <c r="N52" s="501"/>
      <c r="O52" s="501"/>
      <c r="P52" s="501"/>
      <c r="Q52" s="501"/>
    </row>
  </sheetData>
  <mergeCells count="52">
    <mergeCell ref="G4:G5"/>
    <mergeCell ref="H4:H5"/>
    <mergeCell ref="I4:I5"/>
    <mergeCell ref="J4:J5"/>
    <mergeCell ref="D4:D5"/>
    <mergeCell ref="E4:E5"/>
    <mergeCell ref="A7:B7"/>
    <mergeCell ref="A8:B8"/>
    <mergeCell ref="A10:B10"/>
    <mergeCell ref="A11:B12"/>
    <mergeCell ref="F4:F5"/>
    <mergeCell ref="A6:B6"/>
    <mergeCell ref="A4:B4"/>
    <mergeCell ref="C4:C5"/>
    <mergeCell ref="I11:I12"/>
    <mergeCell ref="J11:J12"/>
    <mergeCell ref="A18:B18"/>
    <mergeCell ref="C18:C19"/>
    <mergeCell ref="D18:D19"/>
    <mergeCell ref="E18:E19"/>
    <mergeCell ref="F18:F19"/>
    <mergeCell ref="G18:G19"/>
    <mergeCell ref="C11:C12"/>
    <mergeCell ref="D11:D12"/>
    <mergeCell ref="E11:E12"/>
    <mergeCell ref="F11:F12"/>
    <mergeCell ref="G11:G12"/>
    <mergeCell ref="H11:H12"/>
    <mergeCell ref="H18:H19"/>
    <mergeCell ref="I18:I19"/>
    <mergeCell ref="J18:J19"/>
    <mergeCell ref="A20:B20"/>
    <mergeCell ref="A21:B21"/>
    <mergeCell ref="J25:J26"/>
    <mergeCell ref="D25:D26"/>
    <mergeCell ref="A24:B24"/>
    <mergeCell ref="A25:B26"/>
    <mergeCell ref="C25:C26"/>
    <mergeCell ref="E25:E26"/>
    <mergeCell ref="F25:F26"/>
    <mergeCell ref="G25:G26"/>
    <mergeCell ref="H25:H26"/>
    <mergeCell ref="I25:I26"/>
    <mergeCell ref="A22:B22"/>
    <mergeCell ref="L4:L5"/>
    <mergeCell ref="L11:L12"/>
    <mergeCell ref="L18:L19"/>
    <mergeCell ref="L25:L26"/>
    <mergeCell ref="K4:K5"/>
    <mergeCell ref="K11:K12"/>
    <mergeCell ref="K18:K19"/>
    <mergeCell ref="K25:K26"/>
  </mergeCells>
  <phoneticPr fontId="4"/>
  <printOptions horizontalCentered="1"/>
  <pageMargins left="0.78740157480314965" right="0.39370078740157483" top="0.98425196850393704" bottom="0.98425196850393704" header="0.31496062992125984" footer="0.51181102362204722"/>
  <pageSetup paperSize="9" scale="93" orientation="portrait" r:id="rId1"/>
  <headerFooter scaleWithDoc="0" alignWithMargins="0">
    <oddFooter>&amp;C- &amp;P -</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A35D9B-1FA9-47E2-8FB7-E49B973092DC}">
  <sheetPr>
    <pageSetUpPr fitToPage="1"/>
  </sheetPr>
  <dimension ref="A1:P44"/>
  <sheetViews>
    <sheetView view="pageBreakPreview" topLeftCell="A25" zoomScale="90" zoomScaleNormal="100" zoomScaleSheetLayoutView="90" workbookViewId="0">
      <selection activeCell="Z41" sqref="Z41"/>
    </sheetView>
  </sheetViews>
  <sheetFormatPr defaultColWidth="9" defaultRowHeight="13.8"/>
  <cols>
    <col min="1" max="1" width="5.21875" style="497" customWidth="1"/>
    <col min="2" max="2" width="1.21875" style="497" customWidth="1"/>
    <col min="3" max="3" width="9.88671875" style="497" customWidth="1"/>
    <col min="4" max="15" width="5.6640625" style="497" customWidth="1"/>
    <col min="16" max="16" width="7.33203125" style="497" customWidth="1"/>
    <col min="17" max="16384" width="9" style="497"/>
  </cols>
  <sheetData>
    <row r="1" spans="1:16" ht="15">
      <c r="A1" s="650" t="s">
        <v>416</v>
      </c>
      <c r="B1" s="650"/>
    </row>
    <row r="2" spans="1:16" ht="14.4" thickBot="1">
      <c r="O2" s="1385" t="s">
        <v>376</v>
      </c>
      <c r="P2" s="1385"/>
    </row>
    <row r="3" spans="1:16">
      <c r="A3" s="543"/>
      <c r="B3" s="649"/>
      <c r="C3" s="744" t="s">
        <v>803</v>
      </c>
      <c r="D3" s="1386">
        <v>1</v>
      </c>
      <c r="E3" s="1387">
        <v>2</v>
      </c>
      <c r="F3" s="1387">
        <v>3</v>
      </c>
      <c r="G3" s="1387">
        <v>4</v>
      </c>
      <c r="H3" s="1387">
        <v>5</v>
      </c>
      <c r="I3" s="1387">
        <v>6</v>
      </c>
      <c r="J3" s="1387">
        <v>7</v>
      </c>
      <c r="K3" s="1387">
        <v>8</v>
      </c>
      <c r="L3" s="1387">
        <v>9</v>
      </c>
      <c r="M3" s="1387">
        <v>10</v>
      </c>
      <c r="N3" s="1387">
        <v>11</v>
      </c>
      <c r="O3" s="1389">
        <v>12</v>
      </c>
      <c r="P3" s="1390" t="s">
        <v>635</v>
      </c>
    </row>
    <row r="4" spans="1:16" ht="14.4" thickBot="1">
      <c r="A4" s="639" t="s">
        <v>804</v>
      </c>
      <c r="D4" s="1711"/>
      <c r="E4" s="1712"/>
      <c r="F4" s="1712"/>
      <c r="G4" s="1712"/>
      <c r="H4" s="1712"/>
      <c r="I4" s="1712"/>
      <c r="J4" s="1712"/>
      <c r="K4" s="1712"/>
      <c r="L4" s="1712"/>
      <c r="M4" s="1712"/>
      <c r="N4" s="1712"/>
      <c r="O4" s="1713"/>
      <c r="P4" s="1666"/>
    </row>
    <row r="5" spans="1:16" ht="18" customHeight="1">
      <c r="A5" s="1386" t="s">
        <v>805</v>
      </c>
      <c r="B5" s="1349" t="s">
        <v>806</v>
      </c>
      <c r="C5" s="1350"/>
      <c r="D5" s="319">
        <v>0</v>
      </c>
      <c r="E5" s="186">
        <v>0</v>
      </c>
      <c r="F5" s="186">
        <v>0</v>
      </c>
      <c r="G5" s="186">
        <v>0</v>
      </c>
      <c r="H5" s="186">
        <v>0</v>
      </c>
      <c r="I5" s="186">
        <v>0</v>
      </c>
      <c r="J5" s="186">
        <v>0</v>
      </c>
      <c r="K5" s="186">
        <v>0</v>
      </c>
      <c r="L5" s="186">
        <v>0</v>
      </c>
      <c r="M5" s="186">
        <v>0</v>
      </c>
      <c r="N5" s="186">
        <v>0</v>
      </c>
      <c r="O5" s="185">
        <v>1</v>
      </c>
      <c r="P5" s="278">
        <f t="shared" ref="P5:P37" si="0">SUM(D5:O5)</f>
        <v>1</v>
      </c>
    </row>
    <row r="6" spans="1:16" ht="18" customHeight="1">
      <c r="A6" s="1657"/>
      <c r="B6" s="1337" t="s">
        <v>777</v>
      </c>
      <c r="C6" s="1338"/>
      <c r="D6" s="320">
        <v>8</v>
      </c>
      <c r="E6" s="189">
        <v>6</v>
      </c>
      <c r="F6" s="189">
        <v>4</v>
      </c>
      <c r="G6" s="189">
        <v>3</v>
      </c>
      <c r="H6" s="189">
        <v>5</v>
      </c>
      <c r="I6" s="189">
        <v>5</v>
      </c>
      <c r="J6" s="189">
        <v>9</v>
      </c>
      <c r="K6" s="189">
        <v>4</v>
      </c>
      <c r="L6" s="189">
        <v>8</v>
      </c>
      <c r="M6" s="189">
        <v>8</v>
      </c>
      <c r="N6" s="189">
        <v>2</v>
      </c>
      <c r="O6" s="188">
        <v>8</v>
      </c>
      <c r="P6" s="279">
        <f t="shared" si="0"/>
        <v>70</v>
      </c>
    </row>
    <row r="7" spans="1:16" ht="18" customHeight="1" thickBot="1">
      <c r="A7" s="1660"/>
      <c r="B7" s="837"/>
      <c r="C7" s="714" t="s">
        <v>408</v>
      </c>
      <c r="D7" s="320">
        <v>1</v>
      </c>
      <c r="E7" s="189">
        <v>0</v>
      </c>
      <c r="F7" s="189">
        <v>0</v>
      </c>
      <c r="G7" s="189">
        <v>0</v>
      </c>
      <c r="H7" s="189">
        <v>3</v>
      </c>
      <c r="I7" s="189">
        <v>2</v>
      </c>
      <c r="J7" s="189">
        <v>3</v>
      </c>
      <c r="K7" s="189">
        <v>0</v>
      </c>
      <c r="L7" s="189">
        <v>0</v>
      </c>
      <c r="M7" s="189">
        <v>0</v>
      </c>
      <c r="N7" s="189">
        <v>0</v>
      </c>
      <c r="O7" s="188">
        <v>0</v>
      </c>
      <c r="P7" s="279">
        <f t="shared" si="0"/>
        <v>9</v>
      </c>
    </row>
    <row r="8" spans="1:16" ht="18" customHeight="1">
      <c r="A8" s="1309" t="s">
        <v>807</v>
      </c>
      <c r="B8" s="1349" t="s">
        <v>806</v>
      </c>
      <c r="C8" s="1350"/>
      <c r="D8" s="320">
        <v>0</v>
      </c>
      <c r="E8" s="189">
        <v>0</v>
      </c>
      <c r="F8" s="189">
        <v>0</v>
      </c>
      <c r="G8" s="189">
        <v>0</v>
      </c>
      <c r="H8" s="189">
        <v>0</v>
      </c>
      <c r="I8" s="189">
        <v>0</v>
      </c>
      <c r="J8" s="189">
        <v>0</v>
      </c>
      <c r="K8" s="189">
        <v>0</v>
      </c>
      <c r="L8" s="189">
        <v>0</v>
      </c>
      <c r="M8" s="189">
        <v>0</v>
      </c>
      <c r="N8" s="189">
        <v>1</v>
      </c>
      <c r="O8" s="217">
        <v>0</v>
      </c>
      <c r="P8" s="279">
        <f t="shared" si="0"/>
        <v>1</v>
      </c>
    </row>
    <row r="9" spans="1:16" ht="18" customHeight="1">
      <c r="A9" s="1657"/>
      <c r="B9" s="1337" t="s">
        <v>777</v>
      </c>
      <c r="C9" s="1338"/>
      <c r="D9" s="320">
        <v>6</v>
      </c>
      <c r="E9" s="189">
        <v>4</v>
      </c>
      <c r="F9" s="189">
        <v>5</v>
      </c>
      <c r="G9" s="189">
        <v>5</v>
      </c>
      <c r="H9" s="189">
        <v>9</v>
      </c>
      <c r="I9" s="189">
        <v>7</v>
      </c>
      <c r="J9" s="189">
        <v>10</v>
      </c>
      <c r="K9" s="189">
        <v>5</v>
      </c>
      <c r="L9" s="189">
        <v>9</v>
      </c>
      <c r="M9" s="189">
        <v>8</v>
      </c>
      <c r="N9" s="189">
        <v>4</v>
      </c>
      <c r="O9" s="188">
        <v>9</v>
      </c>
      <c r="P9" s="279">
        <f t="shared" si="0"/>
        <v>81</v>
      </c>
    </row>
    <row r="10" spans="1:16" ht="18" customHeight="1" thickBot="1">
      <c r="A10" s="1660"/>
      <c r="B10" s="837"/>
      <c r="C10" s="714" t="s">
        <v>408</v>
      </c>
      <c r="D10" s="320">
        <v>0</v>
      </c>
      <c r="E10" s="189">
        <v>0</v>
      </c>
      <c r="F10" s="189">
        <v>0</v>
      </c>
      <c r="G10" s="189">
        <v>0</v>
      </c>
      <c r="H10" s="189">
        <v>0</v>
      </c>
      <c r="I10" s="189">
        <v>0</v>
      </c>
      <c r="J10" s="189">
        <v>1</v>
      </c>
      <c r="K10" s="189">
        <v>1</v>
      </c>
      <c r="L10" s="189">
        <v>1</v>
      </c>
      <c r="M10" s="189">
        <v>1</v>
      </c>
      <c r="N10" s="189">
        <v>0</v>
      </c>
      <c r="O10" s="188">
        <v>1</v>
      </c>
      <c r="P10" s="279">
        <f t="shared" si="0"/>
        <v>5</v>
      </c>
    </row>
    <row r="11" spans="1:16" ht="18" customHeight="1">
      <c r="A11" s="1309" t="s">
        <v>808</v>
      </c>
      <c r="B11" s="1349" t="s">
        <v>806</v>
      </c>
      <c r="C11" s="1350"/>
      <c r="D11" s="320">
        <v>0</v>
      </c>
      <c r="E11" s="189">
        <v>0</v>
      </c>
      <c r="F11" s="189">
        <v>0</v>
      </c>
      <c r="G11" s="189">
        <v>0</v>
      </c>
      <c r="H11" s="189">
        <v>0</v>
      </c>
      <c r="I11" s="189">
        <v>0</v>
      </c>
      <c r="J11" s="189">
        <v>0</v>
      </c>
      <c r="K11" s="189">
        <v>0</v>
      </c>
      <c r="L11" s="189">
        <v>0</v>
      </c>
      <c r="M11" s="189">
        <v>0</v>
      </c>
      <c r="N11" s="189">
        <v>0</v>
      </c>
      <c r="O11" s="188">
        <v>0</v>
      </c>
      <c r="P11" s="279">
        <f t="shared" si="0"/>
        <v>0</v>
      </c>
    </row>
    <row r="12" spans="1:16" ht="18" customHeight="1">
      <c r="A12" s="1657"/>
      <c r="B12" s="1337" t="s">
        <v>777</v>
      </c>
      <c r="C12" s="1338"/>
      <c r="D12" s="320">
        <v>5</v>
      </c>
      <c r="E12" s="189">
        <v>8</v>
      </c>
      <c r="F12" s="189">
        <v>4</v>
      </c>
      <c r="G12" s="189">
        <v>7</v>
      </c>
      <c r="H12" s="189">
        <v>7</v>
      </c>
      <c r="I12" s="189">
        <v>15</v>
      </c>
      <c r="J12" s="189">
        <v>8</v>
      </c>
      <c r="K12" s="189">
        <v>8</v>
      </c>
      <c r="L12" s="189">
        <v>7</v>
      </c>
      <c r="M12" s="189">
        <v>6</v>
      </c>
      <c r="N12" s="189">
        <v>6</v>
      </c>
      <c r="O12" s="188">
        <v>6</v>
      </c>
      <c r="P12" s="279">
        <f t="shared" si="0"/>
        <v>87</v>
      </c>
    </row>
    <row r="13" spans="1:16" ht="18" customHeight="1" thickBot="1">
      <c r="A13" s="1660"/>
      <c r="B13" s="837"/>
      <c r="C13" s="714" t="s">
        <v>408</v>
      </c>
      <c r="D13" s="320">
        <v>1</v>
      </c>
      <c r="E13" s="189">
        <v>0</v>
      </c>
      <c r="F13" s="189">
        <v>1</v>
      </c>
      <c r="G13" s="189">
        <v>2</v>
      </c>
      <c r="H13" s="189">
        <v>0</v>
      </c>
      <c r="I13" s="189">
        <v>2</v>
      </c>
      <c r="J13" s="189">
        <v>2</v>
      </c>
      <c r="K13" s="189">
        <v>3</v>
      </c>
      <c r="L13" s="189">
        <v>1</v>
      </c>
      <c r="M13" s="189">
        <v>1</v>
      </c>
      <c r="N13" s="189">
        <v>1</v>
      </c>
      <c r="O13" s="188">
        <v>2</v>
      </c>
      <c r="P13" s="279">
        <f t="shared" si="0"/>
        <v>16</v>
      </c>
    </row>
    <row r="14" spans="1:16" ht="18" customHeight="1">
      <c r="A14" s="1309" t="s">
        <v>809</v>
      </c>
      <c r="B14" s="1349" t="s">
        <v>806</v>
      </c>
      <c r="C14" s="1350"/>
      <c r="D14" s="320">
        <v>0</v>
      </c>
      <c r="E14" s="189">
        <v>0</v>
      </c>
      <c r="F14" s="189">
        <v>0</v>
      </c>
      <c r="G14" s="189">
        <v>0</v>
      </c>
      <c r="H14" s="189">
        <v>0</v>
      </c>
      <c r="I14" s="189">
        <v>0</v>
      </c>
      <c r="J14" s="189">
        <v>0</v>
      </c>
      <c r="K14" s="189">
        <v>0</v>
      </c>
      <c r="L14" s="189">
        <v>0</v>
      </c>
      <c r="M14" s="189">
        <v>0</v>
      </c>
      <c r="N14" s="189">
        <v>0</v>
      </c>
      <c r="O14" s="217">
        <v>0</v>
      </c>
      <c r="P14" s="279">
        <f t="shared" si="0"/>
        <v>0</v>
      </c>
    </row>
    <row r="15" spans="1:16" ht="18" customHeight="1">
      <c r="A15" s="1657"/>
      <c r="B15" s="1337" t="s">
        <v>687</v>
      </c>
      <c r="C15" s="1338"/>
      <c r="D15" s="320">
        <v>6</v>
      </c>
      <c r="E15" s="189">
        <v>7</v>
      </c>
      <c r="F15" s="189">
        <v>4</v>
      </c>
      <c r="G15" s="189">
        <v>9</v>
      </c>
      <c r="H15" s="189">
        <v>12</v>
      </c>
      <c r="I15" s="189">
        <v>6</v>
      </c>
      <c r="J15" s="189">
        <v>13</v>
      </c>
      <c r="K15" s="189">
        <v>9</v>
      </c>
      <c r="L15" s="189">
        <v>10</v>
      </c>
      <c r="M15" s="189">
        <v>12</v>
      </c>
      <c r="N15" s="189">
        <v>11</v>
      </c>
      <c r="O15" s="188">
        <v>17</v>
      </c>
      <c r="P15" s="279">
        <f t="shared" si="0"/>
        <v>116</v>
      </c>
    </row>
    <row r="16" spans="1:16" ht="18" customHeight="1" thickBot="1">
      <c r="A16" s="1660"/>
      <c r="B16" s="838"/>
      <c r="C16" s="714" t="s">
        <v>408</v>
      </c>
      <c r="D16" s="320">
        <v>0</v>
      </c>
      <c r="E16" s="189">
        <v>1</v>
      </c>
      <c r="F16" s="189">
        <v>0</v>
      </c>
      <c r="G16" s="189">
        <v>0</v>
      </c>
      <c r="H16" s="189">
        <v>2</v>
      </c>
      <c r="I16" s="189">
        <v>0</v>
      </c>
      <c r="J16" s="189">
        <v>0</v>
      </c>
      <c r="K16" s="189">
        <v>3</v>
      </c>
      <c r="L16" s="189">
        <v>1</v>
      </c>
      <c r="M16" s="189">
        <v>1</v>
      </c>
      <c r="N16" s="189">
        <v>1</v>
      </c>
      <c r="O16" s="188">
        <v>1</v>
      </c>
      <c r="P16" s="279">
        <f t="shared" si="0"/>
        <v>10</v>
      </c>
    </row>
    <row r="17" spans="1:16" ht="18" customHeight="1">
      <c r="A17" s="1309" t="s">
        <v>810</v>
      </c>
      <c r="B17" s="1349" t="s">
        <v>806</v>
      </c>
      <c r="C17" s="1350"/>
      <c r="D17" s="320">
        <v>0</v>
      </c>
      <c r="E17" s="189">
        <v>0</v>
      </c>
      <c r="F17" s="189">
        <v>0</v>
      </c>
      <c r="G17" s="189">
        <v>0</v>
      </c>
      <c r="H17" s="189">
        <v>0</v>
      </c>
      <c r="I17" s="189">
        <v>0</v>
      </c>
      <c r="J17" s="189">
        <v>0</v>
      </c>
      <c r="K17" s="189">
        <v>0</v>
      </c>
      <c r="L17" s="189">
        <v>0</v>
      </c>
      <c r="M17" s="189">
        <v>0</v>
      </c>
      <c r="N17" s="189">
        <v>0</v>
      </c>
      <c r="O17" s="188">
        <v>0</v>
      </c>
      <c r="P17" s="279">
        <f t="shared" si="0"/>
        <v>0</v>
      </c>
    </row>
    <row r="18" spans="1:16" ht="18" customHeight="1">
      <c r="A18" s="1657"/>
      <c r="B18" s="1337" t="s">
        <v>777</v>
      </c>
      <c r="C18" s="1338"/>
      <c r="D18" s="320">
        <v>11</v>
      </c>
      <c r="E18" s="189">
        <v>9</v>
      </c>
      <c r="F18" s="189">
        <v>9</v>
      </c>
      <c r="G18" s="189">
        <v>10</v>
      </c>
      <c r="H18" s="189">
        <v>12</v>
      </c>
      <c r="I18" s="189">
        <v>9</v>
      </c>
      <c r="J18" s="189">
        <v>16</v>
      </c>
      <c r="K18" s="189">
        <v>9</v>
      </c>
      <c r="L18" s="189">
        <v>12</v>
      </c>
      <c r="M18" s="189">
        <v>11</v>
      </c>
      <c r="N18" s="189">
        <v>13</v>
      </c>
      <c r="O18" s="188">
        <v>14</v>
      </c>
      <c r="P18" s="279">
        <f t="shared" si="0"/>
        <v>135</v>
      </c>
    </row>
    <row r="19" spans="1:16" ht="18" customHeight="1" thickBot="1">
      <c r="A19" s="1660"/>
      <c r="B19" s="838"/>
      <c r="C19" s="714" t="s">
        <v>408</v>
      </c>
      <c r="D19" s="320">
        <v>2</v>
      </c>
      <c r="E19" s="189">
        <v>0</v>
      </c>
      <c r="F19" s="189">
        <v>0</v>
      </c>
      <c r="G19" s="189">
        <v>2</v>
      </c>
      <c r="H19" s="189">
        <v>1</v>
      </c>
      <c r="I19" s="189">
        <v>1</v>
      </c>
      <c r="J19" s="189">
        <v>3</v>
      </c>
      <c r="K19" s="189">
        <v>0</v>
      </c>
      <c r="L19" s="189">
        <v>0</v>
      </c>
      <c r="M19" s="189">
        <v>1</v>
      </c>
      <c r="N19" s="189">
        <v>0</v>
      </c>
      <c r="O19" s="188">
        <v>4</v>
      </c>
      <c r="P19" s="279">
        <f t="shared" si="0"/>
        <v>14</v>
      </c>
    </row>
    <row r="20" spans="1:16" ht="18" customHeight="1">
      <c r="A20" s="1309" t="s">
        <v>811</v>
      </c>
      <c r="B20" s="1349" t="s">
        <v>806</v>
      </c>
      <c r="C20" s="1350"/>
      <c r="D20" s="320">
        <v>0</v>
      </c>
      <c r="E20" s="189">
        <v>0</v>
      </c>
      <c r="F20" s="189">
        <v>0</v>
      </c>
      <c r="G20" s="189">
        <v>0</v>
      </c>
      <c r="H20" s="189">
        <v>0</v>
      </c>
      <c r="I20" s="189">
        <v>0</v>
      </c>
      <c r="J20" s="189">
        <v>0</v>
      </c>
      <c r="K20" s="189">
        <v>0</v>
      </c>
      <c r="L20" s="189">
        <v>0</v>
      </c>
      <c r="M20" s="189">
        <v>0</v>
      </c>
      <c r="N20" s="189">
        <v>0</v>
      </c>
      <c r="O20" s="188">
        <v>1</v>
      </c>
      <c r="P20" s="279">
        <f t="shared" si="0"/>
        <v>1</v>
      </c>
    </row>
    <row r="21" spans="1:16" ht="18" customHeight="1">
      <c r="A21" s="1657"/>
      <c r="B21" s="1337" t="s">
        <v>777</v>
      </c>
      <c r="C21" s="1338"/>
      <c r="D21" s="320">
        <v>9</v>
      </c>
      <c r="E21" s="189">
        <v>15</v>
      </c>
      <c r="F21" s="189">
        <v>12</v>
      </c>
      <c r="G21" s="189">
        <v>7</v>
      </c>
      <c r="H21" s="189">
        <v>12</v>
      </c>
      <c r="I21" s="189">
        <v>8</v>
      </c>
      <c r="J21" s="189">
        <v>16</v>
      </c>
      <c r="K21" s="189">
        <v>3</v>
      </c>
      <c r="L21" s="189">
        <v>12</v>
      </c>
      <c r="M21" s="189">
        <v>8</v>
      </c>
      <c r="N21" s="189">
        <v>3</v>
      </c>
      <c r="O21" s="188">
        <v>17</v>
      </c>
      <c r="P21" s="279">
        <f t="shared" si="0"/>
        <v>122</v>
      </c>
    </row>
    <row r="22" spans="1:16" ht="18" customHeight="1" thickBot="1">
      <c r="A22" s="1660"/>
      <c r="B22" s="838"/>
      <c r="C22" s="839" t="s">
        <v>417</v>
      </c>
      <c r="D22" s="320">
        <v>1</v>
      </c>
      <c r="E22" s="189">
        <v>0</v>
      </c>
      <c r="F22" s="189">
        <v>1</v>
      </c>
      <c r="G22" s="189">
        <v>0</v>
      </c>
      <c r="H22" s="189">
        <v>0</v>
      </c>
      <c r="I22" s="189">
        <v>1</v>
      </c>
      <c r="J22" s="189">
        <v>2</v>
      </c>
      <c r="K22" s="189">
        <v>0</v>
      </c>
      <c r="L22" s="189">
        <v>0</v>
      </c>
      <c r="M22" s="189">
        <v>3</v>
      </c>
      <c r="N22" s="189">
        <v>0</v>
      </c>
      <c r="O22" s="188">
        <v>1</v>
      </c>
      <c r="P22" s="279">
        <f t="shared" si="0"/>
        <v>9</v>
      </c>
    </row>
    <row r="23" spans="1:16" ht="18" customHeight="1">
      <c r="A23" s="1309" t="s">
        <v>812</v>
      </c>
      <c r="B23" s="1349" t="s">
        <v>806</v>
      </c>
      <c r="C23" s="1350"/>
      <c r="D23" s="320">
        <v>0</v>
      </c>
      <c r="E23" s="189">
        <v>0</v>
      </c>
      <c r="F23" s="189">
        <v>0</v>
      </c>
      <c r="G23" s="189">
        <v>0</v>
      </c>
      <c r="H23" s="189">
        <v>0</v>
      </c>
      <c r="I23" s="189">
        <v>0</v>
      </c>
      <c r="J23" s="189">
        <v>0</v>
      </c>
      <c r="K23" s="189">
        <v>0</v>
      </c>
      <c r="L23" s="189">
        <v>0</v>
      </c>
      <c r="M23" s="189">
        <v>0</v>
      </c>
      <c r="N23" s="189">
        <v>0</v>
      </c>
      <c r="O23" s="188">
        <v>0</v>
      </c>
      <c r="P23" s="279">
        <f t="shared" si="0"/>
        <v>0</v>
      </c>
    </row>
    <row r="24" spans="1:16" ht="18" customHeight="1">
      <c r="A24" s="1657"/>
      <c r="B24" s="1337" t="s">
        <v>777</v>
      </c>
      <c r="C24" s="1338"/>
      <c r="D24" s="320">
        <v>15</v>
      </c>
      <c r="E24" s="189">
        <v>15</v>
      </c>
      <c r="F24" s="189">
        <v>10</v>
      </c>
      <c r="G24" s="189">
        <v>8</v>
      </c>
      <c r="H24" s="189">
        <v>13</v>
      </c>
      <c r="I24" s="189">
        <v>11</v>
      </c>
      <c r="J24" s="189">
        <v>16</v>
      </c>
      <c r="K24" s="189">
        <v>8</v>
      </c>
      <c r="L24" s="189">
        <v>9</v>
      </c>
      <c r="M24" s="189">
        <v>15</v>
      </c>
      <c r="N24" s="189">
        <v>18</v>
      </c>
      <c r="O24" s="188">
        <v>16</v>
      </c>
      <c r="P24" s="279">
        <f t="shared" si="0"/>
        <v>154</v>
      </c>
    </row>
    <row r="25" spans="1:16" ht="18" customHeight="1" thickBot="1">
      <c r="A25" s="1660"/>
      <c r="B25" s="838"/>
      <c r="C25" s="714" t="s">
        <v>408</v>
      </c>
      <c r="D25" s="320">
        <v>2</v>
      </c>
      <c r="E25" s="189">
        <v>2</v>
      </c>
      <c r="F25" s="189">
        <v>1</v>
      </c>
      <c r="G25" s="189">
        <v>0</v>
      </c>
      <c r="H25" s="189">
        <v>1</v>
      </c>
      <c r="I25" s="189">
        <v>0</v>
      </c>
      <c r="J25" s="189">
        <v>1</v>
      </c>
      <c r="K25" s="189">
        <v>0</v>
      </c>
      <c r="L25" s="189">
        <v>0</v>
      </c>
      <c r="M25" s="189">
        <v>0</v>
      </c>
      <c r="N25" s="189">
        <v>1</v>
      </c>
      <c r="O25" s="188">
        <v>4</v>
      </c>
      <c r="P25" s="279">
        <f t="shared" si="0"/>
        <v>12</v>
      </c>
    </row>
    <row r="26" spans="1:16" ht="18" customHeight="1">
      <c r="A26" s="1309" t="s">
        <v>813</v>
      </c>
      <c r="B26" s="1349" t="s">
        <v>806</v>
      </c>
      <c r="C26" s="1350"/>
      <c r="D26" s="320">
        <v>0</v>
      </c>
      <c r="E26" s="189">
        <v>0</v>
      </c>
      <c r="F26" s="189">
        <v>0</v>
      </c>
      <c r="G26" s="189">
        <v>0</v>
      </c>
      <c r="H26" s="189">
        <v>0</v>
      </c>
      <c r="I26" s="189">
        <v>1</v>
      </c>
      <c r="J26" s="189">
        <v>0</v>
      </c>
      <c r="K26" s="189">
        <v>0</v>
      </c>
      <c r="L26" s="189">
        <v>0</v>
      </c>
      <c r="M26" s="189">
        <v>0</v>
      </c>
      <c r="N26" s="189">
        <v>0</v>
      </c>
      <c r="O26" s="188">
        <v>0</v>
      </c>
      <c r="P26" s="279">
        <f t="shared" si="0"/>
        <v>1</v>
      </c>
    </row>
    <row r="27" spans="1:16" ht="18" customHeight="1">
      <c r="A27" s="1657"/>
      <c r="B27" s="1337" t="s">
        <v>777</v>
      </c>
      <c r="C27" s="1338"/>
      <c r="D27" s="320">
        <v>10</v>
      </c>
      <c r="E27" s="189">
        <v>13</v>
      </c>
      <c r="F27" s="189">
        <v>14</v>
      </c>
      <c r="G27" s="189">
        <v>17</v>
      </c>
      <c r="H27" s="189">
        <v>11</v>
      </c>
      <c r="I27" s="189">
        <v>7</v>
      </c>
      <c r="J27" s="189">
        <v>12</v>
      </c>
      <c r="K27" s="189">
        <v>9</v>
      </c>
      <c r="L27" s="189">
        <v>10</v>
      </c>
      <c r="M27" s="189">
        <v>22</v>
      </c>
      <c r="N27" s="189">
        <v>16</v>
      </c>
      <c r="O27" s="188">
        <v>17</v>
      </c>
      <c r="P27" s="279">
        <f t="shared" si="0"/>
        <v>158</v>
      </c>
    </row>
    <row r="28" spans="1:16" ht="18" customHeight="1" thickBot="1">
      <c r="A28" s="1660"/>
      <c r="B28" s="838"/>
      <c r="C28" s="714" t="s">
        <v>408</v>
      </c>
      <c r="D28" s="320">
        <v>1</v>
      </c>
      <c r="E28" s="189">
        <v>0</v>
      </c>
      <c r="F28" s="189">
        <v>0</v>
      </c>
      <c r="G28" s="189">
        <v>2</v>
      </c>
      <c r="H28" s="189">
        <v>1</v>
      </c>
      <c r="I28" s="189">
        <v>0</v>
      </c>
      <c r="J28" s="189">
        <v>2</v>
      </c>
      <c r="K28" s="189">
        <v>1</v>
      </c>
      <c r="L28" s="189">
        <v>1</v>
      </c>
      <c r="M28" s="189">
        <v>3</v>
      </c>
      <c r="N28" s="189">
        <v>2</v>
      </c>
      <c r="O28" s="188">
        <v>1</v>
      </c>
      <c r="P28" s="279">
        <f t="shared" si="0"/>
        <v>14</v>
      </c>
    </row>
    <row r="29" spans="1:16" ht="18" customHeight="1">
      <c r="A29" s="1309" t="s">
        <v>814</v>
      </c>
      <c r="B29" s="1349" t="s">
        <v>806</v>
      </c>
      <c r="C29" s="1350"/>
      <c r="D29" s="320">
        <v>0</v>
      </c>
      <c r="E29" s="189">
        <v>0</v>
      </c>
      <c r="F29" s="189">
        <v>0</v>
      </c>
      <c r="G29" s="189">
        <v>1</v>
      </c>
      <c r="H29" s="189">
        <v>0</v>
      </c>
      <c r="I29" s="189">
        <v>0</v>
      </c>
      <c r="J29" s="189">
        <v>0</v>
      </c>
      <c r="K29" s="189">
        <v>0</v>
      </c>
      <c r="L29" s="189">
        <v>0</v>
      </c>
      <c r="M29" s="189">
        <v>0</v>
      </c>
      <c r="N29" s="189">
        <v>0</v>
      </c>
      <c r="O29" s="188">
        <v>0</v>
      </c>
      <c r="P29" s="279">
        <f t="shared" si="0"/>
        <v>1</v>
      </c>
    </row>
    <row r="30" spans="1:16" ht="18" customHeight="1">
      <c r="A30" s="1657"/>
      <c r="B30" s="1337" t="s">
        <v>777</v>
      </c>
      <c r="C30" s="1338"/>
      <c r="D30" s="318">
        <v>15</v>
      </c>
      <c r="E30" s="214">
        <v>5</v>
      </c>
      <c r="F30" s="214">
        <v>5</v>
      </c>
      <c r="G30" s="214">
        <v>10</v>
      </c>
      <c r="H30" s="214">
        <v>12</v>
      </c>
      <c r="I30" s="214">
        <v>17</v>
      </c>
      <c r="J30" s="214">
        <v>10</v>
      </c>
      <c r="K30" s="214">
        <v>13</v>
      </c>
      <c r="L30" s="214">
        <v>20</v>
      </c>
      <c r="M30" s="214">
        <v>13</v>
      </c>
      <c r="N30" s="214">
        <v>13</v>
      </c>
      <c r="O30" s="220">
        <v>11</v>
      </c>
      <c r="P30" s="290">
        <f t="shared" si="0"/>
        <v>144</v>
      </c>
    </row>
    <row r="31" spans="1:16" ht="18" customHeight="1" thickBot="1">
      <c r="A31" s="1658"/>
      <c r="B31" s="837"/>
      <c r="C31" s="714" t="s">
        <v>408</v>
      </c>
      <c r="D31" s="320">
        <v>1</v>
      </c>
      <c r="E31" s="189">
        <v>0</v>
      </c>
      <c r="F31" s="189">
        <v>0</v>
      </c>
      <c r="G31" s="189">
        <v>0</v>
      </c>
      <c r="H31" s="189">
        <v>1</v>
      </c>
      <c r="I31" s="189">
        <v>1</v>
      </c>
      <c r="J31" s="189">
        <v>0</v>
      </c>
      <c r="K31" s="189">
        <v>2</v>
      </c>
      <c r="L31" s="189">
        <v>0</v>
      </c>
      <c r="M31" s="189">
        <v>0</v>
      </c>
      <c r="N31" s="189">
        <v>1</v>
      </c>
      <c r="O31" s="188">
        <v>0</v>
      </c>
      <c r="P31" s="280">
        <f t="shared" si="0"/>
        <v>6</v>
      </c>
    </row>
    <row r="32" spans="1:16" ht="18" customHeight="1">
      <c r="A32" s="1470" t="s">
        <v>635</v>
      </c>
      <c r="B32" s="1349" t="s">
        <v>806</v>
      </c>
      <c r="C32" s="1350"/>
      <c r="D32" s="299">
        <f t="shared" ref="D32:O34" si="1">D5+D8+D11+D14+D17+D20+D23+D26+D29</f>
        <v>0</v>
      </c>
      <c r="E32" s="186">
        <f t="shared" si="1"/>
        <v>0</v>
      </c>
      <c r="F32" s="186">
        <f t="shared" si="1"/>
        <v>0</v>
      </c>
      <c r="G32" s="186">
        <f t="shared" si="1"/>
        <v>1</v>
      </c>
      <c r="H32" s="186">
        <f t="shared" si="1"/>
        <v>0</v>
      </c>
      <c r="I32" s="186">
        <f t="shared" si="1"/>
        <v>1</v>
      </c>
      <c r="J32" s="186">
        <f t="shared" si="1"/>
        <v>0</v>
      </c>
      <c r="K32" s="186">
        <f t="shared" si="1"/>
        <v>0</v>
      </c>
      <c r="L32" s="186">
        <f t="shared" si="1"/>
        <v>0</v>
      </c>
      <c r="M32" s="186">
        <f t="shared" si="1"/>
        <v>0</v>
      </c>
      <c r="N32" s="186">
        <f t="shared" si="1"/>
        <v>1</v>
      </c>
      <c r="O32" s="179">
        <f t="shared" si="1"/>
        <v>2</v>
      </c>
      <c r="P32" s="278">
        <f t="shared" si="0"/>
        <v>5</v>
      </c>
    </row>
    <row r="33" spans="1:16" ht="18" customHeight="1">
      <c r="A33" s="1302"/>
      <c r="B33" s="1337" t="s">
        <v>777</v>
      </c>
      <c r="C33" s="1338"/>
      <c r="D33" s="300">
        <f t="shared" si="1"/>
        <v>85</v>
      </c>
      <c r="E33" s="214">
        <f t="shared" si="1"/>
        <v>82</v>
      </c>
      <c r="F33" s="214">
        <f t="shared" si="1"/>
        <v>67</v>
      </c>
      <c r="G33" s="214">
        <f t="shared" si="1"/>
        <v>76</v>
      </c>
      <c r="H33" s="214">
        <f t="shared" si="1"/>
        <v>93</v>
      </c>
      <c r="I33" s="214">
        <f t="shared" si="1"/>
        <v>85</v>
      </c>
      <c r="J33" s="214">
        <f t="shared" si="1"/>
        <v>110</v>
      </c>
      <c r="K33" s="214">
        <f t="shared" si="1"/>
        <v>68</v>
      </c>
      <c r="L33" s="214">
        <f t="shared" si="1"/>
        <v>97</v>
      </c>
      <c r="M33" s="214">
        <f t="shared" si="1"/>
        <v>103</v>
      </c>
      <c r="N33" s="214">
        <f t="shared" si="1"/>
        <v>86</v>
      </c>
      <c r="O33" s="192">
        <f t="shared" si="1"/>
        <v>115</v>
      </c>
      <c r="P33" s="290">
        <f t="shared" si="0"/>
        <v>1067</v>
      </c>
    </row>
    <row r="34" spans="1:16" ht="18" customHeight="1" thickBot="1">
      <c r="A34" s="1263"/>
      <c r="B34" s="840"/>
      <c r="C34" s="714" t="s">
        <v>408</v>
      </c>
      <c r="D34" s="181">
        <f t="shared" si="1"/>
        <v>9</v>
      </c>
      <c r="E34" s="222">
        <f t="shared" si="1"/>
        <v>3</v>
      </c>
      <c r="F34" s="222">
        <f t="shared" si="1"/>
        <v>3</v>
      </c>
      <c r="G34" s="222">
        <f t="shared" si="1"/>
        <v>6</v>
      </c>
      <c r="H34" s="222">
        <f t="shared" si="1"/>
        <v>9</v>
      </c>
      <c r="I34" s="222">
        <f t="shared" si="1"/>
        <v>7</v>
      </c>
      <c r="J34" s="222">
        <f t="shared" si="1"/>
        <v>14</v>
      </c>
      <c r="K34" s="222">
        <f t="shared" si="1"/>
        <v>10</v>
      </c>
      <c r="L34" s="222">
        <f t="shared" si="1"/>
        <v>4</v>
      </c>
      <c r="M34" s="222">
        <f t="shared" si="1"/>
        <v>10</v>
      </c>
      <c r="N34" s="222">
        <f t="shared" si="1"/>
        <v>6</v>
      </c>
      <c r="O34" s="301">
        <f t="shared" si="1"/>
        <v>14</v>
      </c>
      <c r="P34" s="280">
        <f>SUM(D34:O34)</f>
        <v>95</v>
      </c>
    </row>
    <row r="35" spans="1:16" ht="18" customHeight="1">
      <c r="A35" s="1659" t="s">
        <v>389</v>
      </c>
      <c r="B35" s="1349" t="s">
        <v>806</v>
      </c>
      <c r="C35" s="1350"/>
      <c r="D35" s="317">
        <v>0</v>
      </c>
      <c r="E35" s="194">
        <v>0</v>
      </c>
      <c r="F35" s="194">
        <v>0</v>
      </c>
      <c r="G35" s="194">
        <v>2</v>
      </c>
      <c r="H35" s="194">
        <v>0</v>
      </c>
      <c r="I35" s="194">
        <v>2</v>
      </c>
      <c r="J35" s="194">
        <v>1</v>
      </c>
      <c r="K35" s="194">
        <v>0</v>
      </c>
      <c r="L35" s="194">
        <v>2</v>
      </c>
      <c r="M35" s="194">
        <v>0</v>
      </c>
      <c r="N35" s="194">
        <v>1</v>
      </c>
      <c r="O35" s="195">
        <v>2</v>
      </c>
      <c r="P35" s="302">
        <f t="shared" si="0"/>
        <v>10</v>
      </c>
    </row>
    <row r="36" spans="1:16" ht="18" customHeight="1">
      <c r="A36" s="1657"/>
      <c r="B36" s="1337" t="s">
        <v>687</v>
      </c>
      <c r="C36" s="1338"/>
      <c r="D36" s="35">
        <v>334</v>
      </c>
      <c r="E36" s="18">
        <v>266</v>
      </c>
      <c r="F36" s="18">
        <v>323</v>
      </c>
      <c r="G36" s="18">
        <v>293</v>
      </c>
      <c r="H36" s="18">
        <v>324</v>
      </c>
      <c r="I36" s="18">
        <v>339</v>
      </c>
      <c r="J36" s="18">
        <v>381</v>
      </c>
      <c r="K36" s="18">
        <v>298</v>
      </c>
      <c r="L36" s="18">
        <v>334</v>
      </c>
      <c r="M36" s="18">
        <v>380</v>
      </c>
      <c r="N36" s="18">
        <v>356</v>
      </c>
      <c r="O36" s="1150">
        <v>424</v>
      </c>
      <c r="P36" s="290">
        <f t="shared" si="0"/>
        <v>4052</v>
      </c>
    </row>
    <row r="37" spans="1:16" ht="18" customHeight="1" thickBot="1">
      <c r="A37" s="1658"/>
      <c r="B37" s="841"/>
      <c r="C37" s="842" t="s">
        <v>408</v>
      </c>
      <c r="D37" s="181">
        <v>31</v>
      </c>
      <c r="E37" s="222">
        <v>19</v>
      </c>
      <c r="F37" s="222">
        <v>27</v>
      </c>
      <c r="G37" s="222">
        <v>28</v>
      </c>
      <c r="H37" s="222">
        <v>32</v>
      </c>
      <c r="I37" s="222">
        <v>27</v>
      </c>
      <c r="J37" s="222">
        <v>43</v>
      </c>
      <c r="K37" s="222">
        <v>37</v>
      </c>
      <c r="L37" s="222">
        <v>29</v>
      </c>
      <c r="M37" s="222">
        <v>33</v>
      </c>
      <c r="N37" s="222">
        <v>32</v>
      </c>
      <c r="O37" s="301">
        <v>51</v>
      </c>
      <c r="P37" s="280">
        <f t="shared" si="0"/>
        <v>389</v>
      </c>
    </row>
    <row r="38" spans="1:16" s="1939" customFormat="1" ht="18" customHeight="1">
      <c r="A38" s="1980" t="s">
        <v>931</v>
      </c>
      <c r="B38" s="1980"/>
      <c r="C38" s="1980"/>
      <c r="D38" s="1980"/>
      <c r="E38" s="1980"/>
      <c r="F38" s="1980"/>
      <c r="G38" s="1980"/>
      <c r="H38" s="1980"/>
      <c r="I38" s="1980"/>
      <c r="J38" s="1980"/>
      <c r="K38" s="1980"/>
      <c r="L38" s="1980"/>
      <c r="M38" s="1980"/>
      <c r="N38" s="1980"/>
      <c r="O38" s="1980"/>
      <c r="P38" s="1981"/>
    </row>
    <row r="39" spans="1:16" s="1939" customFormat="1" ht="18" customHeight="1">
      <c r="A39" s="1972" t="s">
        <v>916</v>
      </c>
      <c r="B39" s="1972"/>
      <c r="C39" s="1972"/>
      <c r="D39" s="1972"/>
      <c r="E39" s="1972"/>
      <c r="F39" s="1972"/>
      <c r="G39" s="1972"/>
      <c r="H39" s="1972"/>
      <c r="I39" s="1972"/>
      <c r="J39" s="1972"/>
      <c r="K39" s="1972"/>
      <c r="L39" s="1972"/>
      <c r="M39" s="1972"/>
      <c r="N39" s="1972"/>
      <c r="O39" s="1972"/>
      <c r="P39" s="1972"/>
    </row>
    <row r="40" spans="1:16" ht="18" customHeight="1"/>
    <row r="41" spans="1:16" ht="18" customHeight="1">
      <c r="E41" s="500"/>
      <c r="F41" s="500"/>
      <c r="G41" s="500"/>
      <c r="H41" s="500"/>
      <c r="I41" s="500"/>
      <c r="J41" s="500"/>
      <c r="K41" s="500"/>
      <c r="L41" s="500"/>
      <c r="M41" s="500"/>
      <c r="N41" s="500"/>
      <c r="O41" s="500"/>
      <c r="P41" s="500"/>
    </row>
    <row r="44" spans="1:16">
      <c r="J44" s="500"/>
      <c r="K44" s="500"/>
      <c r="L44" s="500"/>
      <c r="M44" s="500"/>
      <c r="N44" s="500"/>
      <c r="O44" s="500"/>
      <c r="P44" s="500"/>
    </row>
  </sheetData>
  <mergeCells count="49">
    <mergeCell ref="O2:P2"/>
    <mergeCell ref="D3:D4"/>
    <mergeCell ref="E3:E4"/>
    <mergeCell ref="F3:F4"/>
    <mergeCell ref="G3:G4"/>
    <mergeCell ref="H3:H4"/>
    <mergeCell ref="I3:I4"/>
    <mergeCell ref="J3:J4"/>
    <mergeCell ref="K3:K4"/>
    <mergeCell ref="L3:L4"/>
    <mergeCell ref="M3:M4"/>
    <mergeCell ref="N3:N4"/>
    <mergeCell ref="O3:O4"/>
    <mergeCell ref="P3:P4"/>
    <mergeCell ref="A5:A7"/>
    <mergeCell ref="B5:C5"/>
    <mergeCell ref="B6:C6"/>
    <mergeCell ref="A8:A10"/>
    <mergeCell ref="B8:C8"/>
    <mergeCell ref="B9:C9"/>
    <mergeCell ref="A11:A13"/>
    <mergeCell ref="B11:C11"/>
    <mergeCell ref="B12:C12"/>
    <mergeCell ref="A14:A16"/>
    <mergeCell ref="B14:C14"/>
    <mergeCell ref="B15:C15"/>
    <mergeCell ref="A17:A19"/>
    <mergeCell ref="B17:C17"/>
    <mergeCell ref="B18:C18"/>
    <mergeCell ref="A20:A22"/>
    <mergeCell ref="B20:C20"/>
    <mergeCell ref="B21:C21"/>
    <mergeCell ref="A23:A25"/>
    <mergeCell ref="B23:C23"/>
    <mergeCell ref="B24:C24"/>
    <mergeCell ref="A26:A28"/>
    <mergeCell ref="B26:C26"/>
    <mergeCell ref="B27:C27"/>
    <mergeCell ref="A39:P39"/>
    <mergeCell ref="A29:A31"/>
    <mergeCell ref="B29:C29"/>
    <mergeCell ref="B30:C30"/>
    <mergeCell ref="A38:P38"/>
    <mergeCell ref="A32:A34"/>
    <mergeCell ref="B32:C32"/>
    <mergeCell ref="B33:C33"/>
    <mergeCell ref="A35:A37"/>
    <mergeCell ref="B35:C35"/>
    <mergeCell ref="B36:C36"/>
  </mergeCells>
  <phoneticPr fontId="4"/>
  <printOptions horizontalCentered="1"/>
  <pageMargins left="0.78740157480314965" right="0.39370078740157483" top="0.98425196850393704" bottom="0.98425196850393704" header="0.31496062992125984" footer="0.51181102362204722"/>
  <pageSetup paperSize="9" orientation="portrait" r:id="rId1"/>
  <headerFooter scaleWithDoc="0" alignWithMargins="0">
    <oddFooter>&amp;C- &amp;P -</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847A67-D763-473F-BB74-5062CF784753}">
  <sheetPr>
    <pageSetUpPr fitToPage="1"/>
  </sheetPr>
  <dimension ref="A1:S33"/>
  <sheetViews>
    <sheetView view="pageBreakPreview" topLeftCell="A17" zoomScale="70" zoomScaleNormal="100" zoomScaleSheetLayoutView="70" workbookViewId="0">
      <selection activeCell="L76" sqref="L76"/>
    </sheetView>
  </sheetViews>
  <sheetFormatPr defaultColWidth="9" defaultRowHeight="13.8"/>
  <cols>
    <col min="1" max="1" width="7.21875" style="497" customWidth="1"/>
    <col min="2" max="2" width="6" style="497" customWidth="1"/>
    <col min="3" max="3" width="8.109375" style="497" customWidth="1"/>
    <col min="4" max="4" width="8" style="497" customWidth="1"/>
    <col min="5" max="5" width="6" style="497" customWidth="1"/>
    <col min="6" max="6" width="8.109375" style="497" customWidth="1"/>
    <col min="7" max="7" width="8" style="497" customWidth="1"/>
    <col min="8" max="8" width="6" style="497" customWidth="1"/>
    <col min="9" max="9" width="8.109375" style="497" customWidth="1"/>
    <col min="10" max="10" width="8" style="497" customWidth="1"/>
    <col min="11" max="11" width="6" style="497" customWidth="1"/>
    <col min="12" max="12" width="8.109375" style="497" customWidth="1"/>
    <col min="13" max="13" width="8" style="497" customWidth="1"/>
    <col min="14" max="14" width="6" style="497" customWidth="1"/>
    <col min="15" max="15" width="8.109375" style="497" customWidth="1"/>
    <col min="16" max="16" width="8" style="497" customWidth="1"/>
    <col min="17" max="17" width="6" style="497" customWidth="1"/>
    <col min="18" max="18" width="8.109375" style="497" customWidth="1"/>
    <col min="19" max="19" width="8" style="497" customWidth="1"/>
    <col min="20" max="20" width="7.44140625" style="497" customWidth="1"/>
    <col min="21" max="16384" width="9" style="497"/>
  </cols>
  <sheetData>
    <row r="1" spans="1:19" ht="15">
      <c r="A1" s="650" t="s">
        <v>418</v>
      </c>
    </row>
    <row r="2" spans="1:19" ht="14.4" thickBot="1">
      <c r="Q2" s="1385" t="s">
        <v>376</v>
      </c>
      <c r="R2" s="1385"/>
      <c r="S2" s="1714"/>
    </row>
    <row r="3" spans="1:19">
      <c r="A3" s="843" t="s">
        <v>312</v>
      </c>
      <c r="B3" s="1628" t="s">
        <v>744</v>
      </c>
      <c r="C3" s="1629"/>
      <c r="D3" s="1630"/>
      <c r="E3" s="1633" t="s">
        <v>745</v>
      </c>
      <c r="F3" s="1634"/>
      <c r="G3" s="1634"/>
      <c r="H3" s="1634"/>
      <c r="I3" s="1634"/>
      <c r="J3" s="1634"/>
      <c r="K3" s="1634"/>
      <c r="L3" s="1634"/>
      <c r="M3" s="1634"/>
      <c r="N3" s="1634"/>
      <c r="O3" s="1634"/>
      <c r="P3" s="1634"/>
      <c r="Q3" s="1634"/>
      <c r="R3" s="1634"/>
      <c r="S3" s="1715"/>
    </row>
    <row r="4" spans="1:19">
      <c r="A4" s="790"/>
      <c r="B4" s="1631"/>
      <c r="C4" s="1373"/>
      <c r="D4" s="1632"/>
      <c r="E4" s="1631" t="s">
        <v>746</v>
      </c>
      <c r="F4" s="1373"/>
      <c r="G4" s="1632"/>
      <c r="H4" s="1631" t="s">
        <v>747</v>
      </c>
      <c r="I4" s="1373"/>
      <c r="J4" s="1632"/>
      <c r="K4" s="1637" t="s">
        <v>409</v>
      </c>
      <c r="L4" s="1638"/>
      <c r="M4" s="1632"/>
      <c r="N4" s="1637" t="s">
        <v>392</v>
      </c>
      <c r="O4" s="1638"/>
      <c r="P4" s="1632"/>
      <c r="Q4" s="1514" t="s">
        <v>659</v>
      </c>
      <c r="R4" s="1669"/>
      <c r="S4" s="1379"/>
    </row>
    <row r="5" spans="1:19" ht="5.25" customHeight="1">
      <c r="A5" s="790"/>
      <c r="B5" s="1326" t="s">
        <v>394</v>
      </c>
      <c r="C5" s="1325" t="s">
        <v>410</v>
      </c>
      <c r="D5" s="806"/>
      <c r="E5" s="1326" t="s">
        <v>394</v>
      </c>
      <c r="F5" s="1325" t="s">
        <v>410</v>
      </c>
      <c r="G5" s="806"/>
      <c r="H5" s="1326" t="s">
        <v>394</v>
      </c>
      <c r="I5" s="1325" t="s">
        <v>410</v>
      </c>
      <c r="J5" s="806"/>
      <c r="K5" s="1326" t="s">
        <v>394</v>
      </c>
      <c r="L5" s="1325" t="s">
        <v>410</v>
      </c>
      <c r="M5" s="806"/>
      <c r="N5" s="1326" t="s">
        <v>394</v>
      </c>
      <c r="O5" s="1325" t="s">
        <v>410</v>
      </c>
      <c r="P5" s="806"/>
      <c r="Q5" s="1326" t="s">
        <v>394</v>
      </c>
      <c r="R5" s="1325" t="s">
        <v>410</v>
      </c>
      <c r="S5" s="806"/>
    </row>
    <row r="6" spans="1:19" ht="14.4" thickBot="1">
      <c r="A6" s="844" t="s">
        <v>419</v>
      </c>
      <c r="B6" s="1625"/>
      <c r="C6" s="1626"/>
      <c r="D6" s="845" t="s">
        <v>420</v>
      </c>
      <c r="E6" s="1625"/>
      <c r="F6" s="1626"/>
      <c r="G6" s="672" t="s">
        <v>420</v>
      </c>
      <c r="H6" s="1625"/>
      <c r="I6" s="1626"/>
      <c r="J6" s="672" t="s">
        <v>420</v>
      </c>
      <c r="K6" s="1625"/>
      <c r="L6" s="1626"/>
      <c r="M6" s="672" t="s">
        <v>420</v>
      </c>
      <c r="N6" s="1625"/>
      <c r="O6" s="1626"/>
      <c r="P6" s="672" t="s">
        <v>420</v>
      </c>
      <c r="Q6" s="1625"/>
      <c r="R6" s="1626"/>
      <c r="S6" s="672" t="s">
        <v>420</v>
      </c>
    </row>
    <row r="7" spans="1:19" ht="20.100000000000001" customHeight="1">
      <c r="A7" s="787" t="s">
        <v>576</v>
      </c>
      <c r="B7" s="317">
        <f t="shared" ref="B7:C30" si="0">E7+H7+K7+N7+Q7</f>
        <v>0</v>
      </c>
      <c r="C7" s="195">
        <f t="shared" si="0"/>
        <v>117</v>
      </c>
      <c r="D7" s="293">
        <f t="shared" ref="D7:D30" si="1">H7+K7+N7+Q7+T7</f>
        <v>0</v>
      </c>
      <c r="E7" s="180">
        <v>0</v>
      </c>
      <c r="F7" s="188">
        <v>16</v>
      </c>
      <c r="G7" s="293">
        <v>4</v>
      </c>
      <c r="H7" s="320">
        <v>0</v>
      </c>
      <c r="I7" s="188">
        <v>28</v>
      </c>
      <c r="J7" s="277">
        <v>1</v>
      </c>
      <c r="K7" s="180">
        <v>0</v>
      </c>
      <c r="L7" s="188">
        <v>27</v>
      </c>
      <c r="M7" s="293">
        <v>7</v>
      </c>
      <c r="N7" s="320">
        <v>0</v>
      </c>
      <c r="O7" s="188">
        <v>46</v>
      </c>
      <c r="P7" s="277">
        <v>2</v>
      </c>
      <c r="Q7" s="180">
        <v>0</v>
      </c>
      <c r="R7" s="188">
        <v>0</v>
      </c>
      <c r="S7" s="293">
        <v>0</v>
      </c>
    </row>
    <row r="8" spans="1:19" ht="20.100000000000001" customHeight="1">
      <c r="A8" s="787" t="s">
        <v>577</v>
      </c>
      <c r="B8" s="317">
        <f t="shared" si="0"/>
        <v>0</v>
      </c>
      <c r="C8" s="195">
        <f t="shared" si="0"/>
        <v>20</v>
      </c>
      <c r="D8" s="293">
        <f t="shared" si="1"/>
        <v>0</v>
      </c>
      <c r="E8" s="180">
        <v>0</v>
      </c>
      <c r="F8" s="188">
        <v>2</v>
      </c>
      <c r="G8" s="293">
        <v>1</v>
      </c>
      <c r="H8" s="320">
        <v>0</v>
      </c>
      <c r="I8" s="188">
        <v>6</v>
      </c>
      <c r="J8" s="293">
        <v>0</v>
      </c>
      <c r="K8" s="180">
        <v>0</v>
      </c>
      <c r="L8" s="188">
        <v>5</v>
      </c>
      <c r="M8" s="293">
        <v>1</v>
      </c>
      <c r="N8" s="320">
        <v>0</v>
      </c>
      <c r="O8" s="188">
        <v>7</v>
      </c>
      <c r="P8" s="293">
        <v>0</v>
      </c>
      <c r="Q8" s="180">
        <v>0</v>
      </c>
      <c r="R8" s="188">
        <v>0</v>
      </c>
      <c r="S8" s="293">
        <v>0</v>
      </c>
    </row>
    <row r="9" spans="1:19" ht="20.100000000000001" customHeight="1">
      <c r="A9" s="787" t="s">
        <v>578</v>
      </c>
      <c r="B9" s="317">
        <f t="shared" si="0"/>
        <v>0</v>
      </c>
      <c r="C9" s="195">
        <f t="shared" si="0"/>
        <v>18</v>
      </c>
      <c r="D9" s="293">
        <f t="shared" si="1"/>
        <v>0</v>
      </c>
      <c r="E9" s="180">
        <v>0</v>
      </c>
      <c r="F9" s="188">
        <v>1</v>
      </c>
      <c r="G9" s="293">
        <v>0</v>
      </c>
      <c r="H9" s="320">
        <v>0</v>
      </c>
      <c r="I9" s="188">
        <v>4</v>
      </c>
      <c r="J9" s="293">
        <v>0</v>
      </c>
      <c r="K9" s="180">
        <v>0</v>
      </c>
      <c r="L9" s="188">
        <v>7</v>
      </c>
      <c r="M9" s="293">
        <v>0</v>
      </c>
      <c r="N9" s="320">
        <v>0</v>
      </c>
      <c r="O9" s="188">
        <v>5</v>
      </c>
      <c r="P9" s="293">
        <v>0</v>
      </c>
      <c r="Q9" s="180">
        <v>0</v>
      </c>
      <c r="R9" s="188">
        <v>1</v>
      </c>
      <c r="S9" s="293">
        <v>0</v>
      </c>
    </row>
    <row r="10" spans="1:19" ht="20.100000000000001" customHeight="1">
      <c r="A10" s="787" t="s">
        <v>580</v>
      </c>
      <c r="B10" s="317">
        <f t="shared" si="0"/>
        <v>0</v>
      </c>
      <c r="C10" s="195">
        <f t="shared" si="0"/>
        <v>23</v>
      </c>
      <c r="D10" s="293">
        <f t="shared" si="1"/>
        <v>0</v>
      </c>
      <c r="E10" s="180">
        <v>0</v>
      </c>
      <c r="F10" s="188">
        <v>0</v>
      </c>
      <c r="G10" s="293">
        <v>0</v>
      </c>
      <c r="H10" s="320">
        <v>0</v>
      </c>
      <c r="I10" s="188">
        <v>8</v>
      </c>
      <c r="J10" s="293">
        <v>1</v>
      </c>
      <c r="K10" s="180">
        <v>0</v>
      </c>
      <c r="L10" s="188">
        <v>9</v>
      </c>
      <c r="M10" s="293">
        <v>5</v>
      </c>
      <c r="N10" s="320">
        <v>0</v>
      </c>
      <c r="O10" s="188">
        <v>6</v>
      </c>
      <c r="P10" s="293">
        <v>0</v>
      </c>
      <c r="Q10" s="180">
        <v>0</v>
      </c>
      <c r="R10" s="188">
        <v>0</v>
      </c>
      <c r="S10" s="293">
        <v>0</v>
      </c>
    </row>
    <row r="11" spans="1:19" ht="20.100000000000001" customHeight="1">
      <c r="A11" s="787" t="s">
        <v>581</v>
      </c>
      <c r="B11" s="317">
        <f t="shared" si="0"/>
        <v>0</v>
      </c>
      <c r="C11" s="195">
        <f t="shared" si="0"/>
        <v>110</v>
      </c>
      <c r="D11" s="293">
        <f t="shared" si="1"/>
        <v>0</v>
      </c>
      <c r="E11" s="180">
        <v>0</v>
      </c>
      <c r="F11" s="188">
        <v>20</v>
      </c>
      <c r="G11" s="293">
        <v>0</v>
      </c>
      <c r="H11" s="320">
        <v>0</v>
      </c>
      <c r="I11" s="188">
        <v>25</v>
      </c>
      <c r="J11" s="293">
        <v>0</v>
      </c>
      <c r="K11" s="180">
        <v>0</v>
      </c>
      <c r="L11" s="188">
        <v>13</v>
      </c>
      <c r="M11" s="293">
        <v>3</v>
      </c>
      <c r="N11" s="320">
        <v>0</v>
      </c>
      <c r="O11" s="188">
        <v>49</v>
      </c>
      <c r="P11" s="293">
        <v>3</v>
      </c>
      <c r="Q11" s="180">
        <v>0</v>
      </c>
      <c r="R11" s="188">
        <v>3</v>
      </c>
      <c r="S11" s="293">
        <v>0</v>
      </c>
    </row>
    <row r="12" spans="1:19" ht="20.100000000000001" customHeight="1">
      <c r="A12" s="787" t="s">
        <v>582</v>
      </c>
      <c r="B12" s="317">
        <f t="shared" si="0"/>
        <v>1</v>
      </c>
      <c r="C12" s="195">
        <f t="shared" si="0"/>
        <v>32</v>
      </c>
      <c r="D12" s="293">
        <f t="shared" si="1"/>
        <v>0</v>
      </c>
      <c r="E12" s="180">
        <v>1</v>
      </c>
      <c r="F12" s="188">
        <v>2</v>
      </c>
      <c r="G12" s="293">
        <v>0</v>
      </c>
      <c r="H12" s="320">
        <v>0</v>
      </c>
      <c r="I12" s="188">
        <v>11</v>
      </c>
      <c r="J12" s="293">
        <v>0</v>
      </c>
      <c r="K12" s="180">
        <v>0</v>
      </c>
      <c r="L12" s="188">
        <v>5</v>
      </c>
      <c r="M12" s="293">
        <v>2</v>
      </c>
      <c r="N12" s="320">
        <v>0</v>
      </c>
      <c r="O12" s="188">
        <v>13</v>
      </c>
      <c r="P12" s="293">
        <v>0</v>
      </c>
      <c r="Q12" s="180">
        <v>0</v>
      </c>
      <c r="R12" s="188">
        <v>1</v>
      </c>
      <c r="S12" s="293">
        <v>0</v>
      </c>
    </row>
    <row r="13" spans="1:19" ht="20.100000000000001" customHeight="1">
      <c r="A13" s="787" t="s">
        <v>583</v>
      </c>
      <c r="B13" s="317">
        <f t="shared" si="0"/>
        <v>0</v>
      </c>
      <c r="C13" s="195">
        <f t="shared" si="0"/>
        <v>23</v>
      </c>
      <c r="D13" s="293">
        <f t="shared" si="1"/>
        <v>0</v>
      </c>
      <c r="E13" s="180">
        <v>0</v>
      </c>
      <c r="F13" s="188">
        <v>2</v>
      </c>
      <c r="G13" s="293">
        <v>0</v>
      </c>
      <c r="H13" s="320">
        <v>0</v>
      </c>
      <c r="I13" s="188">
        <v>6</v>
      </c>
      <c r="J13" s="293">
        <v>1</v>
      </c>
      <c r="K13" s="180">
        <v>0</v>
      </c>
      <c r="L13" s="188">
        <v>6</v>
      </c>
      <c r="M13" s="293">
        <v>1</v>
      </c>
      <c r="N13" s="320">
        <v>0</v>
      </c>
      <c r="O13" s="188">
        <v>9</v>
      </c>
      <c r="P13" s="293">
        <v>0</v>
      </c>
      <c r="Q13" s="180">
        <v>0</v>
      </c>
      <c r="R13" s="188">
        <v>0</v>
      </c>
      <c r="S13" s="293">
        <v>0</v>
      </c>
    </row>
    <row r="14" spans="1:19" ht="20.100000000000001" customHeight="1">
      <c r="A14" s="787" t="s">
        <v>584</v>
      </c>
      <c r="B14" s="317">
        <f t="shared" si="0"/>
        <v>0</v>
      </c>
      <c r="C14" s="195">
        <f t="shared" si="0"/>
        <v>24</v>
      </c>
      <c r="D14" s="293">
        <f t="shared" si="1"/>
        <v>0</v>
      </c>
      <c r="E14" s="180">
        <v>0</v>
      </c>
      <c r="F14" s="188">
        <v>0</v>
      </c>
      <c r="G14" s="293">
        <v>0</v>
      </c>
      <c r="H14" s="320">
        <v>0</v>
      </c>
      <c r="I14" s="188">
        <v>12</v>
      </c>
      <c r="J14" s="293">
        <v>1</v>
      </c>
      <c r="K14" s="180">
        <v>0</v>
      </c>
      <c r="L14" s="188">
        <v>5</v>
      </c>
      <c r="M14" s="293">
        <v>1</v>
      </c>
      <c r="N14" s="320">
        <v>0</v>
      </c>
      <c r="O14" s="188">
        <v>7</v>
      </c>
      <c r="P14" s="293">
        <v>0</v>
      </c>
      <c r="Q14" s="180">
        <v>0</v>
      </c>
      <c r="R14" s="188">
        <v>0</v>
      </c>
      <c r="S14" s="293">
        <v>0</v>
      </c>
    </row>
    <row r="15" spans="1:19" ht="20.100000000000001" customHeight="1">
      <c r="A15" s="787" t="s">
        <v>585</v>
      </c>
      <c r="B15" s="317">
        <f t="shared" si="0"/>
        <v>0</v>
      </c>
      <c r="C15" s="195">
        <f t="shared" si="0"/>
        <v>35</v>
      </c>
      <c r="D15" s="293">
        <f t="shared" si="1"/>
        <v>0</v>
      </c>
      <c r="E15" s="180">
        <v>0</v>
      </c>
      <c r="F15" s="188">
        <v>4</v>
      </c>
      <c r="G15" s="293">
        <v>0</v>
      </c>
      <c r="H15" s="320">
        <v>0</v>
      </c>
      <c r="I15" s="188">
        <v>10</v>
      </c>
      <c r="J15" s="293">
        <v>0</v>
      </c>
      <c r="K15" s="180">
        <v>0</v>
      </c>
      <c r="L15" s="188">
        <v>3</v>
      </c>
      <c r="M15" s="293">
        <v>0</v>
      </c>
      <c r="N15" s="320">
        <v>0</v>
      </c>
      <c r="O15" s="188">
        <v>18</v>
      </c>
      <c r="P15" s="293">
        <v>0</v>
      </c>
      <c r="Q15" s="180">
        <v>0</v>
      </c>
      <c r="R15" s="188">
        <v>0</v>
      </c>
      <c r="S15" s="293">
        <v>0</v>
      </c>
    </row>
    <row r="16" spans="1:19" ht="20.100000000000001" customHeight="1">
      <c r="A16" s="787" t="s">
        <v>586</v>
      </c>
      <c r="B16" s="317">
        <f t="shared" si="0"/>
        <v>0</v>
      </c>
      <c r="C16" s="195">
        <f t="shared" si="0"/>
        <v>56</v>
      </c>
      <c r="D16" s="293">
        <f t="shared" si="1"/>
        <v>0</v>
      </c>
      <c r="E16" s="180">
        <v>0</v>
      </c>
      <c r="F16" s="188">
        <v>3</v>
      </c>
      <c r="G16" s="293">
        <v>0</v>
      </c>
      <c r="H16" s="320">
        <v>0</v>
      </c>
      <c r="I16" s="188">
        <v>14</v>
      </c>
      <c r="J16" s="293">
        <v>2</v>
      </c>
      <c r="K16" s="180">
        <v>0</v>
      </c>
      <c r="L16" s="188">
        <v>9</v>
      </c>
      <c r="M16" s="293">
        <v>2</v>
      </c>
      <c r="N16" s="320">
        <v>0</v>
      </c>
      <c r="O16" s="188">
        <v>29</v>
      </c>
      <c r="P16" s="293">
        <v>1</v>
      </c>
      <c r="Q16" s="180">
        <v>0</v>
      </c>
      <c r="R16" s="188">
        <v>1</v>
      </c>
      <c r="S16" s="293">
        <v>0</v>
      </c>
    </row>
    <row r="17" spans="1:19" ht="20.100000000000001" customHeight="1">
      <c r="A17" s="787" t="s">
        <v>749</v>
      </c>
      <c r="B17" s="317">
        <f t="shared" si="0"/>
        <v>0</v>
      </c>
      <c r="C17" s="195">
        <f t="shared" si="0"/>
        <v>30</v>
      </c>
      <c r="D17" s="293">
        <f t="shared" si="1"/>
        <v>0</v>
      </c>
      <c r="E17" s="180">
        <v>0</v>
      </c>
      <c r="F17" s="188">
        <v>2</v>
      </c>
      <c r="G17" s="293">
        <v>0</v>
      </c>
      <c r="H17" s="320">
        <v>0</v>
      </c>
      <c r="I17" s="188">
        <v>7</v>
      </c>
      <c r="J17" s="293">
        <v>1</v>
      </c>
      <c r="K17" s="180">
        <v>0</v>
      </c>
      <c r="L17" s="188">
        <v>11</v>
      </c>
      <c r="M17" s="293">
        <v>3</v>
      </c>
      <c r="N17" s="320">
        <v>0</v>
      </c>
      <c r="O17" s="188">
        <v>10</v>
      </c>
      <c r="P17" s="293">
        <v>1</v>
      </c>
      <c r="Q17" s="180">
        <v>0</v>
      </c>
      <c r="R17" s="188">
        <v>0</v>
      </c>
      <c r="S17" s="293">
        <v>0</v>
      </c>
    </row>
    <row r="18" spans="1:19" ht="20.100000000000001" customHeight="1">
      <c r="A18" s="787" t="s">
        <v>588</v>
      </c>
      <c r="B18" s="317">
        <f t="shared" si="0"/>
        <v>1</v>
      </c>
      <c r="C18" s="195">
        <f t="shared" si="0"/>
        <v>69</v>
      </c>
      <c r="D18" s="293">
        <f t="shared" si="1"/>
        <v>1</v>
      </c>
      <c r="E18" s="180">
        <v>0</v>
      </c>
      <c r="F18" s="188">
        <v>7</v>
      </c>
      <c r="G18" s="293">
        <v>0</v>
      </c>
      <c r="H18" s="320">
        <v>0</v>
      </c>
      <c r="I18" s="188">
        <v>26</v>
      </c>
      <c r="J18" s="293">
        <v>5</v>
      </c>
      <c r="K18" s="180">
        <v>1</v>
      </c>
      <c r="L18" s="188">
        <v>21</v>
      </c>
      <c r="M18" s="293">
        <v>8</v>
      </c>
      <c r="N18" s="320">
        <v>0</v>
      </c>
      <c r="O18" s="188">
        <v>14</v>
      </c>
      <c r="P18" s="293">
        <v>0</v>
      </c>
      <c r="Q18" s="180">
        <v>0</v>
      </c>
      <c r="R18" s="188">
        <v>1</v>
      </c>
      <c r="S18" s="293">
        <v>0</v>
      </c>
    </row>
    <row r="19" spans="1:19" ht="20.100000000000001" customHeight="1">
      <c r="A19" s="787" t="s">
        <v>750</v>
      </c>
      <c r="B19" s="317">
        <f t="shared" si="0"/>
        <v>0</v>
      </c>
      <c r="C19" s="195">
        <f t="shared" si="0"/>
        <v>63</v>
      </c>
      <c r="D19" s="293">
        <f t="shared" si="1"/>
        <v>0</v>
      </c>
      <c r="E19" s="180">
        <v>0</v>
      </c>
      <c r="F19" s="188">
        <v>5</v>
      </c>
      <c r="G19" s="293">
        <v>1</v>
      </c>
      <c r="H19" s="320">
        <v>0</v>
      </c>
      <c r="I19" s="188">
        <v>21</v>
      </c>
      <c r="J19" s="293">
        <v>3</v>
      </c>
      <c r="K19" s="180">
        <v>0</v>
      </c>
      <c r="L19" s="188">
        <v>21</v>
      </c>
      <c r="M19" s="293">
        <v>4</v>
      </c>
      <c r="N19" s="320">
        <v>0</v>
      </c>
      <c r="O19" s="188">
        <v>16</v>
      </c>
      <c r="P19" s="293">
        <v>0</v>
      </c>
      <c r="Q19" s="180">
        <v>0</v>
      </c>
      <c r="R19" s="188">
        <v>0</v>
      </c>
      <c r="S19" s="293">
        <v>0</v>
      </c>
    </row>
    <row r="20" spans="1:19" ht="20.100000000000001" customHeight="1">
      <c r="A20" s="787" t="s">
        <v>590</v>
      </c>
      <c r="B20" s="317">
        <f t="shared" si="0"/>
        <v>0</v>
      </c>
      <c r="C20" s="195">
        <f t="shared" si="0"/>
        <v>31</v>
      </c>
      <c r="D20" s="293">
        <f t="shared" si="1"/>
        <v>0</v>
      </c>
      <c r="E20" s="180">
        <v>0</v>
      </c>
      <c r="F20" s="188">
        <v>0</v>
      </c>
      <c r="G20" s="293">
        <v>0</v>
      </c>
      <c r="H20" s="320">
        <v>0</v>
      </c>
      <c r="I20" s="188">
        <v>10</v>
      </c>
      <c r="J20" s="293">
        <v>2</v>
      </c>
      <c r="K20" s="180">
        <v>0</v>
      </c>
      <c r="L20" s="188">
        <v>6</v>
      </c>
      <c r="M20" s="293">
        <v>0</v>
      </c>
      <c r="N20" s="320">
        <v>0</v>
      </c>
      <c r="O20" s="188">
        <v>15</v>
      </c>
      <c r="P20" s="293">
        <v>0</v>
      </c>
      <c r="Q20" s="180">
        <v>0</v>
      </c>
      <c r="R20" s="188">
        <v>0</v>
      </c>
      <c r="S20" s="293">
        <v>0</v>
      </c>
    </row>
    <row r="21" spans="1:19" ht="20.100000000000001" customHeight="1">
      <c r="A21" s="787" t="s">
        <v>591</v>
      </c>
      <c r="B21" s="317">
        <f t="shared" si="0"/>
        <v>1</v>
      </c>
      <c r="C21" s="195">
        <f t="shared" si="0"/>
        <v>39</v>
      </c>
      <c r="D21" s="293">
        <f t="shared" si="1"/>
        <v>1</v>
      </c>
      <c r="E21" s="180">
        <v>0</v>
      </c>
      <c r="F21" s="188">
        <v>2</v>
      </c>
      <c r="G21" s="293">
        <v>0</v>
      </c>
      <c r="H21" s="320">
        <v>1</v>
      </c>
      <c r="I21" s="188">
        <v>18</v>
      </c>
      <c r="J21" s="293">
        <v>2</v>
      </c>
      <c r="K21" s="180">
        <v>0</v>
      </c>
      <c r="L21" s="188">
        <v>6</v>
      </c>
      <c r="M21" s="293">
        <v>3</v>
      </c>
      <c r="N21" s="320">
        <v>0</v>
      </c>
      <c r="O21" s="188">
        <v>13</v>
      </c>
      <c r="P21" s="293">
        <v>2</v>
      </c>
      <c r="Q21" s="180">
        <v>0</v>
      </c>
      <c r="R21" s="188">
        <v>0</v>
      </c>
      <c r="S21" s="293">
        <v>0</v>
      </c>
    </row>
    <row r="22" spans="1:19" ht="20.100000000000001" customHeight="1">
      <c r="A22" s="787" t="s">
        <v>592</v>
      </c>
      <c r="B22" s="317">
        <f t="shared" si="0"/>
        <v>0</v>
      </c>
      <c r="C22" s="195">
        <f t="shared" si="0"/>
        <v>26</v>
      </c>
      <c r="D22" s="293">
        <f t="shared" si="1"/>
        <v>0</v>
      </c>
      <c r="E22" s="180">
        <v>0</v>
      </c>
      <c r="F22" s="188">
        <v>3</v>
      </c>
      <c r="G22" s="293">
        <v>0</v>
      </c>
      <c r="H22" s="320">
        <v>0</v>
      </c>
      <c r="I22" s="188">
        <v>13</v>
      </c>
      <c r="J22" s="293">
        <v>0</v>
      </c>
      <c r="K22" s="180">
        <v>0</v>
      </c>
      <c r="L22" s="188">
        <v>3</v>
      </c>
      <c r="M22" s="293">
        <v>1</v>
      </c>
      <c r="N22" s="320">
        <v>0</v>
      </c>
      <c r="O22" s="188">
        <v>7</v>
      </c>
      <c r="P22" s="293">
        <v>0</v>
      </c>
      <c r="Q22" s="180">
        <v>0</v>
      </c>
      <c r="R22" s="188">
        <v>0</v>
      </c>
      <c r="S22" s="293">
        <v>0</v>
      </c>
    </row>
    <row r="23" spans="1:19" ht="20.100000000000001" customHeight="1">
      <c r="A23" s="787" t="s">
        <v>593</v>
      </c>
      <c r="B23" s="317">
        <f t="shared" si="0"/>
        <v>0</v>
      </c>
      <c r="C23" s="195">
        <f t="shared" si="0"/>
        <v>44</v>
      </c>
      <c r="D23" s="293">
        <f t="shared" si="1"/>
        <v>0</v>
      </c>
      <c r="E23" s="180">
        <v>0</v>
      </c>
      <c r="F23" s="188">
        <v>0</v>
      </c>
      <c r="G23" s="293">
        <v>0</v>
      </c>
      <c r="H23" s="320">
        <v>0</v>
      </c>
      <c r="I23" s="188">
        <v>20</v>
      </c>
      <c r="J23" s="293">
        <v>0</v>
      </c>
      <c r="K23" s="180">
        <v>0</v>
      </c>
      <c r="L23" s="188">
        <v>11</v>
      </c>
      <c r="M23" s="293">
        <v>1</v>
      </c>
      <c r="N23" s="320">
        <v>0</v>
      </c>
      <c r="O23" s="188">
        <v>13</v>
      </c>
      <c r="P23" s="293">
        <v>0</v>
      </c>
      <c r="Q23" s="180">
        <v>0</v>
      </c>
      <c r="R23" s="188">
        <v>0</v>
      </c>
      <c r="S23" s="293">
        <v>0</v>
      </c>
    </row>
    <row r="24" spans="1:19" ht="20.100000000000001" customHeight="1">
      <c r="A24" s="787" t="s">
        <v>594</v>
      </c>
      <c r="B24" s="317">
        <f t="shared" si="0"/>
        <v>0</v>
      </c>
      <c r="C24" s="195">
        <f t="shared" si="0"/>
        <v>42</v>
      </c>
      <c r="D24" s="293">
        <f t="shared" si="1"/>
        <v>0</v>
      </c>
      <c r="E24" s="180">
        <v>0</v>
      </c>
      <c r="F24" s="188">
        <v>1</v>
      </c>
      <c r="G24" s="293">
        <v>0</v>
      </c>
      <c r="H24" s="320">
        <v>0</v>
      </c>
      <c r="I24" s="188">
        <v>19</v>
      </c>
      <c r="J24" s="293">
        <v>2</v>
      </c>
      <c r="K24" s="180">
        <v>0</v>
      </c>
      <c r="L24" s="188">
        <v>15</v>
      </c>
      <c r="M24" s="293">
        <v>2</v>
      </c>
      <c r="N24" s="320">
        <v>0</v>
      </c>
      <c r="O24" s="188">
        <v>7</v>
      </c>
      <c r="P24" s="293">
        <v>0</v>
      </c>
      <c r="Q24" s="180">
        <v>0</v>
      </c>
      <c r="R24" s="188">
        <v>0</v>
      </c>
      <c r="S24" s="293">
        <v>0</v>
      </c>
    </row>
    <row r="25" spans="1:19" ht="20.100000000000001" customHeight="1">
      <c r="A25" s="787" t="s">
        <v>595</v>
      </c>
      <c r="B25" s="317">
        <f t="shared" si="0"/>
        <v>0</v>
      </c>
      <c r="C25" s="195">
        <f t="shared" si="0"/>
        <v>50</v>
      </c>
      <c r="D25" s="293">
        <f t="shared" si="1"/>
        <v>0</v>
      </c>
      <c r="E25" s="180">
        <v>0</v>
      </c>
      <c r="F25" s="188">
        <v>3</v>
      </c>
      <c r="G25" s="293">
        <v>0</v>
      </c>
      <c r="H25" s="320">
        <v>0</v>
      </c>
      <c r="I25" s="188">
        <v>27</v>
      </c>
      <c r="J25" s="293">
        <v>3</v>
      </c>
      <c r="K25" s="180">
        <v>0</v>
      </c>
      <c r="L25" s="188">
        <v>7</v>
      </c>
      <c r="M25" s="293">
        <v>0</v>
      </c>
      <c r="N25" s="320">
        <v>0</v>
      </c>
      <c r="O25" s="188">
        <v>13</v>
      </c>
      <c r="P25" s="293">
        <v>0</v>
      </c>
      <c r="Q25" s="180">
        <v>0</v>
      </c>
      <c r="R25" s="188">
        <v>0</v>
      </c>
      <c r="S25" s="293">
        <v>0</v>
      </c>
    </row>
    <row r="26" spans="1:19" ht="20.100000000000001" customHeight="1">
      <c r="A26" s="787" t="s">
        <v>596</v>
      </c>
      <c r="B26" s="317">
        <f t="shared" si="0"/>
        <v>2</v>
      </c>
      <c r="C26" s="195">
        <f t="shared" si="0"/>
        <v>35</v>
      </c>
      <c r="D26" s="293">
        <f t="shared" si="1"/>
        <v>2</v>
      </c>
      <c r="E26" s="180">
        <v>0</v>
      </c>
      <c r="F26" s="188">
        <v>2</v>
      </c>
      <c r="G26" s="293">
        <v>0</v>
      </c>
      <c r="H26" s="320">
        <v>0</v>
      </c>
      <c r="I26" s="188">
        <v>15</v>
      </c>
      <c r="J26" s="293">
        <v>1</v>
      </c>
      <c r="K26" s="180">
        <v>2</v>
      </c>
      <c r="L26" s="188">
        <v>7</v>
      </c>
      <c r="M26" s="293">
        <v>2</v>
      </c>
      <c r="N26" s="320">
        <v>0</v>
      </c>
      <c r="O26" s="188">
        <v>11</v>
      </c>
      <c r="P26" s="293">
        <v>0</v>
      </c>
      <c r="Q26" s="180">
        <v>0</v>
      </c>
      <c r="R26" s="188">
        <v>0</v>
      </c>
      <c r="S26" s="293">
        <v>0</v>
      </c>
    </row>
    <row r="27" spans="1:19" ht="20.100000000000001" customHeight="1">
      <c r="A27" s="787" t="s">
        <v>597</v>
      </c>
      <c r="B27" s="317">
        <f t="shared" si="0"/>
        <v>0</v>
      </c>
      <c r="C27" s="195">
        <f t="shared" si="0"/>
        <v>43</v>
      </c>
      <c r="D27" s="293">
        <f t="shared" si="1"/>
        <v>0</v>
      </c>
      <c r="E27" s="180">
        <v>0</v>
      </c>
      <c r="F27" s="188">
        <v>3</v>
      </c>
      <c r="G27" s="293">
        <v>0</v>
      </c>
      <c r="H27" s="320">
        <v>0</v>
      </c>
      <c r="I27" s="188">
        <v>33</v>
      </c>
      <c r="J27" s="293">
        <v>2</v>
      </c>
      <c r="K27" s="180">
        <v>0</v>
      </c>
      <c r="L27" s="188">
        <v>3</v>
      </c>
      <c r="M27" s="293">
        <v>0</v>
      </c>
      <c r="N27" s="320">
        <v>0</v>
      </c>
      <c r="O27" s="188">
        <v>4</v>
      </c>
      <c r="P27" s="293">
        <v>0</v>
      </c>
      <c r="Q27" s="180">
        <v>0</v>
      </c>
      <c r="R27" s="188">
        <v>0</v>
      </c>
      <c r="S27" s="293">
        <v>0</v>
      </c>
    </row>
    <row r="28" spans="1:19" ht="20.100000000000001" customHeight="1">
      <c r="A28" s="787" t="s">
        <v>751</v>
      </c>
      <c r="B28" s="317">
        <f t="shared" si="0"/>
        <v>0</v>
      </c>
      <c r="C28" s="195">
        <f t="shared" si="0"/>
        <v>45</v>
      </c>
      <c r="D28" s="293">
        <f t="shared" si="1"/>
        <v>0</v>
      </c>
      <c r="E28" s="180">
        <v>0</v>
      </c>
      <c r="F28" s="188">
        <v>0</v>
      </c>
      <c r="G28" s="293">
        <v>0</v>
      </c>
      <c r="H28" s="320">
        <v>0</v>
      </c>
      <c r="I28" s="188">
        <v>19</v>
      </c>
      <c r="J28" s="293">
        <v>1</v>
      </c>
      <c r="K28" s="180">
        <v>0</v>
      </c>
      <c r="L28" s="188">
        <v>9</v>
      </c>
      <c r="M28" s="293">
        <v>2</v>
      </c>
      <c r="N28" s="320">
        <v>0</v>
      </c>
      <c r="O28" s="188">
        <v>16</v>
      </c>
      <c r="P28" s="293">
        <v>0</v>
      </c>
      <c r="Q28" s="180">
        <v>0</v>
      </c>
      <c r="R28" s="188">
        <v>1</v>
      </c>
      <c r="S28" s="293">
        <v>1</v>
      </c>
    </row>
    <row r="29" spans="1:19" ht="20.100000000000001" customHeight="1">
      <c r="A29" s="787" t="s">
        <v>599</v>
      </c>
      <c r="B29" s="317">
        <f t="shared" si="0"/>
        <v>0</v>
      </c>
      <c r="C29" s="195">
        <f t="shared" si="0"/>
        <v>57</v>
      </c>
      <c r="D29" s="293">
        <f t="shared" si="1"/>
        <v>0</v>
      </c>
      <c r="E29" s="180">
        <v>0</v>
      </c>
      <c r="F29" s="188">
        <v>1</v>
      </c>
      <c r="G29" s="293">
        <v>0</v>
      </c>
      <c r="H29" s="320">
        <v>0</v>
      </c>
      <c r="I29" s="188">
        <v>22</v>
      </c>
      <c r="J29" s="293">
        <v>1</v>
      </c>
      <c r="K29" s="180">
        <v>0</v>
      </c>
      <c r="L29" s="188">
        <v>12</v>
      </c>
      <c r="M29" s="293">
        <v>2</v>
      </c>
      <c r="N29" s="320">
        <v>0</v>
      </c>
      <c r="O29" s="188">
        <v>22</v>
      </c>
      <c r="P29" s="293">
        <v>0</v>
      </c>
      <c r="Q29" s="180">
        <v>0</v>
      </c>
      <c r="R29" s="188">
        <v>0</v>
      </c>
      <c r="S29" s="293">
        <v>0</v>
      </c>
    </row>
    <row r="30" spans="1:19" ht="20.100000000000001" customHeight="1" thickBot="1">
      <c r="A30" s="503" t="s">
        <v>600</v>
      </c>
      <c r="B30" s="317">
        <f t="shared" si="0"/>
        <v>0</v>
      </c>
      <c r="C30" s="195">
        <f t="shared" si="0"/>
        <v>35</v>
      </c>
      <c r="D30" s="219">
        <f t="shared" si="1"/>
        <v>0</v>
      </c>
      <c r="E30" s="192">
        <v>0</v>
      </c>
      <c r="F30" s="220">
        <v>2</v>
      </c>
      <c r="G30" s="219">
        <v>0</v>
      </c>
      <c r="H30" s="318">
        <v>0</v>
      </c>
      <c r="I30" s="220">
        <v>17</v>
      </c>
      <c r="J30" s="219">
        <v>0</v>
      </c>
      <c r="K30" s="192">
        <v>0</v>
      </c>
      <c r="L30" s="220">
        <v>3</v>
      </c>
      <c r="M30" s="219">
        <v>0</v>
      </c>
      <c r="N30" s="318">
        <v>0</v>
      </c>
      <c r="O30" s="220">
        <v>13</v>
      </c>
      <c r="P30" s="219">
        <v>0</v>
      </c>
      <c r="Q30" s="192">
        <v>0</v>
      </c>
      <c r="R30" s="220">
        <v>0</v>
      </c>
      <c r="S30" s="219">
        <v>0</v>
      </c>
    </row>
    <row r="31" spans="1:19" ht="20.100000000000001" customHeight="1" thickBot="1">
      <c r="A31" s="788" t="s">
        <v>635</v>
      </c>
      <c r="B31" s="294">
        <f t="shared" ref="B31:S31" si="2">SUM(B7:B30)</f>
        <v>5</v>
      </c>
      <c r="C31" s="271">
        <f t="shared" si="2"/>
        <v>1067</v>
      </c>
      <c r="D31" s="295">
        <f t="shared" si="2"/>
        <v>4</v>
      </c>
      <c r="E31" s="296">
        <f t="shared" si="2"/>
        <v>1</v>
      </c>
      <c r="F31" s="271">
        <f t="shared" si="2"/>
        <v>81</v>
      </c>
      <c r="G31" s="295">
        <f t="shared" si="2"/>
        <v>6</v>
      </c>
      <c r="H31" s="294">
        <f t="shared" si="2"/>
        <v>1</v>
      </c>
      <c r="I31" s="271">
        <f t="shared" si="2"/>
        <v>391</v>
      </c>
      <c r="J31" s="295">
        <f t="shared" si="2"/>
        <v>29</v>
      </c>
      <c r="K31" s="296">
        <f t="shared" si="2"/>
        <v>3</v>
      </c>
      <c r="L31" s="271">
        <f t="shared" si="2"/>
        <v>224</v>
      </c>
      <c r="M31" s="295">
        <f t="shared" si="2"/>
        <v>50</v>
      </c>
      <c r="N31" s="294">
        <f t="shared" si="2"/>
        <v>0</v>
      </c>
      <c r="O31" s="271">
        <f t="shared" si="2"/>
        <v>363</v>
      </c>
      <c r="P31" s="295">
        <f t="shared" si="2"/>
        <v>9</v>
      </c>
      <c r="Q31" s="296">
        <f t="shared" si="2"/>
        <v>0</v>
      </c>
      <c r="R31" s="271">
        <f t="shared" si="2"/>
        <v>8</v>
      </c>
      <c r="S31" s="295">
        <f t="shared" si="2"/>
        <v>1</v>
      </c>
    </row>
    <row r="32" spans="1:19" s="1889" customFormat="1" ht="17.25" customHeight="1">
      <c r="A32" s="1896" t="s">
        <v>930</v>
      </c>
      <c r="B32" s="1922"/>
      <c r="C32" s="1922"/>
      <c r="D32" s="1922"/>
      <c r="E32" s="1922"/>
      <c r="F32" s="1922"/>
      <c r="G32" s="1922"/>
      <c r="H32" s="1922"/>
      <c r="I32" s="1922"/>
      <c r="J32" s="1922"/>
      <c r="K32" s="1922"/>
      <c r="L32" s="1922"/>
      <c r="M32" s="1922"/>
      <c r="N32" s="1922"/>
      <c r="O32" s="1922"/>
      <c r="P32" s="1922"/>
      <c r="Q32" s="1922"/>
      <c r="R32" s="1922"/>
    </row>
    <row r="33" spans="1:18" s="1889" customFormat="1" ht="18">
      <c r="A33" s="1888" t="s">
        <v>916</v>
      </c>
      <c r="B33" s="1888"/>
      <c r="C33" s="1888"/>
      <c r="D33" s="1888"/>
      <c r="E33" s="1888"/>
      <c r="F33" s="1888"/>
      <c r="G33" s="1888"/>
      <c r="H33" s="1888"/>
      <c r="I33" s="1888"/>
      <c r="J33" s="1888"/>
      <c r="K33" s="1888"/>
      <c r="L33" s="1888"/>
      <c r="M33" s="1888"/>
      <c r="N33" s="1888"/>
      <c r="O33" s="1888"/>
      <c r="P33" s="1888"/>
      <c r="Q33" s="1888"/>
      <c r="R33" s="1888"/>
    </row>
  </sheetData>
  <mergeCells count="22">
    <mergeCell ref="Q2:S2"/>
    <mergeCell ref="B3:D4"/>
    <mergeCell ref="E3:S3"/>
    <mergeCell ref="E4:G4"/>
    <mergeCell ref="H4:J4"/>
    <mergeCell ref="K4:M4"/>
    <mergeCell ref="N4:P4"/>
    <mergeCell ref="Q4:S4"/>
    <mergeCell ref="A33:R33"/>
    <mergeCell ref="A32:R32"/>
    <mergeCell ref="K5:K6"/>
    <mergeCell ref="L5:L6"/>
    <mergeCell ref="N5:N6"/>
    <mergeCell ref="O5:O6"/>
    <mergeCell ref="Q5:Q6"/>
    <mergeCell ref="R5:R6"/>
    <mergeCell ref="B5:B6"/>
    <mergeCell ref="C5:C6"/>
    <mergeCell ref="E5:E6"/>
    <mergeCell ref="F5:F6"/>
    <mergeCell ref="H5:H6"/>
    <mergeCell ref="I5:I6"/>
  </mergeCells>
  <phoneticPr fontId="4"/>
  <printOptions horizontalCentered="1"/>
  <pageMargins left="0.78740157480314965" right="0.39370078740157483" top="0.98425196850393704" bottom="0.98425196850393704" header="0.31496062992125984" footer="0.51181102362204722"/>
  <pageSetup paperSize="9" scale="65" orientation="portrait" r:id="rId1"/>
  <headerFooter scaleWithDoc="0" alignWithMargins="0">
    <oddFooter>&amp;C- &amp;P -</oddFooter>
  </headerFooter>
  <colBreaks count="1" manualBreakCount="1">
    <brk id="19" max="30" man="1"/>
  </col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A10976-825E-45F0-8098-541EB9E8E752}">
  <sheetPr>
    <pageSetUpPr fitToPage="1"/>
  </sheetPr>
  <dimension ref="A1:L30"/>
  <sheetViews>
    <sheetView view="pageBreakPreview" topLeftCell="A21" zoomScale="90" zoomScaleNormal="100" zoomScaleSheetLayoutView="90" workbookViewId="0">
      <selection activeCell="G37" sqref="G37:G38"/>
    </sheetView>
  </sheetViews>
  <sheetFormatPr defaultColWidth="9" defaultRowHeight="13.8"/>
  <cols>
    <col min="1" max="1" width="2.6640625" style="497" customWidth="1"/>
    <col min="2" max="2" width="3" style="497" customWidth="1"/>
    <col min="3" max="3" width="30.44140625" style="497" customWidth="1"/>
    <col min="4" max="6" width="13.109375" style="497" customWidth="1"/>
    <col min="7" max="7" width="14.6640625" style="497" customWidth="1"/>
    <col min="8" max="8" width="13.21875" style="497" customWidth="1"/>
    <col min="9" max="16384" width="9" style="497"/>
  </cols>
  <sheetData>
    <row r="1" spans="1:7" ht="15">
      <c r="A1" s="650" t="s">
        <v>421</v>
      </c>
    </row>
    <row r="2" spans="1:7" ht="14.4" thickBot="1"/>
    <row r="3" spans="1:7" ht="9.75" customHeight="1" thickBot="1">
      <c r="A3" s="1420" t="s">
        <v>619</v>
      </c>
      <c r="B3" s="1259"/>
      <c r="C3" s="1497"/>
      <c r="D3" s="1390" t="s">
        <v>753</v>
      </c>
      <c r="E3" s="1390" t="s">
        <v>754</v>
      </c>
      <c r="F3" s="1470" t="s">
        <v>755</v>
      </c>
      <c r="G3" s="846"/>
    </row>
    <row r="4" spans="1:7">
      <c r="A4" s="1333"/>
      <c r="B4" s="1510"/>
      <c r="C4" s="1716"/>
      <c r="D4" s="1672"/>
      <c r="E4" s="1672"/>
      <c r="F4" s="1672"/>
      <c r="G4" s="1430" t="s">
        <v>741</v>
      </c>
    </row>
    <row r="5" spans="1:7" ht="14.4" thickBot="1">
      <c r="A5" s="1498" t="s">
        <v>792</v>
      </c>
      <c r="B5" s="1301"/>
      <c r="C5" s="1499"/>
      <c r="D5" s="1646"/>
      <c r="E5" s="1646"/>
      <c r="F5" s="1646"/>
      <c r="G5" s="1673"/>
    </row>
    <row r="6" spans="1:7" ht="20.100000000000001" customHeight="1">
      <c r="A6" s="774"/>
      <c r="B6" s="544" t="s">
        <v>702</v>
      </c>
      <c r="C6" s="545"/>
      <c r="D6" s="278">
        <v>1</v>
      </c>
      <c r="E6" s="278">
        <v>0</v>
      </c>
      <c r="F6" s="278">
        <v>1</v>
      </c>
      <c r="G6" s="278">
        <v>0</v>
      </c>
    </row>
    <row r="7" spans="1:7" ht="20.100000000000001" customHeight="1">
      <c r="A7" s="546"/>
      <c r="B7" s="527" t="s">
        <v>704</v>
      </c>
      <c r="C7" s="530"/>
      <c r="D7" s="279">
        <v>0</v>
      </c>
      <c r="E7" s="279">
        <v>0</v>
      </c>
      <c r="F7" s="279">
        <v>0</v>
      </c>
      <c r="G7" s="279">
        <v>0</v>
      </c>
    </row>
    <row r="8" spans="1:7" ht="20.100000000000001" customHeight="1">
      <c r="A8" s="546"/>
      <c r="B8" s="1647" t="s">
        <v>756</v>
      </c>
      <c r="C8" s="530" t="s">
        <v>757</v>
      </c>
      <c r="D8" s="279">
        <v>0</v>
      </c>
      <c r="E8" s="279">
        <v>0</v>
      </c>
      <c r="F8" s="279">
        <v>0</v>
      </c>
      <c r="G8" s="279">
        <v>0</v>
      </c>
    </row>
    <row r="9" spans="1:7" ht="20.100000000000001" customHeight="1">
      <c r="A9" s="524" t="s">
        <v>726</v>
      </c>
      <c r="B9" s="1647"/>
      <c r="C9" s="530" t="s">
        <v>758</v>
      </c>
      <c r="D9" s="279">
        <v>0</v>
      </c>
      <c r="E9" s="279">
        <v>0</v>
      </c>
      <c r="F9" s="279">
        <v>0</v>
      </c>
      <c r="G9" s="279">
        <v>0</v>
      </c>
    </row>
    <row r="10" spans="1:7" ht="20.100000000000001" customHeight="1">
      <c r="A10" s="524"/>
      <c r="B10" s="1647"/>
      <c r="C10" s="530" t="s">
        <v>793</v>
      </c>
      <c r="D10" s="279">
        <v>0</v>
      </c>
      <c r="E10" s="279">
        <v>0</v>
      </c>
      <c r="F10" s="279">
        <v>0</v>
      </c>
      <c r="G10" s="279">
        <v>0</v>
      </c>
    </row>
    <row r="11" spans="1:7" ht="20.100000000000001" customHeight="1">
      <c r="A11" s="524" t="s">
        <v>729</v>
      </c>
      <c r="B11" s="1647"/>
      <c r="C11" s="530" t="s">
        <v>760</v>
      </c>
      <c r="D11" s="279">
        <v>0</v>
      </c>
      <c r="E11" s="279">
        <v>0</v>
      </c>
      <c r="F11" s="279">
        <v>0</v>
      </c>
      <c r="G11" s="279">
        <v>0</v>
      </c>
    </row>
    <row r="12" spans="1:7" ht="20.100000000000001" customHeight="1">
      <c r="A12" s="524"/>
      <c r="B12" s="1647"/>
      <c r="C12" s="530" t="s">
        <v>761</v>
      </c>
      <c r="D12" s="279">
        <v>0</v>
      </c>
      <c r="E12" s="279">
        <v>0</v>
      </c>
      <c r="F12" s="279">
        <v>0</v>
      </c>
      <c r="G12" s="279">
        <v>0</v>
      </c>
    </row>
    <row r="13" spans="1:7" ht="20.100000000000001" customHeight="1">
      <c r="A13" s="546" t="s">
        <v>762</v>
      </c>
      <c r="B13" s="527" t="s">
        <v>763</v>
      </c>
      <c r="C13" s="530"/>
      <c r="D13" s="279">
        <v>0</v>
      </c>
      <c r="E13" s="279">
        <v>0</v>
      </c>
      <c r="F13" s="279">
        <v>0</v>
      </c>
      <c r="G13" s="279">
        <v>0</v>
      </c>
    </row>
    <row r="14" spans="1:7" ht="20.100000000000001" customHeight="1">
      <c r="A14" s="546"/>
      <c r="B14" s="527" t="s">
        <v>733</v>
      </c>
      <c r="C14" s="530"/>
      <c r="D14" s="279">
        <v>0</v>
      </c>
      <c r="E14" s="279">
        <v>0</v>
      </c>
      <c r="F14" s="279">
        <v>0</v>
      </c>
      <c r="G14" s="279">
        <v>0</v>
      </c>
    </row>
    <row r="15" spans="1:7" ht="20.100000000000001" customHeight="1">
      <c r="A15" s="546"/>
      <c r="B15" s="527" t="s">
        <v>734</v>
      </c>
      <c r="C15" s="530"/>
      <c r="D15" s="279">
        <v>0</v>
      </c>
      <c r="E15" s="279">
        <v>0</v>
      </c>
      <c r="F15" s="279">
        <v>0</v>
      </c>
      <c r="G15" s="279">
        <v>0</v>
      </c>
    </row>
    <row r="16" spans="1:7" ht="20.100000000000001" customHeight="1" thickBot="1">
      <c r="A16" s="546"/>
      <c r="B16" s="527" t="s">
        <v>659</v>
      </c>
      <c r="C16" s="530"/>
      <c r="D16" s="279">
        <v>1</v>
      </c>
      <c r="E16" s="279">
        <v>1</v>
      </c>
      <c r="F16" s="279">
        <v>0</v>
      </c>
      <c r="G16" s="279">
        <v>0</v>
      </c>
    </row>
    <row r="17" spans="1:12" ht="20.100000000000001" customHeight="1">
      <c r="A17" s="652"/>
      <c r="B17" s="544" t="s">
        <v>702</v>
      </c>
      <c r="C17" s="545"/>
      <c r="D17" s="278">
        <v>14</v>
      </c>
      <c r="E17" s="278">
        <v>0</v>
      </c>
      <c r="F17" s="278">
        <v>15</v>
      </c>
      <c r="G17" s="278">
        <v>6</v>
      </c>
    </row>
    <row r="18" spans="1:12" ht="20.100000000000001" customHeight="1">
      <c r="A18" s="524" t="s">
        <v>764</v>
      </c>
      <c r="B18" s="527" t="s">
        <v>704</v>
      </c>
      <c r="C18" s="530"/>
      <c r="D18" s="279">
        <v>1</v>
      </c>
      <c r="E18" s="279">
        <v>0</v>
      </c>
      <c r="F18" s="279">
        <v>1</v>
      </c>
      <c r="G18" s="279">
        <v>0</v>
      </c>
    </row>
    <row r="19" spans="1:12" ht="20.100000000000001" customHeight="1">
      <c r="A19" s="524" t="s">
        <v>765</v>
      </c>
      <c r="B19" s="527" t="s">
        <v>766</v>
      </c>
      <c r="C19" s="530"/>
      <c r="D19" s="279">
        <v>0</v>
      </c>
      <c r="E19" s="279">
        <v>0</v>
      </c>
      <c r="F19" s="279">
        <v>0</v>
      </c>
      <c r="G19" s="279">
        <v>0</v>
      </c>
    </row>
    <row r="20" spans="1:12" ht="20.100000000000001" customHeight="1">
      <c r="A20" s="524" t="s">
        <v>705</v>
      </c>
      <c r="B20" s="527" t="s">
        <v>767</v>
      </c>
      <c r="C20" s="530"/>
      <c r="D20" s="279">
        <v>0</v>
      </c>
      <c r="E20" s="279">
        <v>0</v>
      </c>
      <c r="F20" s="279">
        <v>0</v>
      </c>
      <c r="G20" s="279">
        <v>0</v>
      </c>
    </row>
    <row r="21" spans="1:12" ht="20.100000000000001" customHeight="1">
      <c r="A21" s="524" t="s">
        <v>768</v>
      </c>
      <c r="B21" s="527" t="s">
        <v>769</v>
      </c>
      <c r="C21" s="530"/>
      <c r="D21" s="279">
        <v>0</v>
      </c>
      <c r="E21" s="279">
        <v>0</v>
      </c>
      <c r="F21" s="279">
        <v>0</v>
      </c>
      <c r="G21" s="279">
        <v>0</v>
      </c>
    </row>
    <row r="22" spans="1:12" ht="20.100000000000001" customHeight="1">
      <c r="A22" s="524" t="s">
        <v>770</v>
      </c>
      <c r="B22" s="527" t="s">
        <v>771</v>
      </c>
      <c r="C22" s="530"/>
      <c r="D22" s="279">
        <v>0</v>
      </c>
      <c r="E22" s="279">
        <v>0</v>
      </c>
      <c r="F22" s="279">
        <v>0</v>
      </c>
      <c r="G22" s="279">
        <v>0</v>
      </c>
      <c r="L22" s="1884"/>
    </row>
    <row r="23" spans="1:12" ht="20.100000000000001" customHeight="1">
      <c r="A23" s="524" t="s">
        <v>762</v>
      </c>
      <c r="B23" s="527" t="s">
        <v>716</v>
      </c>
      <c r="C23" s="530"/>
      <c r="D23" s="279">
        <v>15</v>
      </c>
      <c r="E23" s="279">
        <v>1</v>
      </c>
      <c r="F23" s="279">
        <v>14</v>
      </c>
      <c r="G23" s="279">
        <v>1</v>
      </c>
      <c r="L23" s="1884"/>
    </row>
    <row r="24" spans="1:12" ht="20.100000000000001" customHeight="1">
      <c r="A24" s="524"/>
      <c r="B24" s="527" t="s">
        <v>772</v>
      </c>
      <c r="C24" s="530"/>
      <c r="D24" s="279">
        <v>2</v>
      </c>
      <c r="E24" s="279">
        <v>0</v>
      </c>
      <c r="F24" s="279">
        <v>2</v>
      </c>
      <c r="G24" s="279">
        <v>0</v>
      </c>
    </row>
    <row r="25" spans="1:12" ht="20.100000000000001" customHeight="1">
      <c r="A25" s="524"/>
      <c r="B25" s="527" t="s">
        <v>724</v>
      </c>
      <c r="C25" s="530"/>
      <c r="D25" s="279">
        <v>58</v>
      </c>
      <c r="E25" s="279">
        <v>0</v>
      </c>
      <c r="F25" s="279">
        <v>62</v>
      </c>
      <c r="G25" s="279">
        <v>12</v>
      </c>
    </row>
    <row r="26" spans="1:12" ht="20.100000000000001" customHeight="1" thickBot="1">
      <c r="A26" s="524"/>
      <c r="B26" s="532" t="s">
        <v>659</v>
      </c>
      <c r="C26" s="505"/>
      <c r="D26" s="290">
        <v>50</v>
      </c>
      <c r="E26" s="290">
        <v>0</v>
      </c>
      <c r="F26" s="290">
        <v>53</v>
      </c>
      <c r="G26" s="290">
        <v>7</v>
      </c>
    </row>
    <row r="27" spans="1:12" ht="20.100000000000001" customHeight="1" thickBot="1">
      <c r="A27" s="1007" t="s">
        <v>815</v>
      </c>
      <c r="B27" s="561"/>
      <c r="C27" s="761"/>
      <c r="D27" s="282">
        <v>794</v>
      </c>
      <c r="E27" s="282">
        <v>3</v>
      </c>
      <c r="F27" s="282">
        <v>936</v>
      </c>
      <c r="G27" s="282">
        <v>75</v>
      </c>
    </row>
    <row r="28" spans="1:12" ht="20.100000000000001" customHeight="1" thickBot="1">
      <c r="A28" s="549" t="s">
        <v>774</v>
      </c>
      <c r="B28" s="550"/>
      <c r="C28" s="550"/>
      <c r="D28" s="282">
        <f>SUM(D6:D27)</f>
        <v>936</v>
      </c>
      <c r="E28" s="282">
        <f>SUM(E6:E27)</f>
        <v>5</v>
      </c>
      <c r="F28" s="282">
        <f>SUM(F6:F27)</f>
        <v>1084</v>
      </c>
      <c r="G28" s="282">
        <f>SUM(G6:G27)</f>
        <v>101</v>
      </c>
    </row>
    <row r="29" spans="1:12" s="1946" customFormat="1" ht="14.4" customHeight="1">
      <c r="A29" s="1982" t="s">
        <v>932</v>
      </c>
      <c r="B29" s="1982"/>
      <c r="C29" s="1982"/>
      <c r="D29" s="1982"/>
      <c r="E29" s="1982"/>
      <c r="F29" s="1982"/>
      <c r="G29" s="1982"/>
    </row>
    <row r="30" spans="1:12" s="1946" customFormat="1" ht="14.4" customHeight="1">
      <c r="A30" s="1983" t="s">
        <v>933</v>
      </c>
      <c r="B30" s="1983"/>
      <c r="C30" s="1983"/>
      <c r="D30" s="1983"/>
      <c r="E30" s="1983"/>
      <c r="F30" s="1983"/>
      <c r="G30" s="1983"/>
    </row>
  </sheetData>
  <mergeCells count="9">
    <mergeCell ref="F3:F5"/>
    <mergeCell ref="G4:G5"/>
    <mergeCell ref="A5:C5"/>
    <mergeCell ref="B8:B12"/>
    <mergeCell ref="A3:C4"/>
    <mergeCell ref="D3:D5"/>
    <mergeCell ref="E3:E5"/>
    <mergeCell ref="A29:G29"/>
    <mergeCell ref="A30:G30"/>
  </mergeCells>
  <phoneticPr fontId="4"/>
  <printOptions horizontalCentered="1"/>
  <pageMargins left="0.78740157480314965" right="0.39370078740157483" top="0.98425196850393704" bottom="0.98425196850393704" header="0.31496062992125984" footer="0.51181102362204722"/>
  <pageSetup paperSize="9" orientation="portrait" r:id="rId1"/>
  <headerFooter scaleWithDoc="0" alignWithMargins="0">
    <oddFooter>&amp;C- &amp;P -</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B3EC5-6BE6-4D48-8384-F343F867881E}">
  <sheetPr>
    <pageSetUpPr fitToPage="1"/>
  </sheetPr>
  <dimension ref="A1:T37"/>
  <sheetViews>
    <sheetView topLeftCell="A22" zoomScaleNormal="100" zoomScaleSheetLayoutView="90" workbookViewId="0">
      <selection activeCell="A12" sqref="A12:XFD14"/>
    </sheetView>
  </sheetViews>
  <sheetFormatPr defaultColWidth="9" defaultRowHeight="13.8"/>
  <cols>
    <col min="1" max="1" width="1.6640625" style="497" customWidth="1"/>
    <col min="2" max="2" width="14.77734375" style="497" customWidth="1"/>
    <col min="3" max="15" width="6.6640625" style="497" customWidth="1"/>
    <col min="16" max="16" width="2.44140625" style="497" customWidth="1"/>
    <col min="17" max="16384" width="9" style="497"/>
  </cols>
  <sheetData>
    <row r="1" spans="1:15" ht="17.25" customHeight="1">
      <c r="A1" s="650" t="s">
        <v>422</v>
      </c>
      <c r="B1" s="650"/>
      <c r="C1" s="779"/>
      <c r="D1" s="779"/>
      <c r="E1" s="779"/>
      <c r="F1" s="779"/>
      <c r="G1" s="779"/>
      <c r="H1" s="779"/>
      <c r="I1" s="779"/>
      <c r="J1" s="779"/>
      <c r="K1" s="779"/>
    </row>
    <row r="2" spans="1:15">
      <c r="A2" s="779"/>
      <c r="B2" s="779"/>
      <c r="C2" s="779"/>
      <c r="D2" s="779"/>
      <c r="E2" s="779"/>
      <c r="F2" s="779"/>
      <c r="G2" s="779"/>
      <c r="H2" s="779"/>
      <c r="I2" s="779"/>
      <c r="J2" s="779"/>
      <c r="K2" s="779"/>
    </row>
    <row r="3" spans="1:15" ht="15.6" thickBot="1">
      <c r="A3" s="650" t="s">
        <v>423</v>
      </c>
      <c r="B3" s="650"/>
      <c r="C3" s="779"/>
      <c r="D3" s="779"/>
      <c r="E3" s="779"/>
      <c r="F3" s="779"/>
      <c r="G3" s="779"/>
      <c r="H3" s="779"/>
      <c r="I3" s="779"/>
      <c r="J3" s="779"/>
      <c r="K3" s="779"/>
    </row>
    <row r="4" spans="1:15" ht="19.5" customHeight="1">
      <c r="A4" s="1654" t="s">
        <v>608</v>
      </c>
      <c r="B4" s="1704"/>
      <c r="C4" s="1746" t="s">
        <v>735</v>
      </c>
      <c r="D4" s="1549" t="s">
        <v>817</v>
      </c>
      <c r="E4" s="1549" t="s">
        <v>818</v>
      </c>
      <c r="F4" s="1549" t="s">
        <v>610</v>
      </c>
      <c r="G4" s="1549" t="s">
        <v>611</v>
      </c>
      <c r="H4" s="1549" t="s">
        <v>612</v>
      </c>
      <c r="I4" s="1549" t="s">
        <v>819</v>
      </c>
      <c r="J4" s="1549" t="s">
        <v>614</v>
      </c>
      <c r="K4" s="1744" t="s">
        <v>615</v>
      </c>
      <c r="L4" s="1649" t="s">
        <v>424</v>
      </c>
      <c r="M4" s="1649" t="s">
        <v>425</v>
      </c>
      <c r="N4" s="1651" t="s">
        <v>516</v>
      </c>
      <c r="O4" s="1648" t="s">
        <v>559</v>
      </c>
    </row>
    <row r="5" spans="1:15" ht="17.25" customHeight="1">
      <c r="A5" s="851" t="s">
        <v>619</v>
      </c>
      <c r="B5" s="852"/>
      <c r="C5" s="1747"/>
      <c r="D5" s="1743"/>
      <c r="E5" s="1743"/>
      <c r="F5" s="1743"/>
      <c r="G5" s="1743"/>
      <c r="H5" s="1743"/>
      <c r="I5" s="1743"/>
      <c r="J5" s="1743"/>
      <c r="K5" s="1745"/>
      <c r="L5" s="1742"/>
      <c r="M5" s="1742"/>
      <c r="N5" s="1718"/>
      <c r="O5" s="1717"/>
    </row>
    <row r="6" spans="1:15" ht="27.75" customHeight="1">
      <c r="A6" s="1489" t="s">
        <v>573</v>
      </c>
      <c r="B6" s="1297"/>
      <c r="C6" s="35">
        <v>6692</v>
      </c>
      <c r="D6" s="189">
        <v>1261</v>
      </c>
      <c r="E6" s="189">
        <v>1309</v>
      </c>
      <c r="F6" s="190">
        <v>1217</v>
      </c>
      <c r="G6" s="188">
        <v>1096</v>
      </c>
      <c r="H6" s="189">
        <v>1170</v>
      </c>
      <c r="I6" s="189">
        <v>1111</v>
      </c>
      <c r="J6" s="189">
        <v>865</v>
      </c>
      <c r="K6" s="190">
        <v>813</v>
      </c>
      <c r="L6" s="188">
        <v>892</v>
      </c>
      <c r="M6" s="188">
        <v>926</v>
      </c>
      <c r="N6" s="189">
        <v>884</v>
      </c>
      <c r="O6" s="217">
        <v>972</v>
      </c>
    </row>
    <row r="7" spans="1:15" ht="28.5" customHeight="1">
      <c r="A7" s="1489" t="s">
        <v>738</v>
      </c>
      <c r="B7" s="1297"/>
      <c r="C7" s="35">
        <v>176</v>
      </c>
      <c r="D7" s="189">
        <v>28</v>
      </c>
      <c r="E7" s="189">
        <v>16</v>
      </c>
      <c r="F7" s="190">
        <v>18</v>
      </c>
      <c r="G7" s="188">
        <v>17</v>
      </c>
      <c r="H7" s="189">
        <v>15</v>
      </c>
      <c r="I7" s="189">
        <v>16</v>
      </c>
      <c r="J7" s="189">
        <v>16</v>
      </c>
      <c r="K7" s="190">
        <v>16</v>
      </c>
      <c r="L7" s="188">
        <v>12</v>
      </c>
      <c r="M7" s="188">
        <v>17</v>
      </c>
      <c r="N7" s="189">
        <v>16</v>
      </c>
      <c r="O7" s="217">
        <v>14</v>
      </c>
    </row>
    <row r="8" spans="1:15" ht="27.75" customHeight="1">
      <c r="A8" s="1618" t="s">
        <v>739</v>
      </c>
      <c r="B8" s="1297"/>
      <c r="C8" s="36">
        <v>27</v>
      </c>
      <c r="D8" s="189">
        <v>1253</v>
      </c>
      <c r="E8" s="189">
        <v>1320</v>
      </c>
      <c r="F8" s="190">
        <v>1239</v>
      </c>
      <c r="G8" s="188">
        <v>1098</v>
      </c>
      <c r="H8" s="189">
        <v>1177</v>
      </c>
      <c r="I8" s="189">
        <v>1113</v>
      </c>
      <c r="J8" s="189">
        <v>876</v>
      </c>
      <c r="K8" s="190">
        <v>811</v>
      </c>
      <c r="L8" s="188">
        <v>899</v>
      </c>
      <c r="M8" s="188">
        <v>940</v>
      </c>
      <c r="N8" s="189">
        <v>883</v>
      </c>
      <c r="O8" s="217">
        <v>976</v>
      </c>
    </row>
    <row r="9" spans="1:15" ht="27.75" customHeight="1">
      <c r="A9" s="853"/>
      <c r="B9" s="626" t="s">
        <v>775</v>
      </c>
      <c r="C9" s="72" t="s">
        <v>11</v>
      </c>
      <c r="D9" s="303" t="s">
        <v>404</v>
      </c>
      <c r="E9" s="303" t="s">
        <v>404</v>
      </c>
      <c r="F9" s="304" t="s">
        <v>404</v>
      </c>
      <c r="G9" s="191" t="s">
        <v>404</v>
      </c>
      <c r="H9" s="189">
        <v>212</v>
      </c>
      <c r="I9" s="189">
        <v>182</v>
      </c>
      <c r="J9" s="189">
        <v>165</v>
      </c>
      <c r="K9" s="190">
        <v>166</v>
      </c>
      <c r="L9" s="188">
        <v>176</v>
      </c>
      <c r="M9" s="188">
        <v>178</v>
      </c>
      <c r="N9" s="189">
        <v>182</v>
      </c>
      <c r="O9" s="217">
        <v>177</v>
      </c>
    </row>
    <row r="10" spans="1:15" ht="29.25" customHeight="1">
      <c r="A10" s="1489" t="s">
        <v>742</v>
      </c>
      <c r="B10" s="1297"/>
      <c r="C10" s="320">
        <v>280</v>
      </c>
      <c r="D10" s="189">
        <v>51</v>
      </c>
      <c r="E10" s="189">
        <v>51</v>
      </c>
      <c r="F10" s="190">
        <v>49</v>
      </c>
      <c r="G10" s="188">
        <v>44</v>
      </c>
      <c r="H10" s="189">
        <v>44</v>
      </c>
      <c r="I10" s="189">
        <v>34</v>
      </c>
      <c r="J10" s="189">
        <v>37</v>
      </c>
      <c r="K10" s="190">
        <v>43</v>
      </c>
      <c r="L10" s="188">
        <v>40</v>
      </c>
      <c r="M10" s="188">
        <v>40</v>
      </c>
      <c r="N10" s="189">
        <v>43</v>
      </c>
      <c r="O10" s="217">
        <v>43</v>
      </c>
    </row>
    <row r="11" spans="1:15" ht="39" customHeight="1" thickBot="1">
      <c r="A11" s="1611" t="s">
        <v>743</v>
      </c>
      <c r="B11" s="1656"/>
      <c r="C11" s="854">
        <f t="shared" ref="C11:M11" si="0">C7/C10*100</f>
        <v>62.857142857142854</v>
      </c>
      <c r="D11" s="653">
        <f t="shared" si="0"/>
        <v>54.901960784313729</v>
      </c>
      <c r="E11" s="608">
        <f t="shared" si="0"/>
        <v>31.372549019607842</v>
      </c>
      <c r="F11" s="608">
        <f t="shared" si="0"/>
        <v>36.734693877551024</v>
      </c>
      <c r="G11" s="608">
        <f t="shared" si="0"/>
        <v>38.636363636363633</v>
      </c>
      <c r="H11" s="653">
        <f t="shared" si="0"/>
        <v>34.090909090909086</v>
      </c>
      <c r="I11" s="653">
        <f t="shared" si="0"/>
        <v>47.058823529411761</v>
      </c>
      <c r="J11" s="653">
        <f t="shared" si="0"/>
        <v>43.243243243243242</v>
      </c>
      <c r="K11" s="855">
        <f t="shared" si="0"/>
        <v>37.209302325581397</v>
      </c>
      <c r="L11" s="608">
        <f t="shared" si="0"/>
        <v>30</v>
      </c>
      <c r="M11" s="608">
        <f t="shared" si="0"/>
        <v>42.5</v>
      </c>
      <c r="N11" s="653">
        <f>N7/N10*100</f>
        <v>37.209302325581397</v>
      </c>
      <c r="O11" s="559">
        <f>O7/O10*100</f>
        <v>32.558139534883722</v>
      </c>
    </row>
    <row r="12" spans="1:15" s="1890" customFormat="1" ht="16.2">
      <c r="A12" s="1890" t="s">
        <v>934</v>
      </c>
    </row>
    <row r="13" spans="1:15" s="1890" customFormat="1" ht="16.2">
      <c r="A13" s="1938" t="s">
        <v>935</v>
      </c>
      <c r="B13" s="1938"/>
      <c r="C13" s="1938"/>
      <c r="D13" s="1938"/>
      <c r="E13" s="1938"/>
      <c r="F13" s="1938"/>
      <c r="G13" s="1938"/>
      <c r="H13" s="1938"/>
      <c r="I13" s="1938"/>
      <c r="J13" s="1938"/>
      <c r="K13" s="1938"/>
      <c r="L13" s="1938"/>
      <c r="M13" s="1938"/>
      <c r="N13" s="1938"/>
      <c r="O13" s="1938"/>
    </row>
    <row r="14" spans="1:15" s="1890" customFormat="1" ht="16.2">
      <c r="A14" s="1890" t="s">
        <v>918</v>
      </c>
    </row>
    <row r="15" spans="1:15" ht="31.5" customHeight="1">
      <c r="C15" s="779"/>
      <c r="D15" s="779"/>
      <c r="E15" s="779"/>
      <c r="F15" s="779"/>
      <c r="G15" s="779"/>
      <c r="H15" s="779"/>
      <c r="I15" s="779"/>
      <c r="J15" s="779"/>
      <c r="K15" s="779"/>
      <c r="L15" s="779"/>
    </row>
    <row r="16" spans="1:15" ht="15.6" thickBot="1">
      <c r="A16" s="779"/>
      <c r="B16" s="779"/>
      <c r="C16" s="650" t="s">
        <v>426</v>
      </c>
    </row>
    <row r="17" spans="1:20" ht="8.25" customHeight="1">
      <c r="A17" s="779"/>
      <c r="B17" s="779"/>
      <c r="C17" s="856"/>
      <c r="D17" s="857"/>
      <c r="E17" s="649"/>
      <c r="F17" s="649"/>
      <c r="G17" s="1733" t="s">
        <v>332</v>
      </c>
      <c r="H17" s="1291" t="s">
        <v>800</v>
      </c>
      <c r="I17" s="1735"/>
      <c r="J17" s="1305" t="s">
        <v>820</v>
      </c>
      <c r="K17" s="1735"/>
      <c r="L17" s="1305" t="s">
        <v>821</v>
      </c>
      <c r="M17" s="1482"/>
      <c r="N17" s="1306"/>
      <c r="O17" s="1739"/>
    </row>
    <row r="18" spans="1:20" ht="42.75" customHeight="1" thickBot="1">
      <c r="A18" s="779"/>
      <c r="B18" s="779"/>
      <c r="C18" s="858" t="s">
        <v>427</v>
      </c>
      <c r="D18" s="849"/>
      <c r="E18" s="651"/>
      <c r="F18" s="651"/>
      <c r="G18" s="1734"/>
      <c r="H18" s="1736"/>
      <c r="I18" s="1737"/>
      <c r="J18" s="1738"/>
      <c r="K18" s="1737"/>
      <c r="L18" s="1738"/>
      <c r="M18" s="1737"/>
      <c r="N18" s="1740" t="s">
        <v>741</v>
      </c>
      <c r="O18" s="1741"/>
    </row>
    <row r="19" spans="1:20" ht="27" customHeight="1" thickBot="1">
      <c r="A19" s="779"/>
      <c r="B19" s="779"/>
      <c r="C19" s="549" t="s">
        <v>822</v>
      </c>
      <c r="D19" s="550"/>
      <c r="E19" s="550"/>
      <c r="F19" s="550"/>
      <c r="G19" s="859"/>
      <c r="H19" s="1723">
        <f>SUM(H20:I30)</f>
        <v>972</v>
      </c>
      <c r="I19" s="1724"/>
      <c r="J19" s="1725">
        <f>SUM(J20:K30)</f>
        <v>14</v>
      </c>
      <c r="K19" s="1726"/>
      <c r="L19" s="1727">
        <f>SUM(L20:M30)</f>
        <v>976</v>
      </c>
      <c r="M19" s="1724"/>
      <c r="N19" s="1725">
        <f>SUM(N20:O30)</f>
        <v>177</v>
      </c>
      <c r="O19" s="1728"/>
    </row>
    <row r="20" spans="1:20" ht="25.5" customHeight="1">
      <c r="A20" s="779"/>
      <c r="B20" s="779"/>
      <c r="C20" s="508"/>
      <c r="D20" s="698" t="s">
        <v>653</v>
      </c>
      <c r="E20" s="860"/>
      <c r="F20" s="500"/>
      <c r="G20" s="548"/>
      <c r="H20" s="1729">
        <v>136</v>
      </c>
      <c r="I20" s="1730"/>
      <c r="J20" s="1731">
        <v>0</v>
      </c>
      <c r="K20" s="1730"/>
      <c r="L20" s="1731">
        <v>138</v>
      </c>
      <c r="M20" s="1732"/>
      <c r="N20" s="1731">
        <v>14</v>
      </c>
      <c r="O20" s="1752"/>
      <c r="R20" s="500"/>
      <c r="S20" s="500"/>
      <c r="T20" s="500"/>
    </row>
    <row r="21" spans="1:20" ht="24.75" customHeight="1">
      <c r="A21" s="779"/>
      <c r="B21" s="779"/>
      <c r="C21" s="524" t="s">
        <v>823</v>
      </c>
      <c r="D21" s="527" t="s">
        <v>654</v>
      </c>
      <c r="E21" s="530"/>
      <c r="F21" s="530"/>
      <c r="G21" s="734"/>
      <c r="H21" s="1719">
        <v>150</v>
      </c>
      <c r="I21" s="1720"/>
      <c r="J21" s="1721">
        <v>0</v>
      </c>
      <c r="K21" s="1720"/>
      <c r="L21" s="1721">
        <v>153</v>
      </c>
      <c r="M21" s="1722"/>
      <c r="N21" s="1721">
        <v>16</v>
      </c>
      <c r="O21" s="1753"/>
      <c r="R21" s="500"/>
      <c r="S21" s="500"/>
      <c r="T21" s="500"/>
    </row>
    <row r="22" spans="1:20" ht="26.25" customHeight="1">
      <c r="A22" s="779"/>
      <c r="B22" s="779"/>
      <c r="C22" s="524"/>
      <c r="D22" s="850" t="s">
        <v>824</v>
      </c>
      <c r="E22" s="527" t="s">
        <v>656</v>
      </c>
      <c r="F22" s="500"/>
      <c r="G22" s="548"/>
      <c r="H22" s="1719">
        <v>278</v>
      </c>
      <c r="I22" s="1720"/>
      <c r="J22" s="1721">
        <v>3</v>
      </c>
      <c r="K22" s="1720"/>
      <c r="L22" s="1721">
        <v>281</v>
      </c>
      <c r="M22" s="1722"/>
      <c r="N22" s="1721">
        <v>77</v>
      </c>
      <c r="O22" s="1753"/>
      <c r="R22" s="500"/>
      <c r="S22" s="500"/>
      <c r="T22" s="500"/>
    </row>
    <row r="23" spans="1:20" ht="26.25" customHeight="1">
      <c r="A23" s="779"/>
      <c r="B23" s="779"/>
      <c r="C23" s="524" t="s">
        <v>825</v>
      </c>
      <c r="D23" s="850" t="s">
        <v>826</v>
      </c>
      <c r="E23" s="527" t="s">
        <v>657</v>
      </c>
      <c r="F23" s="530"/>
      <c r="G23" s="734"/>
      <c r="H23" s="1719">
        <v>22</v>
      </c>
      <c r="I23" s="1720"/>
      <c r="J23" s="1721">
        <v>0</v>
      </c>
      <c r="K23" s="1720"/>
      <c r="L23" s="1721">
        <v>22</v>
      </c>
      <c r="M23" s="1722"/>
      <c r="N23" s="1721">
        <v>10</v>
      </c>
      <c r="O23" s="1753"/>
      <c r="R23" s="500"/>
      <c r="S23" s="500"/>
      <c r="T23" s="500"/>
    </row>
    <row r="24" spans="1:20" ht="27" customHeight="1">
      <c r="A24" s="779"/>
      <c r="B24" s="779"/>
      <c r="C24" s="524"/>
      <c r="D24" s="850" t="s">
        <v>827</v>
      </c>
      <c r="E24" s="527" t="s">
        <v>828</v>
      </c>
      <c r="F24" s="500"/>
      <c r="G24" s="548"/>
      <c r="H24" s="1719">
        <v>1</v>
      </c>
      <c r="I24" s="1720"/>
      <c r="J24" s="1721">
        <v>0</v>
      </c>
      <c r="K24" s="1720"/>
      <c r="L24" s="1721">
        <v>1</v>
      </c>
      <c r="M24" s="1722"/>
      <c r="N24" s="1721">
        <v>0</v>
      </c>
      <c r="O24" s="1753"/>
      <c r="R24" s="500"/>
      <c r="S24" s="500"/>
      <c r="T24" s="500"/>
    </row>
    <row r="25" spans="1:20" ht="27" customHeight="1">
      <c r="A25" s="779"/>
      <c r="B25" s="779"/>
      <c r="C25" s="524" t="s">
        <v>705</v>
      </c>
      <c r="D25" s="703"/>
      <c r="E25" s="527" t="s">
        <v>659</v>
      </c>
      <c r="F25" s="530"/>
      <c r="G25" s="734"/>
      <c r="H25" s="1719">
        <v>187</v>
      </c>
      <c r="I25" s="1720"/>
      <c r="J25" s="1721">
        <v>4</v>
      </c>
      <c r="K25" s="1720"/>
      <c r="L25" s="1721">
        <v>185</v>
      </c>
      <c r="M25" s="1722"/>
      <c r="N25" s="1721">
        <v>42</v>
      </c>
      <c r="O25" s="1753"/>
      <c r="R25" s="500"/>
      <c r="S25" s="500"/>
      <c r="T25" s="500"/>
    </row>
    <row r="26" spans="1:20" ht="25.5" customHeight="1">
      <c r="A26" s="779"/>
      <c r="B26" s="779"/>
      <c r="C26" s="524"/>
      <c r="D26" s="527" t="s">
        <v>660</v>
      </c>
      <c r="E26" s="530"/>
      <c r="F26" s="500"/>
      <c r="G26" s="548"/>
      <c r="H26" s="1719">
        <v>1</v>
      </c>
      <c r="I26" s="1720"/>
      <c r="J26" s="1721">
        <v>0</v>
      </c>
      <c r="K26" s="1720"/>
      <c r="L26" s="1721">
        <v>1</v>
      </c>
      <c r="M26" s="1722"/>
      <c r="N26" s="1721">
        <v>0</v>
      </c>
      <c r="O26" s="1753"/>
      <c r="R26" s="500"/>
      <c r="S26" s="500"/>
      <c r="T26" s="500"/>
    </row>
    <row r="27" spans="1:20" ht="25.5" customHeight="1">
      <c r="A27" s="779"/>
      <c r="B27" s="779"/>
      <c r="C27" s="524" t="s">
        <v>710</v>
      </c>
      <c r="D27" s="527" t="s">
        <v>661</v>
      </c>
      <c r="E27" s="530"/>
      <c r="F27" s="530"/>
      <c r="G27" s="734"/>
      <c r="H27" s="1719">
        <v>14</v>
      </c>
      <c r="I27" s="1720"/>
      <c r="J27" s="1721">
        <v>0</v>
      </c>
      <c r="K27" s="1720"/>
      <c r="L27" s="1721">
        <v>15</v>
      </c>
      <c r="M27" s="1722"/>
      <c r="N27" s="1721">
        <v>0</v>
      </c>
      <c r="O27" s="1753"/>
      <c r="R27" s="500"/>
      <c r="S27" s="500"/>
      <c r="T27" s="500"/>
    </row>
    <row r="28" spans="1:20" ht="27.75" customHeight="1">
      <c r="A28" s="779"/>
      <c r="B28" s="779"/>
      <c r="C28" s="508"/>
      <c r="D28" s="527" t="s">
        <v>829</v>
      </c>
      <c r="E28" s="530"/>
      <c r="F28" s="500"/>
      <c r="G28" s="548"/>
      <c r="H28" s="1719">
        <v>29</v>
      </c>
      <c r="I28" s="1720"/>
      <c r="J28" s="1721">
        <v>0</v>
      </c>
      <c r="K28" s="1720"/>
      <c r="L28" s="1721">
        <v>29</v>
      </c>
      <c r="M28" s="1722"/>
      <c r="N28" s="1721">
        <v>2</v>
      </c>
      <c r="O28" s="1753"/>
      <c r="R28" s="500"/>
      <c r="S28" s="500"/>
      <c r="T28" s="500"/>
    </row>
    <row r="29" spans="1:20" ht="27.75" customHeight="1">
      <c r="A29" s="779"/>
      <c r="B29" s="779"/>
      <c r="C29" s="528"/>
      <c r="D29" s="532" t="s">
        <v>659</v>
      </c>
      <c r="E29" s="505"/>
      <c r="F29" s="530"/>
      <c r="G29" s="734"/>
      <c r="H29" s="1719">
        <v>153</v>
      </c>
      <c r="I29" s="1720"/>
      <c r="J29" s="1721">
        <v>6</v>
      </c>
      <c r="K29" s="1720"/>
      <c r="L29" s="1721">
        <v>151</v>
      </c>
      <c r="M29" s="1722"/>
      <c r="N29" s="1721">
        <v>16</v>
      </c>
      <c r="O29" s="1753"/>
      <c r="R29" s="500"/>
      <c r="S29" s="500"/>
      <c r="T29" s="500"/>
    </row>
    <row r="30" spans="1:20" ht="27.75" customHeight="1" thickBot="1">
      <c r="A30" s="779"/>
      <c r="B30" s="779"/>
      <c r="C30" s="861" t="s">
        <v>830</v>
      </c>
      <c r="D30" s="848"/>
      <c r="E30" s="848"/>
      <c r="F30" s="562"/>
      <c r="G30" s="554"/>
      <c r="H30" s="1748">
        <v>1</v>
      </c>
      <c r="I30" s="1749"/>
      <c r="J30" s="1750">
        <v>1</v>
      </c>
      <c r="K30" s="1749"/>
      <c r="L30" s="1750">
        <v>0</v>
      </c>
      <c r="M30" s="1751"/>
      <c r="N30" s="1750">
        <v>0</v>
      </c>
      <c r="O30" s="1754"/>
      <c r="R30" s="500"/>
      <c r="S30" s="500"/>
      <c r="T30" s="500"/>
    </row>
    <row r="31" spans="1:20" ht="20.25" customHeight="1">
      <c r="A31" s="779"/>
      <c r="B31" s="779"/>
      <c r="C31" s="1892" t="s">
        <v>936</v>
      </c>
      <c r="D31" s="1892"/>
      <c r="E31" s="1892"/>
      <c r="F31" s="1892"/>
      <c r="G31" s="1892"/>
      <c r="H31" s="1892"/>
      <c r="I31" s="1892"/>
      <c r="J31" s="1892"/>
      <c r="K31" s="1892"/>
      <c r="L31" s="1892"/>
      <c r="M31" s="1892"/>
      <c r="N31" s="1892"/>
      <c r="O31" s="1892"/>
      <c r="P31" s="501"/>
      <c r="Q31" s="501"/>
      <c r="R31" s="501"/>
      <c r="S31" s="501"/>
      <c r="T31" s="501"/>
    </row>
    <row r="32" spans="1:20" ht="16.2">
      <c r="A32" s="779"/>
      <c r="B32" s="779"/>
      <c r="C32" s="1893" t="s">
        <v>916</v>
      </c>
      <c r="D32" s="1893"/>
      <c r="E32" s="1893"/>
      <c r="F32" s="1893"/>
      <c r="G32" s="1893"/>
      <c r="H32" s="1893"/>
      <c r="I32" s="1893"/>
      <c r="J32" s="1893"/>
      <c r="K32" s="1893"/>
      <c r="L32" s="1893"/>
      <c r="M32" s="1893"/>
      <c r="N32" s="1893"/>
      <c r="O32" s="1893"/>
      <c r="P32" s="501"/>
      <c r="Q32" s="501"/>
      <c r="R32" s="501"/>
      <c r="S32" s="501"/>
      <c r="T32" s="501"/>
    </row>
    <row r="33" spans="1:11">
      <c r="A33" s="779"/>
      <c r="B33" s="779"/>
      <c r="C33" s="779"/>
      <c r="D33" s="779"/>
      <c r="E33" s="779"/>
      <c r="F33" s="779"/>
      <c r="G33" s="779"/>
      <c r="H33" s="779"/>
      <c r="I33" s="779"/>
      <c r="J33" s="779"/>
      <c r="K33" s="779"/>
    </row>
    <row r="34" spans="1:11">
      <c r="A34" s="779"/>
      <c r="B34" s="779"/>
    </row>
    <row r="35" spans="1:11">
      <c r="A35" s="779"/>
      <c r="B35" s="779"/>
    </row>
    <row r="36" spans="1:11">
      <c r="A36" s="779"/>
      <c r="B36" s="779"/>
    </row>
    <row r="37" spans="1:11">
      <c r="A37" s="779"/>
      <c r="B37" s="779"/>
    </row>
  </sheetData>
  <mergeCells count="76">
    <mergeCell ref="C31:O31"/>
    <mergeCell ref="C32:O32"/>
    <mergeCell ref="L27:M27"/>
    <mergeCell ref="L28:M28"/>
    <mergeCell ref="L29:M29"/>
    <mergeCell ref="L30:M30"/>
    <mergeCell ref="N20:O20"/>
    <mergeCell ref="N21:O21"/>
    <mergeCell ref="N22:O22"/>
    <mergeCell ref="N23:O23"/>
    <mergeCell ref="N24:O24"/>
    <mergeCell ref="N25:O25"/>
    <mergeCell ref="N26:O26"/>
    <mergeCell ref="N27:O27"/>
    <mergeCell ref="N28:O28"/>
    <mergeCell ref="N29:O29"/>
    <mergeCell ref="N30:O30"/>
    <mergeCell ref="L21:M21"/>
    <mergeCell ref="H29:I29"/>
    <mergeCell ref="H30:I30"/>
    <mergeCell ref="J20:K20"/>
    <mergeCell ref="J21:K21"/>
    <mergeCell ref="J22:K22"/>
    <mergeCell ref="J23:K23"/>
    <mergeCell ref="J24:K24"/>
    <mergeCell ref="J25:K25"/>
    <mergeCell ref="J26:K26"/>
    <mergeCell ref="J27:K27"/>
    <mergeCell ref="J28:K28"/>
    <mergeCell ref="J29:K29"/>
    <mergeCell ref="J30:K30"/>
    <mergeCell ref="H21:I21"/>
    <mergeCell ref="H22:I22"/>
    <mergeCell ref="H25:I25"/>
    <mergeCell ref="A10:B10"/>
    <mergeCell ref="F4:F5"/>
    <mergeCell ref="G4:G5"/>
    <mergeCell ref="H4:H5"/>
    <mergeCell ref="I4:I5"/>
    <mergeCell ref="A4:B4"/>
    <mergeCell ref="C4:C5"/>
    <mergeCell ref="D4:D5"/>
    <mergeCell ref="E4:E5"/>
    <mergeCell ref="L4:L5"/>
    <mergeCell ref="M4:M5"/>
    <mergeCell ref="A6:B6"/>
    <mergeCell ref="A7:B7"/>
    <mergeCell ref="A8:B8"/>
    <mergeCell ref="J4:J5"/>
    <mergeCell ref="K4:K5"/>
    <mergeCell ref="N19:O19"/>
    <mergeCell ref="H20:I20"/>
    <mergeCell ref="L20:M20"/>
    <mergeCell ref="A11:B11"/>
    <mergeCell ref="A13:O13"/>
    <mergeCell ref="G17:G18"/>
    <mergeCell ref="H17:I18"/>
    <mergeCell ref="J17:K18"/>
    <mergeCell ref="L17:M18"/>
    <mergeCell ref="N17:O17"/>
    <mergeCell ref="N18:O18"/>
    <mergeCell ref="O4:O5"/>
    <mergeCell ref="N4:N5"/>
    <mergeCell ref="H26:I26"/>
    <mergeCell ref="H27:I27"/>
    <mergeCell ref="H28:I28"/>
    <mergeCell ref="L25:M25"/>
    <mergeCell ref="L26:M26"/>
    <mergeCell ref="L22:M22"/>
    <mergeCell ref="H23:I23"/>
    <mergeCell ref="H24:I24"/>
    <mergeCell ref="L23:M23"/>
    <mergeCell ref="L24:M24"/>
    <mergeCell ref="H19:I19"/>
    <mergeCell ref="J19:K19"/>
    <mergeCell ref="L19:M19"/>
  </mergeCells>
  <phoneticPr fontId="4"/>
  <printOptions horizontalCentered="1"/>
  <pageMargins left="0.78740157480314965" right="0.39370078740157483" top="0.98425196850393704" bottom="0.98425196850393704" header="0.31496062992125984" footer="0.51181102362204722"/>
  <pageSetup paperSize="9" scale="83" orientation="portrait" r:id="rId1"/>
  <headerFooter scaleWithDoc="0" alignWithMargins="0">
    <oddFooter>&amp;C- &amp;P -</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E2865-1B90-4333-A7FF-B9B36BA9B858}">
  <sheetPr>
    <pageSetUpPr fitToPage="1"/>
  </sheetPr>
  <dimension ref="A1:O28"/>
  <sheetViews>
    <sheetView view="pageBreakPreview" topLeftCell="A6" zoomScaleNormal="100" zoomScaleSheetLayoutView="100" zoomScalePageLayoutView="70" workbookViewId="0">
      <selection activeCell="X20" sqref="X20:X21"/>
    </sheetView>
  </sheetViews>
  <sheetFormatPr defaultColWidth="9" defaultRowHeight="13.8"/>
  <cols>
    <col min="1" max="1" width="1.77734375" style="497" customWidth="1"/>
    <col min="2" max="2" width="17.109375" style="497" customWidth="1"/>
    <col min="3" max="14" width="5.6640625" style="497" customWidth="1"/>
    <col min="15" max="15" width="7.109375" style="497" customWidth="1"/>
    <col min="16" max="18" width="5.6640625" style="497" customWidth="1"/>
    <col min="19" max="16384" width="9" style="497"/>
  </cols>
  <sheetData>
    <row r="1" spans="1:15" ht="15.6" thickBot="1">
      <c r="A1" s="650" t="s">
        <v>428</v>
      </c>
      <c r="B1" s="650"/>
    </row>
    <row r="2" spans="1:15">
      <c r="A2" s="1654" t="s">
        <v>831</v>
      </c>
      <c r="B2" s="1704"/>
      <c r="C2" s="1274">
        <v>1</v>
      </c>
      <c r="D2" s="1532">
        <v>2</v>
      </c>
      <c r="E2" s="1532">
        <v>3</v>
      </c>
      <c r="F2" s="1532">
        <v>4</v>
      </c>
      <c r="G2" s="1532">
        <v>5</v>
      </c>
      <c r="H2" s="1532">
        <v>6</v>
      </c>
      <c r="I2" s="1532">
        <v>7</v>
      </c>
      <c r="J2" s="1532">
        <v>8</v>
      </c>
      <c r="K2" s="1532">
        <v>9</v>
      </c>
      <c r="L2" s="1532">
        <v>10</v>
      </c>
      <c r="M2" s="1532">
        <v>11</v>
      </c>
      <c r="N2" s="1532">
        <v>12</v>
      </c>
      <c r="O2" s="1758" t="s">
        <v>635</v>
      </c>
    </row>
    <row r="3" spans="1:15" ht="18" customHeight="1" thickBot="1">
      <c r="A3" s="498" t="s">
        <v>832</v>
      </c>
      <c r="B3" s="499"/>
      <c r="C3" s="1757"/>
      <c r="D3" s="1756"/>
      <c r="E3" s="1756"/>
      <c r="F3" s="1756"/>
      <c r="G3" s="1756"/>
      <c r="H3" s="1756"/>
      <c r="I3" s="1756"/>
      <c r="J3" s="1756"/>
      <c r="K3" s="1756"/>
      <c r="L3" s="1756"/>
      <c r="M3" s="1756"/>
      <c r="N3" s="1756"/>
      <c r="O3" s="1759"/>
    </row>
    <row r="4" spans="1:15" ht="29.25" customHeight="1">
      <c r="A4" s="1474" t="s">
        <v>833</v>
      </c>
      <c r="B4" s="1280"/>
      <c r="C4" s="896">
        <v>82</v>
      </c>
      <c r="D4" s="1151">
        <v>68</v>
      </c>
      <c r="E4" s="1151">
        <v>77</v>
      </c>
      <c r="F4" s="1151">
        <v>88</v>
      </c>
      <c r="G4" s="1151">
        <v>87</v>
      </c>
      <c r="H4" s="1151">
        <v>80</v>
      </c>
      <c r="I4" s="1151">
        <v>73</v>
      </c>
      <c r="J4" s="1151">
        <v>65</v>
      </c>
      <c r="K4" s="1151">
        <v>60</v>
      </c>
      <c r="L4" s="1151">
        <v>87</v>
      </c>
      <c r="M4" s="1151">
        <v>76</v>
      </c>
      <c r="N4" s="1151">
        <v>129</v>
      </c>
      <c r="O4" s="909">
        <f>SUM(C4:N4)</f>
        <v>972</v>
      </c>
    </row>
    <row r="5" spans="1:15" ht="30" customHeight="1">
      <c r="A5" s="1618" t="s">
        <v>834</v>
      </c>
      <c r="B5" s="1755"/>
      <c r="C5" s="898">
        <v>2</v>
      </c>
      <c r="D5" s="880">
        <v>2</v>
      </c>
      <c r="E5" s="880">
        <v>1</v>
      </c>
      <c r="F5" s="880">
        <v>3</v>
      </c>
      <c r="G5" s="880">
        <v>1</v>
      </c>
      <c r="H5" s="880">
        <v>0</v>
      </c>
      <c r="I5" s="880">
        <v>0</v>
      </c>
      <c r="J5" s="880">
        <v>1</v>
      </c>
      <c r="K5" s="880">
        <v>0</v>
      </c>
      <c r="L5" s="880">
        <v>2</v>
      </c>
      <c r="M5" s="880">
        <v>2</v>
      </c>
      <c r="N5" s="880">
        <v>0</v>
      </c>
      <c r="O5" s="890">
        <f>SUM(C5:N5)</f>
        <v>14</v>
      </c>
    </row>
    <row r="6" spans="1:15" ht="30.75" customHeight="1">
      <c r="A6" s="1618" t="s">
        <v>835</v>
      </c>
      <c r="B6" s="1755"/>
      <c r="C6" s="910">
        <v>82</v>
      </c>
      <c r="D6" s="1152">
        <v>69</v>
      </c>
      <c r="E6" s="1152">
        <v>76</v>
      </c>
      <c r="F6" s="1152">
        <v>86</v>
      </c>
      <c r="G6" s="1152">
        <v>87</v>
      </c>
      <c r="H6" s="1152">
        <v>81</v>
      </c>
      <c r="I6" s="1152">
        <v>74</v>
      </c>
      <c r="J6" s="1152">
        <v>65</v>
      </c>
      <c r="K6" s="1152">
        <v>61</v>
      </c>
      <c r="L6" s="1152">
        <v>87</v>
      </c>
      <c r="M6" s="1152">
        <v>75</v>
      </c>
      <c r="N6" s="1152">
        <v>133</v>
      </c>
      <c r="O6" s="911">
        <f>SUM(C6:N6)</f>
        <v>976</v>
      </c>
    </row>
    <row r="7" spans="1:15" ht="30.75" customHeight="1" thickBot="1">
      <c r="A7" s="862"/>
      <c r="B7" s="863" t="s">
        <v>741</v>
      </c>
      <c r="C7" s="900">
        <v>13</v>
      </c>
      <c r="D7" s="1153">
        <v>14</v>
      </c>
      <c r="E7" s="1153">
        <v>13</v>
      </c>
      <c r="F7" s="1153">
        <v>20</v>
      </c>
      <c r="G7" s="1153">
        <v>12</v>
      </c>
      <c r="H7" s="1153">
        <v>12</v>
      </c>
      <c r="I7" s="1153">
        <v>15</v>
      </c>
      <c r="J7" s="1153">
        <v>7</v>
      </c>
      <c r="K7" s="1153">
        <v>10</v>
      </c>
      <c r="L7" s="1153">
        <v>19</v>
      </c>
      <c r="M7" s="1153">
        <v>16</v>
      </c>
      <c r="N7" s="1153">
        <v>26</v>
      </c>
      <c r="O7" s="894">
        <f>SUM(C7:N7)</f>
        <v>177</v>
      </c>
    </row>
    <row r="8" spans="1:15" s="1939" customFormat="1" ht="20.100000000000001" customHeight="1">
      <c r="A8" s="1946" t="s">
        <v>936</v>
      </c>
      <c r="B8" s="1946"/>
    </row>
    <row r="9" spans="1:15" s="1939" customFormat="1" ht="20.100000000000001" customHeight="1">
      <c r="A9" s="1940" t="s">
        <v>916</v>
      </c>
      <c r="B9" s="1946"/>
    </row>
    <row r="10" spans="1:15" ht="20.100000000000001" customHeight="1">
      <c r="A10" s="864"/>
      <c r="B10" s="864"/>
    </row>
    <row r="11" spans="1:15" ht="20.100000000000001" customHeight="1"/>
    <row r="12" spans="1:15" ht="20.100000000000001" customHeight="1"/>
    <row r="13" spans="1:15" ht="20.100000000000001" customHeight="1"/>
    <row r="14" spans="1:15" ht="20.100000000000001" customHeight="1"/>
    <row r="15" spans="1:15" ht="20.100000000000001" customHeight="1"/>
    <row r="16" spans="1:15" ht="20.100000000000001" customHeight="1"/>
    <row r="17" ht="20.100000000000001" customHeight="1"/>
    <row r="18" ht="20.100000000000001" customHeight="1"/>
    <row r="19" ht="20.100000000000001" customHeight="1"/>
    <row r="23" ht="18" customHeight="1"/>
    <row r="24" ht="18" customHeight="1"/>
    <row r="25" ht="18" customHeight="1"/>
    <row r="26" ht="18" customHeight="1"/>
    <row r="27" ht="18" customHeight="1"/>
    <row r="28" ht="18" customHeight="1"/>
  </sheetData>
  <mergeCells count="17">
    <mergeCell ref="N2:N3"/>
    <mergeCell ref="O2:O3"/>
    <mergeCell ref="A4:B4"/>
    <mergeCell ref="A5:B5"/>
    <mergeCell ref="L2:L3"/>
    <mergeCell ref="M2:M3"/>
    <mergeCell ref="A6:B6"/>
    <mergeCell ref="H2:H3"/>
    <mergeCell ref="I2:I3"/>
    <mergeCell ref="J2:J3"/>
    <mergeCell ref="K2:K3"/>
    <mergeCell ref="A2:B2"/>
    <mergeCell ref="C2:C3"/>
    <mergeCell ref="D2:D3"/>
    <mergeCell ref="E2:E3"/>
    <mergeCell ref="F2:F3"/>
    <mergeCell ref="G2:G3"/>
  </mergeCells>
  <phoneticPr fontId="4"/>
  <printOptions horizontalCentered="1"/>
  <pageMargins left="0.78740157480314965" right="0.39370078740157483" top="0.98425196850393704" bottom="0.98425196850393704" header="0.31496062992125984" footer="0.51181102362204722"/>
  <pageSetup paperSize="9" scale="91" orientation="portrait" r:id="rId1"/>
  <headerFooter scaleWithDoc="0" alignWithMargins="0">
    <oddFooter>&amp;C- &amp;P -</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3CBB5-90AE-45B7-82F6-34FAC863545C}">
  <sheetPr>
    <pageSetUpPr fitToPage="1"/>
  </sheetPr>
  <dimension ref="A1:S57"/>
  <sheetViews>
    <sheetView view="pageBreakPreview" topLeftCell="A5" zoomScale="80" zoomScaleNormal="100" zoomScaleSheetLayoutView="80" workbookViewId="0">
      <selection activeCell="M11" sqref="M11:M12"/>
    </sheetView>
  </sheetViews>
  <sheetFormatPr defaultColWidth="9" defaultRowHeight="13.8"/>
  <cols>
    <col min="1" max="1" width="13.5546875" style="331" customWidth="1"/>
    <col min="2" max="2" width="1.109375" style="331" customWidth="1"/>
    <col min="3" max="3" width="11.109375" style="331" customWidth="1"/>
    <col min="4" max="7" width="9" style="331"/>
    <col min="8" max="8" width="3.6640625" style="331" customWidth="1"/>
    <col min="9" max="9" width="11.6640625" style="331" bestFit="1" customWidth="1"/>
    <col min="10" max="10" width="3.6640625" style="331" customWidth="1"/>
    <col min="11" max="11" width="10.6640625" style="331" customWidth="1"/>
    <col min="12" max="16384" width="9" style="331"/>
  </cols>
  <sheetData>
    <row r="1" spans="1:19" ht="14.4" thickBot="1">
      <c r="A1" s="419" t="s">
        <v>569</v>
      </c>
      <c r="G1" s="1260" t="s">
        <v>119</v>
      </c>
      <c r="H1" s="1260"/>
      <c r="I1" s="1260"/>
      <c r="J1" s="1260"/>
      <c r="K1" s="1260"/>
      <c r="Q1" s="432" t="s">
        <v>565</v>
      </c>
      <c r="R1" s="432" t="s">
        <v>566</v>
      </c>
      <c r="S1" s="432" t="s">
        <v>567</v>
      </c>
    </row>
    <row r="2" spans="1:19" ht="17.25" customHeight="1">
      <c r="A2" s="342"/>
      <c r="B2" s="404"/>
      <c r="C2" s="335" t="s">
        <v>52</v>
      </c>
      <c r="D2" s="1354" t="s">
        <v>552</v>
      </c>
      <c r="E2" s="1266"/>
      <c r="F2" s="1355" t="s">
        <v>120</v>
      </c>
      <c r="G2" s="1266"/>
      <c r="H2" s="1269" t="s">
        <v>121</v>
      </c>
      <c r="I2" s="1270"/>
      <c r="J2" s="1270"/>
      <c r="K2" s="1271"/>
      <c r="P2" s="400" t="s">
        <v>54</v>
      </c>
      <c r="Q2" s="9">
        <v>25242</v>
      </c>
      <c r="R2" s="186">
        <v>280</v>
      </c>
      <c r="S2" s="10">
        <v>34642</v>
      </c>
    </row>
    <row r="3" spans="1:19" ht="17.25" customHeight="1" thickBot="1">
      <c r="A3" s="343" t="s">
        <v>45</v>
      </c>
      <c r="B3" s="346"/>
      <c r="C3" s="344"/>
      <c r="D3" s="1356" t="s">
        <v>568</v>
      </c>
      <c r="E3" s="1357"/>
      <c r="F3" s="1358" t="s">
        <v>122</v>
      </c>
      <c r="G3" s="1357"/>
      <c r="H3" s="1359" t="s">
        <v>123</v>
      </c>
      <c r="I3" s="1360"/>
      <c r="J3" s="1359" t="s">
        <v>124</v>
      </c>
      <c r="K3" s="1361"/>
      <c r="P3" s="415" t="s">
        <v>56</v>
      </c>
      <c r="Q3" s="14">
        <v>23380</v>
      </c>
      <c r="R3" s="214">
        <v>222</v>
      </c>
      <c r="S3" s="15">
        <v>31519</v>
      </c>
    </row>
    <row r="4" spans="1:19" ht="27" customHeight="1">
      <c r="A4" s="1348" t="s">
        <v>125</v>
      </c>
      <c r="B4" s="1349" t="s">
        <v>126</v>
      </c>
      <c r="C4" s="1350"/>
      <c r="D4" s="1351">
        <v>7849</v>
      </c>
      <c r="E4" s="1352"/>
      <c r="F4" s="1353">
        <v>25242</v>
      </c>
      <c r="G4" s="1352"/>
      <c r="H4" s="433"/>
      <c r="I4" s="434">
        <f t="shared" ref="I4:I15" si="0">D4-F4</f>
        <v>-17393</v>
      </c>
      <c r="J4" s="433"/>
      <c r="K4" s="401">
        <f t="shared" ref="K4:K15" si="1">(D4/F4-1)*100</f>
        <v>-68.904999603834867</v>
      </c>
      <c r="P4" s="416" t="s">
        <v>57</v>
      </c>
      <c r="Q4" s="19">
        <v>20479</v>
      </c>
      <c r="R4" s="189">
        <v>228</v>
      </c>
      <c r="S4" s="20">
        <v>27240</v>
      </c>
    </row>
    <row r="5" spans="1:19" ht="24.75" customHeight="1">
      <c r="A5" s="1346"/>
      <c r="B5" s="1335" t="s">
        <v>127</v>
      </c>
      <c r="C5" s="1336"/>
      <c r="D5" s="1329">
        <v>43</v>
      </c>
      <c r="E5" s="1330"/>
      <c r="F5" s="1331">
        <v>280</v>
      </c>
      <c r="G5" s="1330"/>
      <c r="H5" s="435"/>
      <c r="I5" s="436">
        <f t="shared" si="0"/>
        <v>-237</v>
      </c>
      <c r="J5" s="435"/>
      <c r="K5" s="402">
        <f t="shared" si="1"/>
        <v>-84.642857142857139</v>
      </c>
      <c r="P5" s="406" t="s">
        <v>58</v>
      </c>
      <c r="Q5" s="24">
        <v>16669</v>
      </c>
      <c r="R5" s="215">
        <v>244</v>
      </c>
      <c r="S5" s="25">
        <v>21997</v>
      </c>
    </row>
    <row r="6" spans="1:19" ht="27" customHeight="1">
      <c r="A6" s="1346"/>
      <c r="B6" s="1337" t="s">
        <v>128</v>
      </c>
      <c r="C6" s="1338"/>
      <c r="D6" s="1329">
        <v>8916</v>
      </c>
      <c r="E6" s="1330"/>
      <c r="F6" s="1331">
        <v>34642</v>
      </c>
      <c r="G6" s="1330"/>
      <c r="H6" s="435"/>
      <c r="I6" s="436">
        <f t="shared" si="0"/>
        <v>-25726</v>
      </c>
      <c r="J6" s="435"/>
      <c r="K6" s="402">
        <f t="shared" si="1"/>
        <v>-74.262455978292238</v>
      </c>
      <c r="P6" s="416" t="s">
        <v>59</v>
      </c>
      <c r="Q6" s="19">
        <v>13552</v>
      </c>
      <c r="R6" s="189">
        <v>147</v>
      </c>
      <c r="S6" s="20">
        <v>17500</v>
      </c>
    </row>
    <row r="7" spans="1:19" ht="27" customHeight="1">
      <c r="A7" s="1347"/>
      <c r="B7" s="443"/>
      <c r="C7" s="437" t="s">
        <v>129</v>
      </c>
      <c r="D7" s="1329">
        <v>937</v>
      </c>
      <c r="E7" s="1332"/>
      <c r="F7" s="1331">
        <v>2904</v>
      </c>
      <c r="G7" s="1332"/>
      <c r="H7" s="435"/>
      <c r="I7" s="436">
        <f t="shared" si="0"/>
        <v>-1967</v>
      </c>
      <c r="J7" s="435"/>
      <c r="K7" s="402">
        <f t="shared" si="1"/>
        <v>-67.734159779614316</v>
      </c>
      <c r="P7" s="417" t="s">
        <v>60</v>
      </c>
      <c r="Q7" s="29">
        <v>12726</v>
      </c>
      <c r="R7" s="194">
        <v>130</v>
      </c>
      <c r="S7" s="30">
        <v>16029</v>
      </c>
    </row>
    <row r="8" spans="1:19" ht="27.75" customHeight="1">
      <c r="A8" s="1345" t="s">
        <v>47</v>
      </c>
      <c r="B8" s="1335" t="s">
        <v>126</v>
      </c>
      <c r="C8" s="1336"/>
      <c r="D8" s="1329">
        <v>25056</v>
      </c>
      <c r="E8" s="1330"/>
      <c r="F8" s="1331">
        <v>52968</v>
      </c>
      <c r="G8" s="1330"/>
      <c r="H8" s="435"/>
      <c r="I8" s="436">
        <f t="shared" si="0"/>
        <v>-27912</v>
      </c>
      <c r="J8" s="435"/>
      <c r="K8" s="402">
        <f t="shared" si="1"/>
        <v>-52.695967376529218</v>
      </c>
      <c r="P8" s="415" t="s">
        <v>62</v>
      </c>
      <c r="Q8" s="14">
        <v>12890</v>
      </c>
      <c r="R8" s="214">
        <v>110</v>
      </c>
      <c r="S8" s="15">
        <v>16367</v>
      </c>
    </row>
    <row r="9" spans="1:19" ht="26.25" customHeight="1">
      <c r="A9" s="1346"/>
      <c r="B9" s="1335" t="s">
        <v>130</v>
      </c>
      <c r="C9" s="1336"/>
      <c r="D9" s="1329">
        <v>120</v>
      </c>
      <c r="E9" s="1330"/>
      <c r="F9" s="1331">
        <v>848</v>
      </c>
      <c r="G9" s="1330"/>
      <c r="H9" s="435"/>
      <c r="I9" s="436">
        <f t="shared" si="0"/>
        <v>-728</v>
      </c>
      <c r="J9" s="435"/>
      <c r="K9" s="402">
        <f t="shared" si="1"/>
        <v>-85.84905660377359</v>
      </c>
      <c r="P9" s="416" t="s">
        <v>64</v>
      </c>
      <c r="Q9" s="19">
        <v>12852</v>
      </c>
      <c r="R9" s="189">
        <v>98</v>
      </c>
      <c r="S9" s="20">
        <v>16017</v>
      </c>
    </row>
    <row r="10" spans="1:19" ht="26.25" customHeight="1">
      <c r="A10" s="1346"/>
      <c r="B10" s="1337" t="s">
        <v>131</v>
      </c>
      <c r="C10" s="1338"/>
      <c r="D10" s="1329">
        <v>28865</v>
      </c>
      <c r="E10" s="1330"/>
      <c r="F10" s="1331">
        <v>74649</v>
      </c>
      <c r="G10" s="1330"/>
      <c r="H10" s="435"/>
      <c r="I10" s="436">
        <f t="shared" si="0"/>
        <v>-45784</v>
      </c>
      <c r="J10" s="435"/>
      <c r="K10" s="402">
        <f t="shared" si="1"/>
        <v>-61.33236881940816</v>
      </c>
      <c r="P10" s="406" t="s">
        <v>65</v>
      </c>
      <c r="Q10" s="24">
        <v>12742</v>
      </c>
      <c r="R10" s="215">
        <v>118</v>
      </c>
      <c r="S10" s="25">
        <v>15854</v>
      </c>
    </row>
    <row r="11" spans="1:19" ht="26.25" customHeight="1">
      <c r="A11" s="1347"/>
      <c r="B11" s="443"/>
      <c r="C11" s="437" t="s">
        <v>129</v>
      </c>
      <c r="D11" s="1329">
        <v>3100</v>
      </c>
      <c r="E11" s="1332"/>
      <c r="F11" s="1331">
        <v>7224</v>
      </c>
      <c r="G11" s="1332"/>
      <c r="H11" s="435"/>
      <c r="I11" s="436">
        <f t="shared" si="0"/>
        <v>-4124</v>
      </c>
      <c r="J11" s="435"/>
      <c r="K11" s="402">
        <f t="shared" si="1"/>
        <v>-57.087486157253601</v>
      </c>
      <c r="P11" s="416" t="s">
        <v>66</v>
      </c>
      <c r="Q11" s="19">
        <v>12648</v>
      </c>
      <c r="R11" s="189">
        <v>99</v>
      </c>
      <c r="S11" s="20">
        <v>15423</v>
      </c>
    </row>
    <row r="12" spans="1:19" ht="27" customHeight="1">
      <c r="A12" s="1308" t="s">
        <v>48</v>
      </c>
      <c r="B12" s="1335" t="s">
        <v>126</v>
      </c>
      <c r="C12" s="1336"/>
      <c r="D12" s="1329">
        <v>287023</v>
      </c>
      <c r="E12" s="1330"/>
      <c r="F12" s="1331">
        <v>718080</v>
      </c>
      <c r="G12" s="1330"/>
      <c r="H12" s="435"/>
      <c r="I12" s="436">
        <f t="shared" si="0"/>
        <v>-431057</v>
      </c>
      <c r="J12" s="435"/>
      <c r="K12" s="402">
        <f t="shared" si="1"/>
        <v>-60.029105392156865</v>
      </c>
      <c r="P12" s="417" t="s">
        <v>67</v>
      </c>
      <c r="Q12" s="29">
        <v>13322</v>
      </c>
      <c r="R12" s="194">
        <v>104</v>
      </c>
      <c r="S12" s="30">
        <v>16163</v>
      </c>
    </row>
    <row r="13" spans="1:19" ht="25.5" customHeight="1">
      <c r="A13" s="1333"/>
      <c r="B13" s="1335" t="s">
        <v>130</v>
      </c>
      <c r="C13" s="1336"/>
      <c r="D13" s="1329">
        <v>2547</v>
      </c>
      <c r="E13" s="1330"/>
      <c r="F13" s="1331">
        <v>16765</v>
      </c>
      <c r="G13" s="1330"/>
      <c r="H13" s="435"/>
      <c r="I13" s="436">
        <f t="shared" si="0"/>
        <v>-14218</v>
      </c>
      <c r="J13" s="435"/>
      <c r="K13" s="402">
        <f t="shared" si="1"/>
        <v>-84.807634953772734</v>
      </c>
      <c r="P13" s="415" t="s">
        <v>69</v>
      </c>
      <c r="Q13" s="14">
        <v>14262</v>
      </c>
      <c r="R13" s="214">
        <v>128</v>
      </c>
      <c r="S13" s="15">
        <v>17476</v>
      </c>
    </row>
    <row r="14" spans="1:19" ht="27.75" customHeight="1">
      <c r="A14" s="1333"/>
      <c r="B14" s="1337" t="s">
        <v>131</v>
      </c>
      <c r="C14" s="1338"/>
      <c r="D14" s="1339">
        <v>338508</v>
      </c>
      <c r="E14" s="1340"/>
      <c r="F14" s="1341">
        <v>981096</v>
      </c>
      <c r="G14" s="1340"/>
      <c r="H14" s="438"/>
      <c r="I14" s="439">
        <f t="shared" si="0"/>
        <v>-642588</v>
      </c>
      <c r="J14" s="438"/>
      <c r="K14" s="440">
        <f t="shared" si="1"/>
        <v>-65.49695442647814</v>
      </c>
      <c r="P14" s="416" t="s">
        <v>70</v>
      </c>
      <c r="Q14" s="19">
        <v>15192</v>
      </c>
      <c r="R14" s="189">
        <v>131</v>
      </c>
      <c r="S14" s="20">
        <v>18448</v>
      </c>
    </row>
    <row r="15" spans="1:19" ht="27.75" customHeight="1" thickBot="1">
      <c r="A15" s="1334"/>
      <c r="B15" s="444"/>
      <c r="C15" s="394" t="s">
        <v>129</v>
      </c>
      <c r="D15" s="1342">
        <v>27563</v>
      </c>
      <c r="E15" s="1343"/>
      <c r="F15" s="1344">
        <v>126715</v>
      </c>
      <c r="G15" s="1343"/>
      <c r="H15" s="441"/>
      <c r="I15" s="442">
        <f t="shared" si="0"/>
        <v>-99152</v>
      </c>
      <c r="J15" s="441"/>
      <c r="K15" s="403">
        <f t="shared" si="1"/>
        <v>-78.248036933275472</v>
      </c>
      <c r="P15" s="406" t="s">
        <v>71</v>
      </c>
      <c r="Q15" s="24">
        <v>15719</v>
      </c>
      <c r="R15" s="215">
        <v>117</v>
      </c>
      <c r="S15" s="25">
        <v>19220</v>
      </c>
    </row>
    <row r="16" spans="1:19" s="1945" customFormat="1" ht="18" customHeight="1">
      <c r="A16" s="1946" t="s">
        <v>901</v>
      </c>
      <c r="P16" s="1951" t="s">
        <v>72</v>
      </c>
      <c r="Q16" s="1952">
        <v>15515</v>
      </c>
      <c r="R16" s="1953">
        <v>138</v>
      </c>
      <c r="S16" s="1954">
        <v>18863</v>
      </c>
    </row>
    <row r="17" spans="1:19">
      <c r="P17" s="417" t="s">
        <v>73</v>
      </c>
      <c r="Q17" s="29">
        <v>16284</v>
      </c>
      <c r="R17" s="194">
        <v>121</v>
      </c>
      <c r="S17" s="30">
        <v>19750</v>
      </c>
    </row>
    <row r="18" spans="1:19">
      <c r="P18" s="415" t="s">
        <v>75</v>
      </c>
      <c r="Q18" s="14">
        <v>16380</v>
      </c>
      <c r="R18" s="214">
        <v>134</v>
      </c>
      <c r="S18" s="15">
        <v>19970</v>
      </c>
    </row>
    <row r="19" spans="1:19">
      <c r="A19" s="398"/>
      <c r="B19" s="398"/>
      <c r="C19" s="398"/>
      <c r="D19" s="398"/>
      <c r="E19" s="398"/>
      <c r="F19" s="398"/>
      <c r="G19" s="398"/>
      <c r="H19" s="398"/>
      <c r="I19" s="398"/>
      <c r="J19" s="398"/>
      <c r="K19" s="398"/>
      <c r="L19" s="398"/>
      <c r="P19" s="416" t="s">
        <v>76</v>
      </c>
      <c r="Q19" s="19">
        <v>16386</v>
      </c>
      <c r="R19" s="189">
        <v>139</v>
      </c>
      <c r="S19" s="20">
        <v>20120</v>
      </c>
    </row>
    <row r="20" spans="1:19">
      <c r="A20" s="398"/>
      <c r="B20" s="398"/>
      <c r="C20" s="398"/>
      <c r="D20" s="398"/>
      <c r="E20" s="398"/>
      <c r="F20" s="398"/>
      <c r="G20" s="398"/>
      <c r="H20" s="398"/>
      <c r="I20" s="398"/>
      <c r="J20" s="398"/>
      <c r="K20" s="398"/>
      <c r="L20" s="398"/>
      <c r="P20" s="406" t="s">
        <v>77</v>
      </c>
      <c r="Q20" s="24">
        <v>16191</v>
      </c>
      <c r="R20" s="215">
        <v>145</v>
      </c>
      <c r="S20" s="25">
        <v>19807</v>
      </c>
    </row>
    <row r="21" spans="1:19">
      <c r="A21" s="398"/>
      <c r="B21" s="398"/>
      <c r="C21" s="398"/>
      <c r="D21" s="398"/>
      <c r="E21" s="398"/>
      <c r="F21" s="398"/>
      <c r="G21" s="398"/>
      <c r="H21" s="398"/>
      <c r="I21" s="398"/>
      <c r="J21" s="398"/>
      <c r="K21" s="398"/>
      <c r="L21" s="398"/>
      <c r="P21" s="416" t="s">
        <v>78</v>
      </c>
      <c r="Q21" s="19">
        <v>16518</v>
      </c>
      <c r="R21" s="189">
        <v>148</v>
      </c>
      <c r="S21" s="20">
        <v>20524</v>
      </c>
    </row>
    <row r="22" spans="1:19">
      <c r="A22" s="398"/>
      <c r="B22" s="398"/>
      <c r="C22" s="398"/>
      <c r="D22" s="398"/>
      <c r="E22" s="398"/>
      <c r="F22" s="398"/>
      <c r="G22" s="398"/>
      <c r="H22" s="398"/>
      <c r="I22" s="398"/>
      <c r="J22" s="398"/>
      <c r="K22" s="398"/>
      <c r="L22" s="398"/>
      <c r="P22" s="417" t="s">
        <v>79</v>
      </c>
      <c r="Q22" s="29">
        <v>14987</v>
      </c>
      <c r="R22" s="194">
        <v>164</v>
      </c>
      <c r="S22" s="30">
        <v>19896</v>
      </c>
    </row>
    <row r="23" spans="1:19">
      <c r="A23" s="398"/>
      <c r="B23" s="398"/>
      <c r="C23" s="398"/>
      <c r="D23" s="398"/>
      <c r="E23" s="398"/>
      <c r="F23" s="398"/>
      <c r="G23" s="398"/>
      <c r="H23" s="398"/>
      <c r="I23" s="398"/>
      <c r="J23" s="398"/>
      <c r="K23" s="398"/>
      <c r="L23" s="398"/>
      <c r="P23" s="415" t="s">
        <v>81</v>
      </c>
      <c r="Q23" s="14">
        <v>15690</v>
      </c>
      <c r="R23" s="214">
        <v>147</v>
      </c>
      <c r="S23" s="15">
        <v>19590</v>
      </c>
    </row>
    <row r="24" spans="1:19">
      <c r="A24" s="398"/>
      <c r="B24" s="398"/>
      <c r="C24" s="398"/>
      <c r="D24" s="398"/>
      <c r="E24" s="398"/>
      <c r="F24" s="398"/>
      <c r="G24" s="398"/>
      <c r="H24" s="398"/>
      <c r="I24" s="398"/>
      <c r="J24" s="398"/>
      <c r="K24" s="398"/>
      <c r="L24" s="398"/>
      <c r="P24" s="416" t="s">
        <v>82</v>
      </c>
      <c r="Q24" s="19">
        <v>16498</v>
      </c>
      <c r="R24" s="189">
        <v>157</v>
      </c>
      <c r="S24" s="20">
        <v>20232</v>
      </c>
    </row>
    <row r="25" spans="1:19">
      <c r="A25" s="398"/>
      <c r="B25" s="398"/>
      <c r="C25" s="398"/>
      <c r="D25" s="398"/>
      <c r="E25" s="398"/>
      <c r="F25" s="398"/>
      <c r="G25" s="398"/>
      <c r="H25" s="398"/>
      <c r="I25" s="398"/>
      <c r="J25" s="398"/>
      <c r="K25" s="398"/>
      <c r="L25" s="398"/>
      <c r="P25" s="406" t="s">
        <v>83</v>
      </c>
      <c r="Q25" s="24">
        <v>16340</v>
      </c>
      <c r="R25" s="215">
        <v>167</v>
      </c>
      <c r="S25" s="25">
        <v>19840</v>
      </c>
    </row>
    <row r="26" spans="1:19">
      <c r="A26" s="398"/>
      <c r="B26" s="398"/>
      <c r="C26" s="398"/>
      <c r="D26" s="398"/>
      <c r="E26" s="398"/>
      <c r="F26" s="398"/>
      <c r="G26" s="398"/>
      <c r="H26" s="398"/>
      <c r="I26" s="398"/>
      <c r="J26" s="398"/>
      <c r="K26" s="398"/>
      <c r="L26" s="398"/>
      <c r="P26" s="416" t="s">
        <v>84</v>
      </c>
      <c r="Q26" s="19">
        <v>16354</v>
      </c>
      <c r="R26" s="189">
        <v>156</v>
      </c>
      <c r="S26" s="20">
        <v>19748</v>
      </c>
    </row>
    <row r="27" spans="1:19">
      <c r="A27" s="398"/>
      <c r="B27" s="398"/>
      <c r="C27" s="398"/>
      <c r="D27" s="398"/>
      <c r="E27" s="398"/>
      <c r="F27" s="398"/>
      <c r="G27" s="398"/>
      <c r="H27" s="398"/>
      <c r="I27" s="398"/>
      <c r="J27" s="398"/>
      <c r="K27" s="398"/>
      <c r="L27" s="398"/>
      <c r="P27" s="417" t="s">
        <v>85</v>
      </c>
      <c r="Q27" s="29">
        <v>17087</v>
      </c>
      <c r="R27" s="194">
        <v>159</v>
      </c>
      <c r="S27" s="30">
        <v>20621</v>
      </c>
    </row>
    <row r="28" spans="1:19">
      <c r="A28" s="398"/>
      <c r="B28" s="398"/>
      <c r="C28" s="398"/>
      <c r="D28" s="398"/>
      <c r="E28" s="398"/>
      <c r="F28" s="398"/>
      <c r="G28" s="398"/>
      <c r="H28" s="398"/>
      <c r="I28" s="398"/>
      <c r="J28" s="398"/>
      <c r="K28" s="398"/>
      <c r="L28" s="398"/>
      <c r="P28" s="415" t="s">
        <v>87</v>
      </c>
      <c r="Q28" s="14">
        <v>17366</v>
      </c>
      <c r="R28" s="214">
        <v>122</v>
      </c>
      <c r="S28" s="15">
        <v>20667</v>
      </c>
    </row>
    <row r="29" spans="1:19">
      <c r="A29" s="398"/>
      <c r="B29" s="398"/>
      <c r="C29" s="398"/>
      <c r="D29" s="398"/>
      <c r="E29" s="398"/>
      <c r="F29" s="398"/>
      <c r="G29" s="398"/>
      <c r="H29" s="398"/>
      <c r="I29" s="398"/>
      <c r="J29" s="398"/>
      <c r="K29" s="398"/>
      <c r="L29" s="398"/>
      <c r="P29" s="416" t="s">
        <v>88</v>
      </c>
      <c r="Q29" s="19">
        <v>16806</v>
      </c>
      <c r="R29" s="189">
        <v>132</v>
      </c>
      <c r="S29" s="20">
        <v>19764</v>
      </c>
    </row>
    <row r="30" spans="1:19">
      <c r="A30" s="398"/>
      <c r="B30" s="398"/>
      <c r="C30" s="398"/>
      <c r="D30" s="398"/>
      <c r="E30" s="398"/>
      <c r="F30" s="398"/>
      <c r="G30" s="398"/>
      <c r="H30" s="398"/>
      <c r="I30" s="398"/>
      <c r="J30" s="398"/>
      <c r="K30" s="398"/>
      <c r="L30" s="398"/>
      <c r="P30" s="406" t="s">
        <v>89</v>
      </c>
      <c r="Q30" s="24">
        <v>17237</v>
      </c>
      <c r="R30" s="215">
        <v>129</v>
      </c>
      <c r="S30" s="25">
        <v>20434</v>
      </c>
    </row>
    <row r="31" spans="1:19">
      <c r="A31" s="398"/>
      <c r="B31" s="398"/>
      <c r="C31" s="398"/>
      <c r="D31" s="398"/>
      <c r="E31" s="398"/>
      <c r="F31" s="398"/>
      <c r="G31" s="398"/>
      <c r="H31" s="398"/>
      <c r="I31" s="398"/>
      <c r="J31" s="398"/>
      <c r="K31" s="398"/>
      <c r="L31" s="398"/>
      <c r="P31" s="416" t="s">
        <v>90</v>
      </c>
      <c r="Q31" s="19">
        <v>17775</v>
      </c>
      <c r="R31" s="189">
        <v>117</v>
      </c>
      <c r="S31" s="20">
        <v>21146</v>
      </c>
    </row>
    <row r="32" spans="1:19">
      <c r="A32" s="398"/>
      <c r="B32" s="398"/>
      <c r="C32" s="398"/>
      <c r="D32" s="398"/>
      <c r="E32" s="398"/>
      <c r="F32" s="398"/>
      <c r="G32" s="398"/>
      <c r="H32" s="398"/>
      <c r="I32" s="398"/>
      <c r="J32" s="398"/>
      <c r="K32" s="398"/>
      <c r="L32" s="398"/>
      <c r="P32" s="417" t="s">
        <v>91</v>
      </c>
      <c r="Q32" s="29">
        <v>19490</v>
      </c>
      <c r="R32" s="194">
        <v>100</v>
      </c>
      <c r="S32" s="30">
        <v>23167</v>
      </c>
    </row>
    <row r="33" spans="1:19">
      <c r="A33" s="398"/>
      <c r="B33" s="398"/>
      <c r="C33" s="398"/>
      <c r="D33" s="398"/>
      <c r="E33" s="398"/>
      <c r="F33" s="398"/>
      <c r="G33" s="398"/>
      <c r="H33" s="398"/>
      <c r="I33" s="398"/>
      <c r="J33" s="398"/>
      <c r="K33" s="398"/>
      <c r="L33" s="398"/>
      <c r="P33" s="415" t="s">
        <v>93</v>
      </c>
      <c r="Q33" s="14">
        <v>19686</v>
      </c>
      <c r="R33" s="214">
        <v>101</v>
      </c>
      <c r="S33" s="15">
        <v>23349</v>
      </c>
    </row>
    <row r="34" spans="1:19">
      <c r="A34" s="398"/>
      <c r="B34" s="398"/>
      <c r="C34" s="398"/>
      <c r="D34" s="398"/>
      <c r="E34" s="398"/>
      <c r="F34" s="398"/>
      <c r="G34" s="398"/>
      <c r="H34" s="398"/>
      <c r="I34" s="398"/>
      <c r="J34" s="398"/>
      <c r="K34" s="398"/>
      <c r="L34" s="398"/>
      <c r="P34" s="416" t="s">
        <v>94</v>
      </c>
      <c r="Q34" s="19">
        <v>19690</v>
      </c>
      <c r="R34" s="189">
        <v>107</v>
      </c>
      <c r="S34" s="20">
        <v>23424</v>
      </c>
    </row>
    <row r="35" spans="1:19">
      <c r="A35" s="398"/>
      <c r="B35" s="398"/>
      <c r="C35" s="398"/>
      <c r="D35" s="398"/>
      <c r="E35" s="398"/>
      <c r="F35" s="398"/>
      <c r="G35" s="398"/>
      <c r="H35" s="398"/>
      <c r="I35" s="398"/>
      <c r="J35" s="398"/>
      <c r="K35" s="398"/>
      <c r="L35" s="398"/>
      <c r="P35" s="406" t="s">
        <v>95</v>
      </c>
      <c r="Q35" s="24">
        <v>20320</v>
      </c>
      <c r="R35" s="215">
        <v>86</v>
      </c>
      <c r="S35" s="25">
        <v>24161</v>
      </c>
    </row>
    <row r="36" spans="1:19">
      <c r="A36" s="398"/>
      <c r="B36" s="398"/>
      <c r="C36" s="398"/>
      <c r="D36" s="398"/>
      <c r="E36" s="398"/>
      <c r="F36" s="398"/>
      <c r="G36" s="398"/>
      <c r="H36" s="398"/>
      <c r="I36" s="398"/>
      <c r="J36" s="398"/>
      <c r="K36" s="398"/>
      <c r="L36" s="398"/>
      <c r="P36" s="415" t="s">
        <v>96</v>
      </c>
      <c r="Q36" s="14">
        <v>20488</v>
      </c>
      <c r="R36" s="214">
        <v>91</v>
      </c>
      <c r="S36" s="15">
        <v>24183</v>
      </c>
    </row>
    <row r="37" spans="1:19">
      <c r="A37" s="398"/>
      <c r="B37" s="398"/>
      <c r="C37" s="398"/>
      <c r="D37" s="398"/>
      <c r="E37" s="398"/>
      <c r="F37" s="398"/>
      <c r="G37" s="398"/>
      <c r="H37" s="398"/>
      <c r="I37" s="398"/>
      <c r="J37" s="398"/>
      <c r="K37" s="398"/>
      <c r="L37" s="398"/>
      <c r="P37" s="415" t="s">
        <v>97</v>
      </c>
      <c r="Q37" s="35">
        <v>19882</v>
      </c>
      <c r="R37" s="214">
        <v>80</v>
      </c>
      <c r="S37" s="16">
        <v>23353</v>
      </c>
    </row>
    <row r="38" spans="1:19">
      <c r="A38" s="398"/>
      <c r="B38" s="398"/>
      <c r="C38" s="398"/>
      <c r="D38" s="398"/>
      <c r="E38" s="398"/>
      <c r="F38" s="398"/>
      <c r="G38" s="398"/>
      <c r="H38" s="398"/>
      <c r="I38" s="398"/>
      <c r="J38" s="398"/>
      <c r="K38" s="398"/>
      <c r="L38" s="398"/>
      <c r="P38" s="415" t="s">
        <v>99</v>
      </c>
      <c r="Q38" s="35">
        <v>18753</v>
      </c>
      <c r="R38" s="216">
        <v>75</v>
      </c>
      <c r="S38" s="16">
        <v>22100</v>
      </c>
    </row>
    <row r="39" spans="1:19">
      <c r="A39" s="398"/>
      <c r="B39" s="398"/>
      <c r="C39" s="398"/>
      <c r="D39" s="398"/>
      <c r="E39" s="398"/>
      <c r="F39" s="398"/>
      <c r="G39" s="398"/>
      <c r="H39" s="398"/>
      <c r="I39" s="398"/>
      <c r="J39" s="398"/>
      <c r="K39" s="398"/>
      <c r="L39" s="398"/>
      <c r="P39" s="416" t="s">
        <v>100</v>
      </c>
      <c r="Q39" s="36">
        <v>17402</v>
      </c>
      <c r="R39" s="189">
        <v>73</v>
      </c>
      <c r="S39" s="21">
        <v>20318</v>
      </c>
    </row>
    <row r="40" spans="1:19">
      <c r="A40" s="398"/>
      <c r="B40" s="398"/>
      <c r="C40" s="398"/>
      <c r="D40" s="398"/>
      <c r="E40" s="398"/>
      <c r="F40" s="398"/>
      <c r="G40" s="398"/>
      <c r="H40" s="398"/>
      <c r="I40" s="398"/>
      <c r="J40" s="398"/>
      <c r="K40" s="398"/>
      <c r="L40" s="398"/>
      <c r="P40" s="417" t="s">
        <v>101</v>
      </c>
      <c r="Q40" s="37">
        <v>15990</v>
      </c>
      <c r="R40" s="194">
        <v>61</v>
      </c>
      <c r="S40" s="31">
        <v>18741</v>
      </c>
    </row>
    <row r="41" spans="1:19">
      <c r="P41" s="406" t="s">
        <v>102</v>
      </c>
      <c r="Q41" s="38">
        <v>15575</v>
      </c>
      <c r="R41" s="215">
        <v>64</v>
      </c>
      <c r="S41" s="26">
        <v>18280</v>
      </c>
    </row>
    <row r="42" spans="1:19">
      <c r="P42" s="416" t="s">
        <v>103</v>
      </c>
      <c r="Q42" s="36">
        <v>15403</v>
      </c>
      <c r="R42" s="189">
        <v>62</v>
      </c>
      <c r="S42" s="21">
        <v>18024</v>
      </c>
    </row>
    <row r="43" spans="1:19">
      <c r="P43" s="416" t="s">
        <v>105</v>
      </c>
      <c r="Q43" s="320">
        <v>14747</v>
      </c>
      <c r="R43" s="23">
        <v>65</v>
      </c>
      <c r="S43" s="20">
        <v>17282</v>
      </c>
    </row>
    <row r="44" spans="1:19">
      <c r="P44" s="416" t="s">
        <v>106</v>
      </c>
      <c r="Q44" s="320">
        <v>14500</v>
      </c>
      <c r="R44" s="23">
        <v>51</v>
      </c>
      <c r="S44" s="20">
        <v>16900</v>
      </c>
    </row>
    <row r="45" spans="1:19" s="1946" customFormat="1" ht="15">
      <c r="A45" s="1946" t="s">
        <v>908</v>
      </c>
      <c r="P45" s="1947" t="s">
        <v>107</v>
      </c>
      <c r="Q45" s="1948">
        <v>13973</v>
      </c>
      <c r="R45" s="1949">
        <v>49</v>
      </c>
      <c r="S45" s="1950">
        <v>16418</v>
      </c>
    </row>
    <row r="46" spans="1:19">
      <c r="P46" s="406" t="s">
        <v>108</v>
      </c>
      <c r="Q46" s="196">
        <v>12946</v>
      </c>
      <c r="R46" s="28">
        <v>51</v>
      </c>
      <c r="S46" s="25">
        <v>15221</v>
      </c>
    </row>
    <row r="47" spans="1:19">
      <c r="P47" s="415" t="s">
        <v>109</v>
      </c>
      <c r="Q47" s="318">
        <v>12769</v>
      </c>
      <c r="R47" s="18">
        <v>51</v>
      </c>
      <c r="S47" s="15">
        <v>14867</v>
      </c>
    </row>
    <row r="48" spans="1:19">
      <c r="P48" s="416" t="s">
        <v>111</v>
      </c>
      <c r="Q48" s="320">
        <v>12173</v>
      </c>
      <c r="R48" s="23">
        <v>49</v>
      </c>
      <c r="S48" s="21">
        <v>14231</v>
      </c>
    </row>
    <row r="49" spans="16:19">
      <c r="P49" s="416" t="s">
        <v>112</v>
      </c>
      <c r="Q49" s="320">
        <v>11332</v>
      </c>
      <c r="R49" s="23">
        <v>44</v>
      </c>
      <c r="S49" s="21">
        <v>13398</v>
      </c>
    </row>
    <row r="50" spans="16:19">
      <c r="P50" s="416" t="s">
        <v>113</v>
      </c>
      <c r="Q50" s="320">
        <v>10885</v>
      </c>
      <c r="R50" s="23">
        <v>44</v>
      </c>
      <c r="S50" s="21">
        <v>12723</v>
      </c>
    </row>
    <row r="51" spans="16:19">
      <c r="P51" s="416" t="s">
        <v>114</v>
      </c>
      <c r="Q51" s="320">
        <v>10080</v>
      </c>
      <c r="R51" s="23">
        <v>34</v>
      </c>
      <c r="S51" s="21">
        <v>11700</v>
      </c>
    </row>
    <row r="52" spans="16:19">
      <c r="P52" s="416" t="s">
        <v>115</v>
      </c>
      <c r="Q52" s="320">
        <v>8256</v>
      </c>
      <c r="R52" s="23">
        <v>37</v>
      </c>
      <c r="S52" s="21">
        <v>9493</v>
      </c>
    </row>
    <row r="53" spans="16:19">
      <c r="P53" s="349" t="s">
        <v>116</v>
      </c>
      <c r="Q53" s="320">
        <v>8296</v>
      </c>
      <c r="R53" s="23">
        <v>43</v>
      </c>
      <c r="S53" s="23">
        <v>9584</v>
      </c>
    </row>
    <row r="54" spans="16:19">
      <c r="P54" s="349" t="s">
        <v>117</v>
      </c>
      <c r="Q54" s="320">
        <v>8106</v>
      </c>
      <c r="R54" s="23">
        <v>40</v>
      </c>
      <c r="S54" s="23">
        <v>9278</v>
      </c>
    </row>
    <row r="55" spans="16:19">
      <c r="P55" s="349" t="s">
        <v>118</v>
      </c>
      <c r="Q55" s="320">
        <v>8199</v>
      </c>
      <c r="R55" s="23">
        <v>40</v>
      </c>
      <c r="S55" s="23">
        <v>9392</v>
      </c>
    </row>
    <row r="56" spans="16:19">
      <c r="P56" s="418" t="s">
        <v>502</v>
      </c>
      <c r="Q56" s="318">
        <v>7688</v>
      </c>
      <c r="R56" s="18">
        <v>43</v>
      </c>
      <c r="S56" s="18">
        <v>8722</v>
      </c>
    </row>
    <row r="57" spans="16:19" ht="14.4" thickBot="1">
      <c r="P57" s="347" t="s">
        <v>553</v>
      </c>
      <c r="Q57" s="181">
        <v>7849</v>
      </c>
      <c r="R57" s="39">
        <v>43</v>
      </c>
      <c r="S57" s="39">
        <v>8916</v>
      </c>
    </row>
  </sheetData>
  <mergeCells count="44">
    <mergeCell ref="F5:G5"/>
    <mergeCell ref="B6:C6"/>
    <mergeCell ref="D6:E6"/>
    <mergeCell ref="F6:G6"/>
    <mergeCell ref="G1:K1"/>
    <mergeCell ref="D2:E2"/>
    <mergeCell ref="F2:G2"/>
    <mergeCell ref="H2:K2"/>
    <mergeCell ref="D3:E3"/>
    <mergeCell ref="F3:G3"/>
    <mergeCell ref="H3:I3"/>
    <mergeCell ref="J3:K3"/>
    <mergeCell ref="D7:E7"/>
    <mergeCell ref="F7:G7"/>
    <mergeCell ref="A8:A11"/>
    <mergeCell ref="B8:C8"/>
    <mergeCell ref="D8:E8"/>
    <mergeCell ref="F8:G8"/>
    <mergeCell ref="B9:C9"/>
    <mergeCell ref="D9:E9"/>
    <mergeCell ref="F9:G9"/>
    <mergeCell ref="B10:C10"/>
    <mergeCell ref="A4:A7"/>
    <mergeCell ref="B4:C4"/>
    <mergeCell ref="D4:E4"/>
    <mergeCell ref="F4:G4"/>
    <mergeCell ref="B5:C5"/>
    <mergeCell ref="D5:E5"/>
    <mergeCell ref="D10:E10"/>
    <mergeCell ref="F10:G10"/>
    <mergeCell ref="D11:E11"/>
    <mergeCell ref="F11:G11"/>
    <mergeCell ref="A12:A15"/>
    <mergeCell ref="B12:C12"/>
    <mergeCell ref="D12:E12"/>
    <mergeCell ref="F12:G12"/>
    <mergeCell ref="B13:C13"/>
    <mergeCell ref="D13:E13"/>
    <mergeCell ref="F13:G13"/>
    <mergeCell ref="B14:C14"/>
    <mergeCell ref="D14:E14"/>
    <mergeCell ref="F14:G14"/>
    <mergeCell ref="D15:E15"/>
    <mergeCell ref="F15:G15"/>
  </mergeCells>
  <phoneticPr fontId="4"/>
  <printOptions horizontalCentered="1"/>
  <pageMargins left="0.78740157480314965" right="0.39370078740157483" top="0.98425196850393704" bottom="0.98425196850393704" header="0.31496062992125984" footer="0.51181102362204722"/>
  <pageSetup paperSize="9" scale="94" firstPageNumber="0" orientation="portrait" r:id="rId1"/>
  <headerFooter scaleWithDoc="0" alignWithMargins="0">
    <oddFooter>&amp;C- &amp;P -</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26D83C-0F6C-421D-9F7D-AFAB8C1C4BD9}">
  <sheetPr>
    <pageSetUpPr fitToPage="1"/>
  </sheetPr>
  <dimension ref="A1:Q34"/>
  <sheetViews>
    <sheetView view="pageBreakPreview" topLeftCell="A12" zoomScale="70" zoomScaleNormal="100" zoomScaleSheetLayoutView="70" workbookViewId="0">
      <selection activeCell="L76" sqref="L76"/>
    </sheetView>
  </sheetViews>
  <sheetFormatPr defaultColWidth="9" defaultRowHeight="13.8"/>
  <cols>
    <col min="1" max="1" width="9.77734375" style="497" customWidth="1"/>
    <col min="2" max="17" width="7.109375" style="497" customWidth="1"/>
    <col min="18" max="16384" width="9" style="497"/>
  </cols>
  <sheetData>
    <row r="1" spans="1:17" ht="15">
      <c r="A1" s="650" t="s">
        <v>429</v>
      </c>
    </row>
    <row r="2" spans="1:17" ht="15.6" thickBot="1">
      <c r="A2" s="650" t="s">
        <v>430</v>
      </c>
    </row>
    <row r="3" spans="1:17" ht="9.75" customHeight="1" thickBot="1">
      <c r="A3" s="865" t="s">
        <v>345</v>
      </c>
      <c r="B3" s="1291" t="s">
        <v>603</v>
      </c>
      <c r="C3" s="1314"/>
      <c r="D3" s="1314"/>
      <c r="E3" s="1761" t="s">
        <v>641</v>
      </c>
      <c r="F3" s="1291" t="s">
        <v>836</v>
      </c>
      <c r="G3" s="1314"/>
      <c r="H3" s="1314"/>
      <c r="I3" s="1761" t="s">
        <v>644</v>
      </c>
      <c r="J3" s="1291" t="s">
        <v>605</v>
      </c>
      <c r="K3" s="1314"/>
      <c r="L3" s="1314"/>
      <c r="M3" s="1509" t="s">
        <v>644</v>
      </c>
      <c r="N3" s="1512"/>
      <c r="O3" s="1262"/>
      <c r="P3" s="1262"/>
      <c r="Q3" s="872"/>
    </row>
    <row r="4" spans="1:17">
      <c r="A4" s="866"/>
      <c r="B4" s="1434"/>
      <c r="C4" s="1487"/>
      <c r="D4" s="1487"/>
      <c r="E4" s="1762"/>
      <c r="F4" s="1434"/>
      <c r="G4" s="1487"/>
      <c r="H4" s="1487"/>
      <c r="I4" s="1762"/>
      <c r="J4" s="1434"/>
      <c r="K4" s="1487"/>
      <c r="L4" s="1487"/>
      <c r="M4" s="1521"/>
      <c r="N4" s="1474" t="s">
        <v>837</v>
      </c>
      <c r="O4" s="1760"/>
      <c r="P4" s="1760"/>
      <c r="Q4" s="873" t="s">
        <v>431</v>
      </c>
    </row>
    <row r="5" spans="1:17">
      <c r="A5" s="867"/>
      <c r="B5" s="503" t="s">
        <v>752</v>
      </c>
      <c r="C5" s="504"/>
      <c r="D5" s="504"/>
      <c r="E5" s="504"/>
      <c r="F5" s="503" t="s">
        <v>752</v>
      </c>
      <c r="G5" s="504"/>
      <c r="H5" s="504"/>
      <c r="I5" s="504"/>
      <c r="J5" s="503" t="s">
        <v>752</v>
      </c>
      <c r="K5" s="505"/>
      <c r="L5" s="505"/>
      <c r="M5" s="506"/>
      <c r="N5" s="503" t="s">
        <v>752</v>
      </c>
      <c r="O5" s="505"/>
      <c r="P5" s="505"/>
      <c r="Q5" s="506"/>
    </row>
    <row r="6" spans="1:17" ht="22.5" customHeight="1" thickBot="1">
      <c r="A6" s="507" t="s">
        <v>432</v>
      </c>
      <c r="B6" s="508"/>
      <c r="C6" s="509" t="s">
        <v>433</v>
      </c>
      <c r="D6" s="510" t="s">
        <v>434</v>
      </c>
      <c r="E6" s="510" t="s">
        <v>230</v>
      </c>
      <c r="F6" s="508"/>
      <c r="G6" s="511" t="s">
        <v>435</v>
      </c>
      <c r="H6" s="868" t="s">
        <v>436</v>
      </c>
      <c r="I6" s="868" t="s">
        <v>325</v>
      </c>
      <c r="J6" s="508"/>
      <c r="K6" s="511" t="s">
        <v>435</v>
      </c>
      <c r="L6" s="868" t="s">
        <v>436</v>
      </c>
      <c r="M6" s="869" t="s">
        <v>325</v>
      </c>
      <c r="N6" s="508"/>
      <c r="O6" s="511" t="s">
        <v>435</v>
      </c>
      <c r="P6" s="868" t="s">
        <v>436</v>
      </c>
      <c r="Q6" s="869" t="s">
        <v>325</v>
      </c>
    </row>
    <row r="7" spans="1:17" ht="20.100000000000001" customHeight="1">
      <c r="A7" s="870" t="s">
        <v>576</v>
      </c>
      <c r="B7" s="896">
        <f t="shared" ref="B7:B30" si="0">SUM(C7:E7)</f>
        <v>139</v>
      </c>
      <c r="C7" s="1151">
        <v>49</v>
      </c>
      <c r="D7" s="1151">
        <v>59</v>
      </c>
      <c r="E7" s="1154">
        <v>31</v>
      </c>
      <c r="F7" s="896">
        <f t="shared" ref="F7:F30" si="1">SUM(G7:I7)</f>
        <v>0</v>
      </c>
      <c r="G7" s="1151">
        <v>0</v>
      </c>
      <c r="H7" s="1151">
        <v>0</v>
      </c>
      <c r="I7" s="1155">
        <v>0</v>
      </c>
      <c r="J7" s="897">
        <f t="shared" ref="J7:J30" si="2">SUM(K7:M7)</f>
        <v>144</v>
      </c>
      <c r="K7" s="1151">
        <v>51</v>
      </c>
      <c r="L7" s="1151">
        <v>61</v>
      </c>
      <c r="M7" s="1155">
        <v>32</v>
      </c>
      <c r="N7" s="897">
        <f t="shared" ref="N7:N30" si="3">SUM(O7:Q7)</f>
        <v>19</v>
      </c>
      <c r="O7" s="1151">
        <v>4</v>
      </c>
      <c r="P7" s="1151">
        <v>13</v>
      </c>
      <c r="Q7" s="1155">
        <v>2</v>
      </c>
    </row>
    <row r="8" spans="1:17" ht="20.100000000000001" customHeight="1">
      <c r="A8" s="787" t="s">
        <v>577</v>
      </c>
      <c r="B8" s="898">
        <f t="shared" si="0"/>
        <v>26</v>
      </c>
      <c r="C8" s="880">
        <v>5</v>
      </c>
      <c r="D8" s="880">
        <v>15</v>
      </c>
      <c r="E8" s="881">
        <v>6</v>
      </c>
      <c r="F8" s="898">
        <f t="shared" si="1"/>
        <v>0</v>
      </c>
      <c r="G8" s="880">
        <v>0</v>
      </c>
      <c r="H8" s="880">
        <v>0</v>
      </c>
      <c r="I8" s="1156">
        <v>0</v>
      </c>
      <c r="J8" s="899">
        <f t="shared" si="2"/>
        <v>26</v>
      </c>
      <c r="K8" s="880">
        <v>5</v>
      </c>
      <c r="L8" s="880">
        <v>15</v>
      </c>
      <c r="M8" s="1156">
        <v>6</v>
      </c>
      <c r="N8" s="899">
        <f t="shared" si="3"/>
        <v>11</v>
      </c>
      <c r="O8" s="880">
        <v>2</v>
      </c>
      <c r="P8" s="880">
        <v>8</v>
      </c>
      <c r="Q8" s="1156">
        <v>1</v>
      </c>
    </row>
    <row r="9" spans="1:17" ht="20.100000000000001" customHeight="1">
      <c r="A9" s="787" t="s">
        <v>578</v>
      </c>
      <c r="B9" s="898">
        <f t="shared" si="0"/>
        <v>30</v>
      </c>
      <c r="C9" s="880">
        <v>7</v>
      </c>
      <c r="D9" s="880">
        <v>18</v>
      </c>
      <c r="E9" s="881">
        <v>5</v>
      </c>
      <c r="F9" s="898">
        <f t="shared" si="1"/>
        <v>0</v>
      </c>
      <c r="G9" s="880">
        <v>0</v>
      </c>
      <c r="H9" s="880">
        <v>0</v>
      </c>
      <c r="I9" s="1156">
        <v>0</v>
      </c>
      <c r="J9" s="899">
        <f t="shared" si="2"/>
        <v>30</v>
      </c>
      <c r="K9" s="880">
        <v>7</v>
      </c>
      <c r="L9" s="880">
        <v>18</v>
      </c>
      <c r="M9" s="1156">
        <v>5</v>
      </c>
      <c r="N9" s="899">
        <f t="shared" si="3"/>
        <v>4</v>
      </c>
      <c r="O9" s="880">
        <v>0</v>
      </c>
      <c r="P9" s="880">
        <v>4</v>
      </c>
      <c r="Q9" s="1156">
        <v>0</v>
      </c>
    </row>
    <row r="10" spans="1:17" ht="20.100000000000001" customHeight="1">
      <c r="A10" s="787" t="s">
        <v>580</v>
      </c>
      <c r="B10" s="898">
        <f t="shared" si="0"/>
        <v>9</v>
      </c>
      <c r="C10" s="880">
        <v>5</v>
      </c>
      <c r="D10" s="880">
        <v>3</v>
      </c>
      <c r="E10" s="881">
        <v>1</v>
      </c>
      <c r="F10" s="898">
        <f t="shared" si="1"/>
        <v>0</v>
      </c>
      <c r="G10" s="880">
        <v>0</v>
      </c>
      <c r="H10" s="880">
        <v>0</v>
      </c>
      <c r="I10" s="1156">
        <v>0</v>
      </c>
      <c r="J10" s="899">
        <f t="shared" si="2"/>
        <v>9</v>
      </c>
      <c r="K10" s="880">
        <v>5</v>
      </c>
      <c r="L10" s="880">
        <v>3</v>
      </c>
      <c r="M10" s="1156">
        <v>1</v>
      </c>
      <c r="N10" s="899">
        <f t="shared" si="3"/>
        <v>0</v>
      </c>
      <c r="O10" s="880">
        <v>0</v>
      </c>
      <c r="P10" s="880">
        <v>0</v>
      </c>
      <c r="Q10" s="1156">
        <v>0</v>
      </c>
    </row>
    <row r="11" spans="1:17" ht="20.100000000000001" customHeight="1">
      <c r="A11" s="787" t="s">
        <v>581</v>
      </c>
      <c r="B11" s="898">
        <f t="shared" si="0"/>
        <v>167</v>
      </c>
      <c r="C11" s="880">
        <v>61</v>
      </c>
      <c r="D11" s="880">
        <v>77</v>
      </c>
      <c r="E11" s="881">
        <v>29</v>
      </c>
      <c r="F11" s="898">
        <f t="shared" si="1"/>
        <v>0</v>
      </c>
      <c r="G11" s="880">
        <v>0</v>
      </c>
      <c r="H11" s="880">
        <v>0</v>
      </c>
      <c r="I11" s="1156">
        <v>0</v>
      </c>
      <c r="J11" s="899">
        <f t="shared" si="2"/>
        <v>173</v>
      </c>
      <c r="K11" s="880">
        <v>63</v>
      </c>
      <c r="L11" s="880">
        <v>78</v>
      </c>
      <c r="M11" s="1156">
        <v>32</v>
      </c>
      <c r="N11" s="899">
        <f t="shared" si="3"/>
        <v>20</v>
      </c>
      <c r="O11" s="880">
        <v>5</v>
      </c>
      <c r="P11" s="880">
        <v>15</v>
      </c>
      <c r="Q11" s="1156">
        <v>0</v>
      </c>
    </row>
    <row r="12" spans="1:17" ht="20.100000000000001" customHeight="1">
      <c r="A12" s="787" t="s">
        <v>582</v>
      </c>
      <c r="B12" s="898">
        <f t="shared" si="0"/>
        <v>29</v>
      </c>
      <c r="C12" s="880">
        <v>8</v>
      </c>
      <c r="D12" s="880">
        <v>15</v>
      </c>
      <c r="E12" s="881">
        <v>6</v>
      </c>
      <c r="F12" s="898">
        <f t="shared" si="1"/>
        <v>3</v>
      </c>
      <c r="G12" s="880">
        <v>0</v>
      </c>
      <c r="H12" s="880">
        <v>1</v>
      </c>
      <c r="I12" s="1156">
        <v>2</v>
      </c>
      <c r="J12" s="899">
        <f t="shared" si="2"/>
        <v>26</v>
      </c>
      <c r="K12" s="880">
        <v>8</v>
      </c>
      <c r="L12" s="880">
        <v>14</v>
      </c>
      <c r="M12" s="1156">
        <v>4</v>
      </c>
      <c r="N12" s="899">
        <f t="shared" si="3"/>
        <v>6</v>
      </c>
      <c r="O12" s="880">
        <v>1</v>
      </c>
      <c r="P12" s="880">
        <v>4</v>
      </c>
      <c r="Q12" s="1156">
        <v>1</v>
      </c>
    </row>
    <row r="13" spans="1:17" ht="20.100000000000001" customHeight="1">
      <c r="A13" s="787" t="s">
        <v>583</v>
      </c>
      <c r="B13" s="898">
        <f t="shared" si="0"/>
        <v>19</v>
      </c>
      <c r="C13" s="880">
        <v>3</v>
      </c>
      <c r="D13" s="880">
        <v>13</v>
      </c>
      <c r="E13" s="881">
        <v>3</v>
      </c>
      <c r="F13" s="898">
        <f t="shared" si="1"/>
        <v>0</v>
      </c>
      <c r="G13" s="880">
        <v>0</v>
      </c>
      <c r="H13" s="880">
        <v>0</v>
      </c>
      <c r="I13" s="1156">
        <v>0</v>
      </c>
      <c r="J13" s="899">
        <f t="shared" si="2"/>
        <v>19</v>
      </c>
      <c r="K13" s="880">
        <v>3</v>
      </c>
      <c r="L13" s="880">
        <v>13</v>
      </c>
      <c r="M13" s="1156">
        <v>3</v>
      </c>
      <c r="N13" s="899">
        <f t="shared" si="3"/>
        <v>4</v>
      </c>
      <c r="O13" s="880">
        <v>0</v>
      </c>
      <c r="P13" s="880">
        <v>3</v>
      </c>
      <c r="Q13" s="1156">
        <v>1</v>
      </c>
    </row>
    <row r="14" spans="1:17" ht="20.100000000000001" customHeight="1">
      <c r="A14" s="787" t="s">
        <v>584</v>
      </c>
      <c r="B14" s="898">
        <f t="shared" si="0"/>
        <v>18</v>
      </c>
      <c r="C14" s="880">
        <v>7</v>
      </c>
      <c r="D14" s="880">
        <v>7</v>
      </c>
      <c r="E14" s="881">
        <v>4</v>
      </c>
      <c r="F14" s="898">
        <f t="shared" si="1"/>
        <v>0</v>
      </c>
      <c r="G14" s="880">
        <v>0</v>
      </c>
      <c r="H14" s="880">
        <v>0</v>
      </c>
      <c r="I14" s="1156">
        <v>0</v>
      </c>
      <c r="J14" s="899">
        <f t="shared" si="2"/>
        <v>19</v>
      </c>
      <c r="K14" s="880">
        <v>8</v>
      </c>
      <c r="L14" s="880">
        <v>7</v>
      </c>
      <c r="M14" s="1156">
        <v>4</v>
      </c>
      <c r="N14" s="899">
        <f t="shared" si="3"/>
        <v>7</v>
      </c>
      <c r="O14" s="880">
        <v>1</v>
      </c>
      <c r="P14" s="880">
        <v>4</v>
      </c>
      <c r="Q14" s="1156">
        <v>2</v>
      </c>
    </row>
    <row r="15" spans="1:17" ht="20.100000000000001" customHeight="1">
      <c r="A15" s="787" t="s">
        <v>585</v>
      </c>
      <c r="B15" s="898">
        <f t="shared" si="0"/>
        <v>40</v>
      </c>
      <c r="C15" s="880">
        <v>14</v>
      </c>
      <c r="D15" s="880">
        <v>19</v>
      </c>
      <c r="E15" s="881">
        <v>7</v>
      </c>
      <c r="F15" s="898">
        <f t="shared" si="1"/>
        <v>0</v>
      </c>
      <c r="G15" s="880">
        <v>0</v>
      </c>
      <c r="H15" s="880">
        <v>0</v>
      </c>
      <c r="I15" s="1156">
        <v>0</v>
      </c>
      <c r="J15" s="899">
        <f t="shared" si="2"/>
        <v>41</v>
      </c>
      <c r="K15" s="880">
        <v>14</v>
      </c>
      <c r="L15" s="880">
        <v>19</v>
      </c>
      <c r="M15" s="1156">
        <v>8</v>
      </c>
      <c r="N15" s="899">
        <f t="shared" si="3"/>
        <v>4</v>
      </c>
      <c r="O15" s="880">
        <v>2</v>
      </c>
      <c r="P15" s="880">
        <v>2</v>
      </c>
      <c r="Q15" s="1156">
        <v>0</v>
      </c>
    </row>
    <row r="16" spans="1:17" ht="20.100000000000001" customHeight="1">
      <c r="A16" s="787" t="s">
        <v>586</v>
      </c>
      <c r="B16" s="898">
        <f t="shared" si="0"/>
        <v>42</v>
      </c>
      <c r="C16" s="880">
        <v>14</v>
      </c>
      <c r="D16" s="880">
        <v>23</v>
      </c>
      <c r="E16" s="881">
        <v>5</v>
      </c>
      <c r="F16" s="898">
        <f t="shared" si="1"/>
        <v>1</v>
      </c>
      <c r="G16" s="880">
        <v>0</v>
      </c>
      <c r="H16" s="880">
        <v>0</v>
      </c>
      <c r="I16" s="1156">
        <v>1</v>
      </c>
      <c r="J16" s="899">
        <f t="shared" si="2"/>
        <v>42</v>
      </c>
      <c r="K16" s="880">
        <v>14</v>
      </c>
      <c r="L16" s="880">
        <v>24</v>
      </c>
      <c r="M16" s="1156">
        <v>4</v>
      </c>
      <c r="N16" s="899">
        <f t="shared" si="3"/>
        <v>11</v>
      </c>
      <c r="O16" s="880">
        <v>0</v>
      </c>
      <c r="P16" s="880">
        <v>9</v>
      </c>
      <c r="Q16" s="1156">
        <v>2</v>
      </c>
    </row>
    <row r="17" spans="1:17" ht="20.100000000000001" customHeight="1">
      <c r="A17" s="787" t="s">
        <v>749</v>
      </c>
      <c r="B17" s="898">
        <f t="shared" si="0"/>
        <v>25</v>
      </c>
      <c r="C17" s="880">
        <v>5</v>
      </c>
      <c r="D17" s="880">
        <v>17</v>
      </c>
      <c r="E17" s="881">
        <v>3</v>
      </c>
      <c r="F17" s="898">
        <f t="shared" si="1"/>
        <v>1</v>
      </c>
      <c r="G17" s="880">
        <v>0</v>
      </c>
      <c r="H17" s="880">
        <v>1</v>
      </c>
      <c r="I17" s="1156">
        <v>0</v>
      </c>
      <c r="J17" s="899">
        <f t="shared" si="2"/>
        <v>24</v>
      </c>
      <c r="K17" s="880">
        <v>5</v>
      </c>
      <c r="L17" s="880">
        <v>16</v>
      </c>
      <c r="M17" s="1156">
        <v>3</v>
      </c>
      <c r="N17" s="899">
        <f t="shared" si="3"/>
        <v>5</v>
      </c>
      <c r="O17" s="880">
        <v>1</v>
      </c>
      <c r="P17" s="880">
        <v>4</v>
      </c>
      <c r="Q17" s="1156">
        <v>0</v>
      </c>
    </row>
    <row r="18" spans="1:17" ht="20.100000000000001" customHeight="1">
      <c r="A18" s="787" t="s">
        <v>588</v>
      </c>
      <c r="B18" s="898">
        <f t="shared" si="0"/>
        <v>66</v>
      </c>
      <c r="C18" s="880">
        <v>18</v>
      </c>
      <c r="D18" s="880">
        <v>34</v>
      </c>
      <c r="E18" s="881">
        <v>14</v>
      </c>
      <c r="F18" s="898">
        <f t="shared" si="1"/>
        <v>3</v>
      </c>
      <c r="G18" s="880">
        <v>0</v>
      </c>
      <c r="H18" s="880">
        <v>1</v>
      </c>
      <c r="I18" s="1156">
        <v>2</v>
      </c>
      <c r="J18" s="899">
        <f t="shared" si="2"/>
        <v>63</v>
      </c>
      <c r="K18" s="880">
        <v>18</v>
      </c>
      <c r="L18" s="880">
        <v>33</v>
      </c>
      <c r="M18" s="1156">
        <v>12</v>
      </c>
      <c r="N18" s="899">
        <f t="shared" si="3"/>
        <v>7</v>
      </c>
      <c r="O18" s="880">
        <v>2</v>
      </c>
      <c r="P18" s="880">
        <v>5</v>
      </c>
      <c r="Q18" s="1156">
        <v>0</v>
      </c>
    </row>
    <row r="19" spans="1:17" ht="20.100000000000001" customHeight="1">
      <c r="A19" s="787" t="s">
        <v>750</v>
      </c>
      <c r="B19" s="898">
        <f t="shared" si="0"/>
        <v>57</v>
      </c>
      <c r="C19" s="880">
        <v>12</v>
      </c>
      <c r="D19" s="880">
        <v>32</v>
      </c>
      <c r="E19" s="881">
        <v>13</v>
      </c>
      <c r="F19" s="898">
        <f t="shared" si="1"/>
        <v>2</v>
      </c>
      <c r="G19" s="880">
        <v>0</v>
      </c>
      <c r="H19" s="880">
        <v>1</v>
      </c>
      <c r="I19" s="1156">
        <v>1</v>
      </c>
      <c r="J19" s="899">
        <f t="shared" si="2"/>
        <v>55</v>
      </c>
      <c r="K19" s="880">
        <v>12</v>
      </c>
      <c r="L19" s="880">
        <v>31</v>
      </c>
      <c r="M19" s="1156">
        <v>12</v>
      </c>
      <c r="N19" s="899">
        <f t="shared" si="3"/>
        <v>14</v>
      </c>
      <c r="O19" s="880">
        <v>4</v>
      </c>
      <c r="P19" s="880">
        <v>9</v>
      </c>
      <c r="Q19" s="1156">
        <v>1</v>
      </c>
    </row>
    <row r="20" spans="1:17" ht="20.100000000000001" customHeight="1">
      <c r="A20" s="787" t="s">
        <v>590</v>
      </c>
      <c r="B20" s="898">
        <f t="shared" si="0"/>
        <v>24</v>
      </c>
      <c r="C20" s="880">
        <v>9</v>
      </c>
      <c r="D20" s="880">
        <v>10</v>
      </c>
      <c r="E20" s="881">
        <v>5</v>
      </c>
      <c r="F20" s="898">
        <f t="shared" si="1"/>
        <v>0</v>
      </c>
      <c r="G20" s="880">
        <v>0</v>
      </c>
      <c r="H20" s="880">
        <v>0</v>
      </c>
      <c r="I20" s="1156">
        <v>0</v>
      </c>
      <c r="J20" s="899">
        <f t="shared" si="2"/>
        <v>25</v>
      </c>
      <c r="K20" s="880">
        <v>9</v>
      </c>
      <c r="L20" s="880">
        <v>11</v>
      </c>
      <c r="M20" s="1156">
        <v>5</v>
      </c>
      <c r="N20" s="899">
        <f t="shared" si="3"/>
        <v>6</v>
      </c>
      <c r="O20" s="880">
        <v>1</v>
      </c>
      <c r="P20" s="880">
        <v>4</v>
      </c>
      <c r="Q20" s="1156">
        <v>1</v>
      </c>
    </row>
    <row r="21" spans="1:17" ht="20.100000000000001" customHeight="1">
      <c r="A21" s="787" t="s">
        <v>591</v>
      </c>
      <c r="B21" s="898">
        <f t="shared" si="0"/>
        <v>28</v>
      </c>
      <c r="C21" s="880">
        <v>4</v>
      </c>
      <c r="D21" s="880">
        <v>13</v>
      </c>
      <c r="E21" s="881">
        <v>11</v>
      </c>
      <c r="F21" s="898">
        <f t="shared" si="1"/>
        <v>0</v>
      </c>
      <c r="G21" s="880">
        <v>0</v>
      </c>
      <c r="H21" s="880">
        <v>0</v>
      </c>
      <c r="I21" s="1156">
        <v>0</v>
      </c>
      <c r="J21" s="899">
        <f t="shared" si="2"/>
        <v>29</v>
      </c>
      <c r="K21" s="880">
        <v>4</v>
      </c>
      <c r="L21" s="880">
        <v>14</v>
      </c>
      <c r="M21" s="1156">
        <v>11</v>
      </c>
      <c r="N21" s="899">
        <f t="shared" si="3"/>
        <v>5</v>
      </c>
      <c r="O21" s="880">
        <v>0</v>
      </c>
      <c r="P21" s="880">
        <v>3</v>
      </c>
      <c r="Q21" s="1156">
        <v>2</v>
      </c>
    </row>
    <row r="22" spans="1:17" ht="20.100000000000001" customHeight="1">
      <c r="A22" s="787" t="s">
        <v>592</v>
      </c>
      <c r="B22" s="898">
        <f t="shared" si="0"/>
        <v>19</v>
      </c>
      <c r="C22" s="880">
        <v>5</v>
      </c>
      <c r="D22" s="880">
        <v>10</v>
      </c>
      <c r="E22" s="881">
        <v>4</v>
      </c>
      <c r="F22" s="898">
        <f t="shared" si="1"/>
        <v>1</v>
      </c>
      <c r="G22" s="880">
        <v>0</v>
      </c>
      <c r="H22" s="880">
        <v>1</v>
      </c>
      <c r="I22" s="1156">
        <v>0</v>
      </c>
      <c r="J22" s="899">
        <f t="shared" si="2"/>
        <v>18</v>
      </c>
      <c r="K22" s="880">
        <v>5</v>
      </c>
      <c r="L22" s="880">
        <v>9</v>
      </c>
      <c r="M22" s="1156">
        <v>4</v>
      </c>
      <c r="N22" s="899">
        <f t="shared" si="3"/>
        <v>3</v>
      </c>
      <c r="O22" s="880">
        <v>0</v>
      </c>
      <c r="P22" s="880">
        <v>2</v>
      </c>
      <c r="Q22" s="1156">
        <v>1</v>
      </c>
    </row>
    <row r="23" spans="1:17" ht="20.100000000000001" customHeight="1">
      <c r="A23" s="787" t="s">
        <v>593</v>
      </c>
      <c r="B23" s="898">
        <f t="shared" si="0"/>
        <v>37</v>
      </c>
      <c r="C23" s="880">
        <v>10</v>
      </c>
      <c r="D23" s="880">
        <v>17</v>
      </c>
      <c r="E23" s="881">
        <v>10</v>
      </c>
      <c r="F23" s="898">
        <f t="shared" si="1"/>
        <v>0</v>
      </c>
      <c r="G23" s="880">
        <v>0</v>
      </c>
      <c r="H23" s="880">
        <v>0</v>
      </c>
      <c r="I23" s="1156">
        <v>0</v>
      </c>
      <c r="J23" s="899">
        <f t="shared" si="2"/>
        <v>38</v>
      </c>
      <c r="K23" s="880">
        <v>10</v>
      </c>
      <c r="L23" s="880">
        <v>18</v>
      </c>
      <c r="M23" s="1156">
        <v>10</v>
      </c>
      <c r="N23" s="899">
        <f t="shared" si="3"/>
        <v>13</v>
      </c>
      <c r="O23" s="880">
        <v>2</v>
      </c>
      <c r="P23" s="880">
        <v>10</v>
      </c>
      <c r="Q23" s="1156">
        <v>1</v>
      </c>
    </row>
    <row r="24" spans="1:17" ht="20.100000000000001" customHeight="1">
      <c r="A24" s="787" t="s">
        <v>594</v>
      </c>
      <c r="B24" s="898">
        <f t="shared" si="0"/>
        <v>21</v>
      </c>
      <c r="C24" s="880">
        <v>5</v>
      </c>
      <c r="D24" s="880">
        <v>11</v>
      </c>
      <c r="E24" s="881">
        <v>5</v>
      </c>
      <c r="F24" s="898">
        <f t="shared" si="1"/>
        <v>0</v>
      </c>
      <c r="G24" s="880">
        <v>0</v>
      </c>
      <c r="H24" s="880">
        <v>0</v>
      </c>
      <c r="I24" s="1156">
        <v>0</v>
      </c>
      <c r="J24" s="899">
        <f t="shared" si="2"/>
        <v>21</v>
      </c>
      <c r="K24" s="880">
        <v>5</v>
      </c>
      <c r="L24" s="880">
        <v>11</v>
      </c>
      <c r="M24" s="1156">
        <v>5</v>
      </c>
      <c r="N24" s="899">
        <f t="shared" si="3"/>
        <v>0</v>
      </c>
      <c r="O24" s="880">
        <v>0</v>
      </c>
      <c r="P24" s="880">
        <v>0</v>
      </c>
      <c r="Q24" s="1156">
        <v>0</v>
      </c>
    </row>
    <row r="25" spans="1:17" ht="20.100000000000001" customHeight="1">
      <c r="A25" s="787" t="s">
        <v>595</v>
      </c>
      <c r="B25" s="898">
        <f t="shared" si="0"/>
        <v>48</v>
      </c>
      <c r="C25" s="880">
        <v>13</v>
      </c>
      <c r="D25" s="880">
        <v>25</v>
      </c>
      <c r="E25" s="881">
        <v>10</v>
      </c>
      <c r="F25" s="898">
        <f t="shared" si="1"/>
        <v>1</v>
      </c>
      <c r="G25" s="880">
        <v>0</v>
      </c>
      <c r="H25" s="880">
        <v>1</v>
      </c>
      <c r="I25" s="1156">
        <v>0</v>
      </c>
      <c r="J25" s="899">
        <f t="shared" si="2"/>
        <v>47</v>
      </c>
      <c r="K25" s="880">
        <v>13</v>
      </c>
      <c r="L25" s="880">
        <v>24</v>
      </c>
      <c r="M25" s="1156">
        <v>10</v>
      </c>
      <c r="N25" s="899">
        <f t="shared" si="3"/>
        <v>9</v>
      </c>
      <c r="O25" s="880">
        <v>0</v>
      </c>
      <c r="P25" s="880">
        <v>8</v>
      </c>
      <c r="Q25" s="1156">
        <v>1</v>
      </c>
    </row>
    <row r="26" spans="1:17" ht="20.100000000000001" customHeight="1">
      <c r="A26" s="787" t="s">
        <v>596</v>
      </c>
      <c r="B26" s="898">
        <f t="shared" si="0"/>
        <v>23</v>
      </c>
      <c r="C26" s="880">
        <v>2</v>
      </c>
      <c r="D26" s="880">
        <v>17</v>
      </c>
      <c r="E26" s="881">
        <v>4</v>
      </c>
      <c r="F26" s="898">
        <f t="shared" si="1"/>
        <v>0</v>
      </c>
      <c r="G26" s="880">
        <v>0</v>
      </c>
      <c r="H26" s="880">
        <v>0</v>
      </c>
      <c r="I26" s="1156">
        <v>0</v>
      </c>
      <c r="J26" s="899">
        <f t="shared" si="2"/>
        <v>23</v>
      </c>
      <c r="K26" s="880">
        <v>2</v>
      </c>
      <c r="L26" s="880">
        <v>17</v>
      </c>
      <c r="M26" s="1156">
        <v>4</v>
      </c>
      <c r="N26" s="899">
        <f t="shared" si="3"/>
        <v>7</v>
      </c>
      <c r="O26" s="880">
        <v>0</v>
      </c>
      <c r="P26" s="880">
        <v>6</v>
      </c>
      <c r="Q26" s="1156">
        <v>1</v>
      </c>
    </row>
    <row r="27" spans="1:17" ht="20.100000000000001" customHeight="1">
      <c r="A27" s="787" t="s">
        <v>597</v>
      </c>
      <c r="B27" s="898">
        <f t="shared" si="0"/>
        <v>38</v>
      </c>
      <c r="C27" s="880">
        <v>12</v>
      </c>
      <c r="D27" s="880">
        <v>19</v>
      </c>
      <c r="E27" s="881">
        <v>7</v>
      </c>
      <c r="F27" s="898">
        <f t="shared" si="1"/>
        <v>0</v>
      </c>
      <c r="G27" s="880">
        <v>0</v>
      </c>
      <c r="H27" s="880">
        <v>0</v>
      </c>
      <c r="I27" s="1156">
        <v>0</v>
      </c>
      <c r="J27" s="899">
        <f t="shared" si="2"/>
        <v>39</v>
      </c>
      <c r="K27" s="880">
        <v>12</v>
      </c>
      <c r="L27" s="880">
        <v>20</v>
      </c>
      <c r="M27" s="1156">
        <v>7</v>
      </c>
      <c r="N27" s="899">
        <f t="shared" si="3"/>
        <v>6</v>
      </c>
      <c r="O27" s="880">
        <v>2</v>
      </c>
      <c r="P27" s="880">
        <v>4</v>
      </c>
      <c r="Q27" s="1156">
        <v>0</v>
      </c>
    </row>
    <row r="28" spans="1:17" ht="20.100000000000001" customHeight="1">
      <c r="A28" s="787" t="s">
        <v>751</v>
      </c>
      <c r="B28" s="898">
        <f t="shared" si="0"/>
        <v>14</v>
      </c>
      <c r="C28" s="880">
        <v>4</v>
      </c>
      <c r="D28" s="880">
        <v>8</v>
      </c>
      <c r="E28" s="881">
        <v>2</v>
      </c>
      <c r="F28" s="898">
        <f t="shared" si="1"/>
        <v>2</v>
      </c>
      <c r="G28" s="880">
        <v>0</v>
      </c>
      <c r="H28" s="880">
        <v>1</v>
      </c>
      <c r="I28" s="1156">
        <v>1</v>
      </c>
      <c r="J28" s="899">
        <f t="shared" si="2"/>
        <v>12</v>
      </c>
      <c r="K28" s="880">
        <v>4</v>
      </c>
      <c r="L28" s="880">
        <v>7</v>
      </c>
      <c r="M28" s="1156">
        <v>1</v>
      </c>
      <c r="N28" s="899">
        <f t="shared" si="3"/>
        <v>6</v>
      </c>
      <c r="O28" s="880">
        <v>2</v>
      </c>
      <c r="P28" s="880">
        <v>4</v>
      </c>
      <c r="Q28" s="1156">
        <v>0</v>
      </c>
    </row>
    <row r="29" spans="1:17" ht="20.100000000000001" customHeight="1">
      <c r="A29" s="787" t="s">
        <v>599</v>
      </c>
      <c r="B29" s="898">
        <f t="shared" si="0"/>
        <v>22</v>
      </c>
      <c r="C29" s="880">
        <v>3</v>
      </c>
      <c r="D29" s="880">
        <v>14</v>
      </c>
      <c r="E29" s="881">
        <v>5</v>
      </c>
      <c r="F29" s="898">
        <f t="shared" si="1"/>
        <v>0</v>
      </c>
      <c r="G29" s="880">
        <v>0</v>
      </c>
      <c r="H29" s="880">
        <v>0</v>
      </c>
      <c r="I29" s="1156">
        <v>0</v>
      </c>
      <c r="J29" s="899">
        <f t="shared" si="2"/>
        <v>22</v>
      </c>
      <c r="K29" s="880">
        <v>3</v>
      </c>
      <c r="L29" s="880">
        <v>14</v>
      </c>
      <c r="M29" s="1156">
        <v>5</v>
      </c>
      <c r="N29" s="899">
        <f t="shared" si="3"/>
        <v>6</v>
      </c>
      <c r="O29" s="880">
        <v>1</v>
      </c>
      <c r="P29" s="880">
        <v>4</v>
      </c>
      <c r="Q29" s="1156">
        <v>1</v>
      </c>
    </row>
    <row r="30" spans="1:17" ht="20.100000000000001" customHeight="1" thickBot="1">
      <c r="A30" s="503" t="s">
        <v>600</v>
      </c>
      <c r="B30" s="900">
        <f t="shared" si="0"/>
        <v>31</v>
      </c>
      <c r="C30" s="1153">
        <v>11</v>
      </c>
      <c r="D30" s="1153">
        <v>12</v>
      </c>
      <c r="E30" s="1157">
        <v>8</v>
      </c>
      <c r="F30" s="900">
        <f t="shared" si="1"/>
        <v>0</v>
      </c>
      <c r="G30" s="1153">
        <v>0</v>
      </c>
      <c r="H30" s="1153">
        <v>0</v>
      </c>
      <c r="I30" s="1158">
        <v>0</v>
      </c>
      <c r="J30" s="901">
        <f t="shared" si="2"/>
        <v>31</v>
      </c>
      <c r="K30" s="1153">
        <v>11</v>
      </c>
      <c r="L30" s="1153">
        <v>12</v>
      </c>
      <c r="M30" s="1158">
        <v>8</v>
      </c>
      <c r="N30" s="901">
        <f t="shared" si="3"/>
        <v>4</v>
      </c>
      <c r="O30" s="1153">
        <v>0</v>
      </c>
      <c r="P30" s="1153">
        <v>4</v>
      </c>
      <c r="Q30" s="1158">
        <v>0</v>
      </c>
    </row>
    <row r="31" spans="1:17" ht="20.100000000000001" customHeight="1" thickBot="1">
      <c r="A31" s="871" t="s">
        <v>635</v>
      </c>
      <c r="B31" s="902">
        <f t="shared" ref="B31:Q31" si="4">SUM(B7:B30)</f>
        <v>972</v>
      </c>
      <c r="C31" s="902">
        <f t="shared" si="4"/>
        <v>286</v>
      </c>
      <c r="D31" s="902">
        <f t="shared" si="4"/>
        <v>488</v>
      </c>
      <c r="E31" s="903">
        <f t="shared" si="4"/>
        <v>198</v>
      </c>
      <c r="F31" s="904">
        <f t="shared" si="4"/>
        <v>14</v>
      </c>
      <c r="G31" s="902">
        <f t="shared" si="4"/>
        <v>0</v>
      </c>
      <c r="H31" s="902">
        <f t="shared" si="4"/>
        <v>7</v>
      </c>
      <c r="I31" s="905">
        <f t="shared" si="4"/>
        <v>7</v>
      </c>
      <c r="J31" s="906">
        <f t="shared" si="4"/>
        <v>976</v>
      </c>
      <c r="K31" s="907">
        <f t="shared" si="4"/>
        <v>291</v>
      </c>
      <c r="L31" s="907">
        <f t="shared" si="4"/>
        <v>489</v>
      </c>
      <c r="M31" s="908">
        <f t="shared" si="4"/>
        <v>196</v>
      </c>
      <c r="N31" s="906">
        <f t="shared" si="4"/>
        <v>177</v>
      </c>
      <c r="O31" s="907">
        <f t="shared" si="4"/>
        <v>30</v>
      </c>
      <c r="P31" s="907">
        <f t="shared" si="4"/>
        <v>129</v>
      </c>
      <c r="Q31" s="908">
        <f t="shared" si="4"/>
        <v>18</v>
      </c>
    </row>
    <row r="32" spans="1:17" s="1889" customFormat="1" ht="19.5" customHeight="1">
      <c r="A32" s="1896" t="s">
        <v>937</v>
      </c>
      <c r="B32" s="1896"/>
      <c r="C32" s="1896"/>
      <c r="D32" s="1896"/>
      <c r="E32" s="1896"/>
      <c r="F32" s="1896"/>
      <c r="G32" s="1896"/>
      <c r="H32" s="1896"/>
      <c r="I32" s="1896"/>
      <c r="J32" s="1896"/>
      <c r="K32" s="1896"/>
      <c r="L32" s="1896"/>
      <c r="M32" s="1896"/>
    </row>
    <row r="33" spans="1:17" s="1889" customFormat="1" ht="18">
      <c r="A33" s="1897" t="s">
        <v>916</v>
      </c>
      <c r="B33" s="1901"/>
      <c r="C33" s="1901"/>
      <c r="D33" s="1901"/>
      <c r="E33" s="1901"/>
      <c r="F33" s="1901"/>
      <c r="G33" s="1901"/>
      <c r="H33" s="1901"/>
      <c r="I33" s="1901"/>
      <c r="J33" s="1901"/>
      <c r="K33" s="1901"/>
      <c r="L33" s="1901"/>
      <c r="M33" s="1901"/>
      <c r="N33" s="1901"/>
      <c r="O33" s="1901"/>
      <c r="P33" s="1901"/>
      <c r="Q33" s="1901"/>
    </row>
    <row r="34" spans="1:17">
      <c r="B34" s="512"/>
      <c r="C34" s="512"/>
      <c r="D34" s="512"/>
      <c r="E34" s="512"/>
      <c r="F34" s="512"/>
      <c r="G34" s="512"/>
      <c r="H34" s="512"/>
      <c r="I34" s="512"/>
      <c r="J34" s="512"/>
      <c r="K34" s="512"/>
      <c r="L34" s="512"/>
      <c r="M34" s="512"/>
      <c r="N34" s="512"/>
      <c r="O34" s="512"/>
      <c r="P34" s="512"/>
      <c r="Q34" s="512"/>
    </row>
  </sheetData>
  <mergeCells count="9">
    <mergeCell ref="N3:P3"/>
    <mergeCell ref="N4:P4"/>
    <mergeCell ref="A32:M32"/>
    <mergeCell ref="B3:D4"/>
    <mergeCell ref="E3:E4"/>
    <mergeCell ref="F3:H4"/>
    <mergeCell ref="I3:I4"/>
    <mergeCell ref="J3:L4"/>
    <mergeCell ref="M3:M4"/>
  </mergeCells>
  <phoneticPr fontId="4"/>
  <printOptions horizontalCentered="1"/>
  <pageMargins left="0.78740157480314965" right="0.39370078740157483" top="0.98425196850393704" bottom="0.98425196850393704" header="0.31496062992125984" footer="0.51181102362204722"/>
  <pageSetup paperSize="9" scale="74" orientation="portrait" r:id="rId1"/>
  <headerFooter scaleWithDoc="0" alignWithMargins="0">
    <oddFooter>&amp;C- &amp;P -</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CFAC3-D6E4-46B5-B134-BD8170F58C7C}">
  <sheetPr>
    <pageSetUpPr fitToPage="1"/>
  </sheetPr>
  <dimension ref="A1:R35"/>
  <sheetViews>
    <sheetView view="pageBreakPreview" topLeftCell="A25" zoomScale="80" zoomScaleNormal="100" zoomScaleSheetLayoutView="80" workbookViewId="0">
      <selection activeCell="L76" sqref="L76"/>
    </sheetView>
  </sheetViews>
  <sheetFormatPr defaultColWidth="9" defaultRowHeight="13.8"/>
  <cols>
    <col min="1" max="1" width="3.77734375" style="497" customWidth="1"/>
    <col min="2" max="2" width="4.6640625" style="497" customWidth="1"/>
    <col min="3" max="18" width="6.6640625" style="497" customWidth="1"/>
    <col min="19" max="19" width="5.44140625" style="497" customWidth="1"/>
    <col min="20" max="16384" width="9" style="497"/>
  </cols>
  <sheetData>
    <row r="1" spans="1:18" ht="15">
      <c r="A1" s="1765" t="s">
        <v>429</v>
      </c>
      <c r="B1" s="1367"/>
      <c r="C1" s="1367"/>
      <c r="D1" s="1367"/>
      <c r="E1" s="1367"/>
      <c r="F1" s="1367"/>
    </row>
    <row r="2" spans="1:18" ht="14.4" thickBot="1">
      <c r="A2" s="1477" t="s">
        <v>838</v>
      </c>
      <c r="B2" s="1477"/>
      <c r="C2" s="1477"/>
      <c r="D2" s="1477"/>
      <c r="E2" s="1477"/>
      <c r="F2" s="1477"/>
    </row>
    <row r="3" spans="1:18" ht="12" customHeight="1" thickBot="1">
      <c r="A3" s="513"/>
      <c r="B3" s="514" t="s">
        <v>345</v>
      </c>
      <c r="C3" s="1291" t="s">
        <v>603</v>
      </c>
      <c r="D3" s="1314"/>
      <c r="E3" s="1314"/>
      <c r="F3" s="1761" t="s">
        <v>641</v>
      </c>
      <c r="G3" s="1291" t="s">
        <v>836</v>
      </c>
      <c r="H3" s="1314"/>
      <c r="I3" s="1314"/>
      <c r="J3" s="1761" t="s">
        <v>644</v>
      </c>
      <c r="K3" s="1291" t="s">
        <v>605</v>
      </c>
      <c r="L3" s="1314"/>
      <c r="M3" s="1314"/>
      <c r="N3" s="1764" t="s">
        <v>644</v>
      </c>
      <c r="O3" s="1512"/>
      <c r="P3" s="1262"/>
      <c r="Q3" s="1262"/>
      <c r="R3" s="515"/>
    </row>
    <row r="4" spans="1:18">
      <c r="A4" s="516"/>
      <c r="B4" s="517"/>
      <c r="C4" s="1434"/>
      <c r="D4" s="1487"/>
      <c r="E4" s="1487"/>
      <c r="F4" s="1762"/>
      <c r="G4" s="1434"/>
      <c r="H4" s="1487"/>
      <c r="I4" s="1487"/>
      <c r="J4" s="1762"/>
      <c r="K4" s="1434"/>
      <c r="L4" s="1487"/>
      <c r="M4" s="1487"/>
      <c r="N4" s="1762"/>
      <c r="O4" s="1474" t="s">
        <v>606</v>
      </c>
      <c r="P4" s="1760"/>
      <c r="Q4" s="1760"/>
      <c r="R4" s="518" t="s">
        <v>644</v>
      </c>
    </row>
    <row r="5" spans="1:18" ht="20.100000000000001" customHeight="1">
      <c r="A5" s="516"/>
      <c r="B5" s="500"/>
      <c r="C5" s="503" t="s">
        <v>752</v>
      </c>
      <c r="D5" s="504"/>
      <c r="E5" s="504"/>
      <c r="F5" s="504"/>
      <c r="G5" s="503" t="s">
        <v>635</v>
      </c>
      <c r="H5" s="504"/>
      <c r="I5" s="504"/>
      <c r="J5" s="504"/>
      <c r="K5" s="503" t="s">
        <v>635</v>
      </c>
      <c r="L5" s="505"/>
      <c r="M5" s="505"/>
      <c r="N5" s="506"/>
      <c r="O5" s="503" t="s">
        <v>635</v>
      </c>
      <c r="P5" s="505"/>
      <c r="Q5" s="505"/>
      <c r="R5" s="506"/>
    </row>
    <row r="6" spans="1:18" ht="20.100000000000001" customHeight="1" thickBot="1">
      <c r="A6" s="507" t="s">
        <v>437</v>
      </c>
      <c r="B6" s="500"/>
      <c r="C6" s="519"/>
      <c r="D6" s="520" t="s">
        <v>438</v>
      </c>
      <c r="E6" s="521" t="s">
        <v>439</v>
      </c>
      <c r="F6" s="521" t="s">
        <v>440</v>
      </c>
      <c r="G6" s="522"/>
      <c r="H6" s="520" t="s">
        <v>438</v>
      </c>
      <c r="I6" s="521" t="s">
        <v>439</v>
      </c>
      <c r="J6" s="521" t="s">
        <v>440</v>
      </c>
      <c r="K6" s="522"/>
      <c r="L6" s="520" t="s">
        <v>438</v>
      </c>
      <c r="M6" s="521" t="s">
        <v>439</v>
      </c>
      <c r="N6" s="523" t="s">
        <v>440</v>
      </c>
      <c r="O6" s="522"/>
      <c r="P6" s="520" t="s">
        <v>438</v>
      </c>
      <c r="Q6" s="521" t="s">
        <v>439</v>
      </c>
      <c r="R6" s="523" t="s">
        <v>440</v>
      </c>
    </row>
    <row r="7" spans="1:18" ht="20.100000000000001" customHeight="1">
      <c r="A7" s="524"/>
      <c r="B7" s="525">
        <v>0</v>
      </c>
      <c r="C7" s="874">
        <f t="shared" ref="C7:C30" si="0">SUM(D7:F7)</f>
        <v>29</v>
      </c>
      <c r="D7" s="1159">
        <v>12</v>
      </c>
      <c r="E7" s="1160">
        <v>12</v>
      </c>
      <c r="F7" s="1160">
        <v>5</v>
      </c>
      <c r="G7" s="874">
        <f t="shared" ref="G7:G30" si="1">SUM(H7:J7)</f>
        <v>1</v>
      </c>
      <c r="H7" s="1159">
        <v>0</v>
      </c>
      <c r="I7" s="1160">
        <v>0</v>
      </c>
      <c r="J7" s="1161">
        <v>1</v>
      </c>
      <c r="K7" s="879">
        <f t="shared" ref="K7:K30" si="2">SUM(L7:N7)</f>
        <v>28</v>
      </c>
      <c r="L7" s="1159">
        <v>12</v>
      </c>
      <c r="M7" s="1160">
        <v>12</v>
      </c>
      <c r="N7" s="1161">
        <v>4</v>
      </c>
      <c r="O7" s="879">
        <f t="shared" ref="O7:O30" si="3">SUM(P7:R7)</f>
        <v>4</v>
      </c>
      <c r="P7" s="1159">
        <v>0</v>
      </c>
      <c r="Q7" s="1160">
        <v>4</v>
      </c>
      <c r="R7" s="1161">
        <v>0</v>
      </c>
    </row>
    <row r="8" spans="1:18" ht="20.100000000000001" customHeight="1">
      <c r="A8" s="524" t="s">
        <v>631</v>
      </c>
      <c r="B8" s="527">
        <v>1</v>
      </c>
      <c r="C8" s="874">
        <f t="shared" si="0"/>
        <v>17</v>
      </c>
      <c r="D8" s="880">
        <v>4</v>
      </c>
      <c r="E8" s="881">
        <v>7</v>
      </c>
      <c r="F8" s="881">
        <v>6</v>
      </c>
      <c r="G8" s="874">
        <f t="shared" si="1"/>
        <v>1</v>
      </c>
      <c r="H8" s="880">
        <v>0</v>
      </c>
      <c r="I8" s="881">
        <v>0</v>
      </c>
      <c r="J8" s="1156">
        <v>1</v>
      </c>
      <c r="K8" s="879">
        <f t="shared" si="2"/>
        <v>17</v>
      </c>
      <c r="L8" s="880">
        <v>4</v>
      </c>
      <c r="M8" s="881">
        <v>7</v>
      </c>
      <c r="N8" s="1156">
        <v>6</v>
      </c>
      <c r="O8" s="879">
        <f t="shared" si="3"/>
        <v>6</v>
      </c>
      <c r="P8" s="880">
        <v>2</v>
      </c>
      <c r="Q8" s="881">
        <v>3</v>
      </c>
      <c r="R8" s="1156">
        <v>1</v>
      </c>
    </row>
    <row r="9" spans="1:18" ht="20.100000000000001" customHeight="1">
      <c r="A9" s="524"/>
      <c r="B9" s="527">
        <v>2</v>
      </c>
      <c r="C9" s="874">
        <f t="shared" si="0"/>
        <v>19</v>
      </c>
      <c r="D9" s="880">
        <v>9</v>
      </c>
      <c r="E9" s="881">
        <v>8</v>
      </c>
      <c r="F9" s="881">
        <v>2</v>
      </c>
      <c r="G9" s="874">
        <f t="shared" si="1"/>
        <v>1</v>
      </c>
      <c r="H9" s="880">
        <v>0</v>
      </c>
      <c r="I9" s="881">
        <v>0</v>
      </c>
      <c r="J9" s="1156">
        <v>1</v>
      </c>
      <c r="K9" s="879">
        <f t="shared" si="2"/>
        <v>19</v>
      </c>
      <c r="L9" s="880">
        <v>9</v>
      </c>
      <c r="M9" s="881">
        <v>9</v>
      </c>
      <c r="N9" s="1156">
        <v>1</v>
      </c>
      <c r="O9" s="879">
        <f t="shared" si="3"/>
        <v>2</v>
      </c>
      <c r="P9" s="880">
        <v>0</v>
      </c>
      <c r="Q9" s="881">
        <v>2</v>
      </c>
      <c r="R9" s="1156">
        <v>0</v>
      </c>
    </row>
    <row r="10" spans="1:18" ht="20.100000000000001" customHeight="1">
      <c r="A10" s="524" t="s">
        <v>632</v>
      </c>
      <c r="B10" s="527">
        <v>3</v>
      </c>
      <c r="C10" s="874">
        <f t="shared" si="0"/>
        <v>10</v>
      </c>
      <c r="D10" s="880">
        <v>3</v>
      </c>
      <c r="E10" s="881">
        <v>2</v>
      </c>
      <c r="F10" s="881">
        <v>5</v>
      </c>
      <c r="G10" s="874">
        <f t="shared" si="1"/>
        <v>0</v>
      </c>
      <c r="H10" s="880">
        <v>0</v>
      </c>
      <c r="I10" s="881">
        <v>0</v>
      </c>
      <c r="J10" s="1156">
        <v>0</v>
      </c>
      <c r="K10" s="879">
        <f t="shared" si="2"/>
        <v>11</v>
      </c>
      <c r="L10" s="880">
        <v>3</v>
      </c>
      <c r="M10" s="881">
        <v>2</v>
      </c>
      <c r="N10" s="1156">
        <v>6</v>
      </c>
      <c r="O10" s="879">
        <f t="shared" si="3"/>
        <v>1</v>
      </c>
      <c r="P10" s="880">
        <v>0</v>
      </c>
      <c r="Q10" s="881">
        <v>0</v>
      </c>
      <c r="R10" s="1156">
        <v>1</v>
      </c>
    </row>
    <row r="11" spans="1:18" ht="20.100000000000001" customHeight="1">
      <c r="A11" s="524"/>
      <c r="B11" s="527">
        <v>4</v>
      </c>
      <c r="C11" s="874">
        <f t="shared" si="0"/>
        <v>15</v>
      </c>
      <c r="D11" s="880">
        <v>2</v>
      </c>
      <c r="E11" s="881">
        <v>7</v>
      </c>
      <c r="F11" s="881">
        <v>6</v>
      </c>
      <c r="G11" s="874">
        <f t="shared" si="1"/>
        <v>2</v>
      </c>
      <c r="H11" s="880">
        <v>0</v>
      </c>
      <c r="I11" s="881">
        <v>1</v>
      </c>
      <c r="J11" s="1156">
        <v>1</v>
      </c>
      <c r="K11" s="879">
        <f t="shared" si="2"/>
        <v>16</v>
      </c>
      <c r="L11" s="880">
        <v>2</v>
      </c>
      <c r="M11" s="881">
        <v>8</v>
      </c>
      <c r="N11" s="1156">
        <v>6</v>
      </c>
      <c r="O11" s="879">
        <f t="shared" si="3"/>
        <v>6</v>
      </c>
      <c r="P11" s="880">
        <v>1</v>
      </c>
      <c r="Q11" s="881">
        <v>5</v>
      </c>
      <c r="R11" s="1156">
        <v>0</v>
      </c>
    </row>
    <row r="12" spans="1:18" ht="20.100000000000001" customHeight="1">
      <c r="A12" s="528"/>
      <c r="B12" s="527">
        <v>5</v>
      </c>
      <c r="C12" s="874">
        <f t="shared" si="0"/>
        <v>16</v>
      </c>
      <c r="D12" s="880">
        <v>1</v>
      </c>
      <c r="E12" s="881">
        <v>12</v>
      </c>
      <c r="F12" s="881">
        <v>3</v>
      </c>
      <c r="G12" s="874">
        <f t="shared" si="1"/>
        <v>2</v>
      </c>
      <c r="H12" s="880">
        <v>0</v>
      </c>
      <c r="I12" s="881">
        <v>2</v>
      </c>
      <c r="J12" s="1156">
        <v>0</v>
      </c>
      <c r="K12" s="879">
        <f t="shared" si="2"/>
        <v>14</v>
      </c>
      <c r="L12" s="880">
        <v>1</v>
      </c>
      <c r="M12" s="881">
        <v>10</v>
      </c>
      <c r="N12" s="1156">
        <v>3</v>
      </c>
      <c r="O12" s="879">
        <f t="shared" si="3"/>
        <v>3</v>
      </c>
      <c r="P12" s="880">
        <v>0</v>
      </c>
      <c r="Q12" s="881">
        <v>3</v>
      </c>
      <c r="R12" s="1156">
        <v>0</v>
      </c>
    </row>
    <row r="13" spans="1:18" ht="20.100000000000001" customHeight="1">
      <c r="A13" s="529"/>
      <c r="B13" s="530">
        <v>6</v>
      </c>
      <c r="C13" s="874">
        <f t="shared" si="0"/>
        <v>18</v>
      </c>
      <c r="D13" s="880">
        <v>7</v>
      </c>
      <c r="E13" s="881">
        <v>8</v>
      </c>
      <c r="F13" s="881">
        <v>3</v>
      </c>
      <c r="G13" s="874">
        <f t="shared" si="1"/>
        <v>1</v>
      </c>
      <c r="H13" s="880">
        <v>0</v>
      </c>
      <c r="I13" s="881">
        <v>1</v>
      </c>
      <c r="J13" s="1156">
        <v>0</v>
      </c>
      <c r="K13" s="879">
        <f t="shared" si="2"/>
        <v>18</v>
      </c>
      <c r="L13" s="880">
        <v>8</v>
      </c>
      <c r="M13" s="881">
        <v>7</v>
      </c>
      <c r="N13" s="1156">
        <v>3</v>
      </c>
      <c r="O13" s="879">
        <f t="shared" si="3"/>
        <v>3</v>
      </c>
      <c r="P13" s="880">
        <v>0</v>
      </c>
      <c r="Q13" s="881">
        <v>3</v>
      </c>
      <c r="R13" s="1156">
        <v>0</v>
      </c>
    </row>
    <row r="14" spans="1:18" ht="20.100000000000001" customHeight="1">
      <c r="A14" s="529"/>
      <c r="B14" s="530">
        <v>7</v>
      </c>
      <c r="C14" s="874">
        <f t="shared" si="0"/>
        <v>34</v>
      </c>
      <c r="D14" s="880">
        <v>10</v>
      </c>
      <c r="E14" s="881">
        <v>21</v>
      </c>
      <c r="F14" s="881">
        <v>3</v>
      </c>
      <c r="G14" s="874">
        <f t="shared" si="1"/>
        <v>1</v>
      </c>
      <c r="H14" s="880">
        <v>0</v>
      </c>
      <c r="I14" s="881">
        <v>1</v>
      </c>
      <c r="J14" s="1156">
        <v>0</v>
      </c>
      <c r="K14" s="879">
        <f t="shared" si="2"/>
        <v>34</v>
      </c>
      <c r="L14" s="880">
        <v>10</v>
      </c>
      <c r="M14" s="881">
        <v>21</v>
      </c>
      <c r="N14" s="1156">
        <v>3</v>
      </c>
      <c r="O14" s="879">
        <f t="shared" si="3"/>
        <v>3</v>
      </c>
      <c r="P14" s="880">
        <v>1</v>
      </c>
      <c r="Q14" s="881">
        <v>2</v>
      </c>
      <c r="R14" s="1156">
        <v>0</v>
      </c>
    </row>
    <row r="15" spans="1:18" ht="20.100000000000001" customHeight="1">
      <c r="A15" s="529"/>
      <c r="B15" s="530">
        <v>8</v>
      </c>
      <c r="C15" s="874">
        <f t="shared" si="0"/>
        <v>69</v>
      </c>
      <c r="D15" s="880">
        <v>19</v>
      </c>
      <c r="E15" s="881">
        <v>35</v>
      </c>
      <c r="F15" s="881">
        <v>15</v>
      </c>
      <c r="G15" s="874">
        <f t="shared" si="1"/>
        <v>0</v>
      </c>
      <c r="H15" s="880">
        <v>0</v>
      </c>
      <c r="I15" s="881">
        <v>0</v>
      </c>
      <c r="J15" s="1156">
        <v>0</v>
      </c>
      <c r="K15" s="879">
        <f t="shared" si="2"/>
        <v>70</v>
      </c>
      <c r="L15" s="880">
        <v>20</v>
      </c>
      <c r="M15" s="881">
        <v>35</v>
      </c>
      <c r="N15" s="1156">
        <v>15</v>
      </c>
      <c r="O15" s="879">
        <f t="shared" si="3"/>
        <v>10</v>
      </c>
      <c r="P15" s="880">
        <v>2</v>
      </c>
      <c r="Q15" s="881">
        <v>7</v>
      </c>
      <c r="R15" s="1156">
        <v>1</v>
      </c>
    </row>
    <row r="16" spans="1:18" ht="20.100000000000001" customHeight="1">
      <c r="A16" s="529"/>
      <c r="B16" s="530">
        <v>9</v>
      </c>
      <c r="C16" s="874">
        <f t="shared" si="0"/>
        <v>61</v>
      </c>
      <c r="D16" s="880">
        <v>14</v>
      </c>
      <c r="E16" s="881">
        <v>30</v>
      </c>
      <c r="F16" s="881">
        <v>17</v>
      </c>
      <c r="G16" s="874">
        <f t="shared" si="1"/>
        <v>2</v>
      </c>
      <c r="H16" s="880">
        <v>0</v>
      </c>
      <c r="I16" s="881">
        <v>1</v>
      </c>
      <c r="J16" s="1156">
        <v>1</v>
      </c>
      <c r="K16" s="879">
        <f t="shared" si="2"/>
        <v>61</v>
      </c>
      <c r="L16" s="880">
        <v>15</v>
      </c>
      <c r="M16" s="881">
        <v>29</v>
      </c>
      <c r="N16" s="1156">
        <v>17</v>
      </c>
      <c r="O16" s="879">
        <f t="shared" si="3"/>
        <v>14</v>
      </c>
      <c r="P16" s="880">
        <v>2</v>
      </c>
      <c r="Q16" s="881">
        <v>10</v>
      </c>
      <c r="R16" s="1156">
        <v>2</v>
      </c>
    </row>
    <row r="17" spans="1:18" ht="20.100000000000001" customHeight="1">
      <c r="A17" s="529"/>
      <c r="B17" s="530">
        <v>10</v>
      </c>
      <c r="C17" s="874">
        <f t="shared" si="0"/>
        <v>63</v>
      </c>
      <c r="D17" s="880">
        <v>24</v>
      </c>
      <c r="E17" s="881">
        <v>26</v>
      </c>
      <c r="F17" s="881">
        <v>13</v>
      </c>
      <c r="G17" s="874">
        <f t="shared" si="1"/>
        <v>0</v>
      </c>
      <c r="H17" s="880">
        <v>0</v>
      </c>
      <c r="I17" s="881">
        <v>0</v>
      </c>
      <c r="J17" s="1156">
        <v>0</v>
      </c>
      <c r="K17" s="879">
        <f t="shared" si="2"/>
        <v>63</v>
      </c>
      <c r="L17" s="880">
        <v>24</v>
      </c>
      <c r="M17" s="881">
        <v>26</v>
      </c>
      <c r="N17" s="1156">
        <v>13</v>
      </c>
      <c r="O17" s="879">
        <f t="shared" si="3"/>
        <v>12</v>
      </c>
      <c r="P17" s="880">
        <v>2</v>
      </c>
      <c r="Q17" s="881">
        <v>8</v>
      </c>
      <c r="R17" s="1156">
        <v>2</v>
      </c>
    </row>
    <row r="18" spans="1:18" ht="20.100000000000001" customHeight="1">
      <c r="A18" s="529"/>
      <c r="B18" s="530">
        <v>11</v>
      </c>
      <c r="C18" s="874">
        <f t="shared" si="0"/>
        <v>50</v>
      </c>
      <c r="D18" s="880">
        <v>15</v>
      </c>
      <c r="E18" s="881">
        <v>21</v>
      </c>
      <c r="F18" s="881">
        <v>14</v>
      </c>
      <c r="G18" s="874">
        <f t="shared" si="1"/>
        <v>0</v>
      </c>
      <c r="H18" s="880">
        <v>0</v>
      </c>
      <c r="I18" s="881">
        <v>0</v>
      </c>
      <c r="J18" s="1156">
        <v>0</v>
      </c>
      <c r="K18" s="879">
        <f t="shared" si="2"/>
        <v>51</v>
      </c>
      <c r="L18" s="880">
        <v>15</v>
      </c>
      <c r="M18" s="881">
        <v>22</v>
      </c>
      <c r="N18" s="1156">
        <v>14</v>
      </c>
      <c r="O18" s="879">
        <f t="shared" si="3"/>
        <v>6</v>
      </c>
      <c r="P18" s="880">
        <v>2</v>
      </c>
      <c r="Q18" s="881">
        <v>4</v>
      </c>
      <c r="R18" s="1156">
        <v>0</v>
      </c>
    </row>
    <row r="19" spans="1:18" ht="20.100000000000001" customHeight="1">
      <c r="A19" s="529"/>
      <c r="B19" s="530">
        <v>12</v>
      </c>
      <c r="C19" s="874">
        <f t="shared" si="0"/>
        <v>43</v>
      </c>
      <c r="D19" s="880">
        <v>18</v>
      </c>
      <c r="E19" s="881">
        <v>15</v>
      </c>
      <c r="F19" s="881">
        <v>10</v>
      </c>
      <c r="G19" s="874">
        <f t="shared" si="1"/>
        <v>0</v>
      </c>
      <c r="H19" s="880">
        <v>0</v>
      </c>
      <c r="I19" s="881">
        <v>0</v>
      </c>
      <c r="J19" s="1156">
        <v>0</v>
      </c>
      <c r="K19" s="879">
        <f t="shared" si="2"/>
        <v>43</v>
      </c>
      <c r="L19" s="880">
        <v>18</v>
      </c>
      <c r="M19" s="881">
        <v>15</v>
      </c>
      <c r="N19" s="1156">
        <v>10</v>
      </c>
      <c r="O19" s="879">
        <f t="shared" si="3"/>
        <v>9</v>
      </c>
      <c r="P19" s="880">
        <v>2</v>
      </c>
      <c r="Q19" s="881">
        <v>5</v>
      </c>
      <c r="R19" s="1156">
        <v>2</v>
      </c>
    </row>
    <row r="20" spans="1:18" ht="20.100000000000001" customHeight="1">
      <c r="A20" s="529"/>
      <c r="B20" s="530">
        <v>13</v>
      </c>
      <c r="C20" s="874">
        <f t="shared" si="0"/>
        <v>40</v>
      </c>
      <c r="D20" s="880">
        <v>8</v>
      </c>
      <c r="E20" s="881">
        <v>23</v>
      </c>
      <c r="F20" s="881">
        <v>9</v>
      </c>
      <c r="G20" s="874">
        <f t="shared" si="1"/>
        <v>0</v>
      </c>
      <c r="H20" s="880">
        <v>0</v>
      </c>
      <c r="I20" s="881">
        <v>0</v>
      </c>
      <c r="J20" s="1156">
        <v>0</v>
      </c>
      <c r="K20" s="879">
        <f t="shared" si="2"/>
        <v>40</v>
      </c>
      <c r="L20" s="880">
        <v>8</v>
      </c>
      <c r="M20" s="881">
        <v>23</v>
      </c>
      <c r="N20" s="1156">
        <v>9</v>
      </c>
      <c r="O20" s="879">
        <f t="shared" si="3"/>
        <v>7</v>
      </c>
      <c r="P20" s="880">
        <v>1</v>
      </c>
      <c r="Q20" s="881">
        <v>5</v>
      </c>
      <c r="R20" s="1156">
        <v>1</v>
      </c>
    </row>
    <row r="21" spans="1:18" ht="20.100000000000001" customHeight="1">
      <c r="A21" s="529"/>
      <c r="B21" s="530">
        <v>14</v>
      </c>
      <c r="C21" s="874">
        <f t="shared" si="0"/>
        <v>43</v>
      </c>
      <c r="D21" s="880">
        <v>14</v>
      </c>
      <c r="E21" s="881">
        <v>20</v>
      </c>
      <c r="F21" s="881">
        <v>9</v>
      </c>
      <c r="G21" s="874">
        <f t="shared" si="1"/>
        <v>0</v>
      </c>
      <c r="H21" s="880">
        <v>0</v>
      </c>
      <c r="I21" s="881">
        <v>0</v>
      </c>
      <c r="J21" s="1156">
        <v>0</v>
      </c>
      <c r="K21" s="879">
        <f t="shared" si="2"/>
        <v>44</v>
      </c>
      <c r="L21" s="880">
        <v>15</v>
      </c>
      <c r="M21" s="881">
        <v>20</v>
      </c>
      <c r="N21" s="1156">
        <v>9</v>
      </c>
      <c r="O21" s="879">
        <f t="shared" si="3"/>
        <v>9</v>
      </c>
      <c r="P21" s="880">
        <v>2</v>
      </c>
      <c r="Q21" s="881">
        <v>7</v>
      </c>
      <c r="R21" s="1156">
        <v>0</v>
      </c>
    </row>
    <row r="22" spans="1:18" ht="20.100000000000001" customHeight="1">
      <c r="A22" s="529"/>
      <c r="B22" s="530">
        <v>15</v>
      </c>
      <c r="C22" s="874">
        <f t="shared" si="0"/>
        <v>59</v>
      </c>
      <c r="D22" s="880">
        <v>10</v>
      </c>
      <c r="E22" s="881">
        <v>41</v>
      </c>
      <c r="F22" s="881">
        <v>8</v>
      </c>
      <c r="G22" s="874">
        <f t="shared" si="1"/>
        <v>0</v>
      </c>
      <c r="H22" s="880">
        <v>0</v>
      </c>
      <c r="I22" s="881">
        <v>0</v>
      </c>
      <c r="J22" s="1156">
        <v>0</v>
      </c>
      <c r="K22" s="879">
        <f t="shared" si="2"/>
        <v>61</v>
      </c>
      <c r="L22" s="880">
        <v>11</v>
      </c>
      <c r="M22" s="881">
        <v>42</v>
      </c>
      <c r="N22" s="1156">
        <v>8</v>
      </c>
      <c r="O22" s="879">
        <f t="shared" si="3"/>
        <v>9</v>
      </c>
      <c r="P22" s="880">
        <v>1</v>
      </c>
      <c r="Q22" s="881">
        <v>8</v>
      </c>
      <c r="R22" s="1156">
        <v>0</v>
      </c>
    </row>
    <row r="23" spans="1:18" ht="20.100000000000001" customHeight="1">
      <c r="A23" s="529"/>
      <c r="B23" s="530">
        <v>16</v>
      </c>
      <c r="C23" s="874">
        <f t="shared" si="0"/>
        <v>39</v>
      </c>
      <c r="D23" s="880">
        <v>19</v>
      </c>
      <c r="E23" s="881">
        <v>13</v>
      </c>
      <c r="F23" s="881">
        <v>7</v>
      </c>
      <c r="G23" s="874">
        <f t="shared" si="1"/>
        <v>0</v>
      </c>
      <c r="H23" s="880">
        <v>0</v>
      </c>
      <c r="I23" s="881">
        <v>0</v>
      </c>
      <c r="J23" s="1156">
        <v>0</v>
      </c>
      <c r="K23" s="879">
        <f t="shared" si="2"/>
        <v>39</v>
      </c>
      <c r="L23" s="880">
        <v>19</v>
      </c>
      <c r="M23" s="881">
        <v>13</v>
      </c>
      <c r="N23" s="1156">
        <v>7</v>
      </c>
      <c r="O23" s="879">
        <f t="shared" si="3"/>
        <v>8</v>
      </c>
      <c r="P23" s="880">
        <v>3</v>
      </c>
      <c r="Q23" s="881">
        <v>5</v>
      </c>
      <c r="R23" s="1156">
        <v>0</v>
      </c>
    </row>
    <row r="24" spans="1:18" ht="20.100000000000001" customHeight="1">
      <c r="A24" s="529"/>
      <c r="B24" s="530">
        <v>17</v>
      </c>
      <c r="C24" s="874">
        <f t="shared" si="0"/>
        <v>82</v>
      </c>
      <c r="D24" s="880">
        <v>24</v>
      </c>
      <c r="E24" s="881">
        <v>41</v>
      </c>
      <c r="F24" s="881">
        <v>17</v>
      </c>
      <c r="G24" s="874">
        <f t="shared" si="1"/>
        <v>0</v>
      </c>
      <c r="H24" s="880">
        <v>0</v>
      </c>
      <c r="I24" s="881">
        <v>0</v>
      </c>
      <c r="J24" s="1156">
        <v>0</v>
      </c>
      <c r="K24" s="879">
        <f t="shared" si="2"/>
        <v>83</v>
      </c>
      <c r="L24" s="880">
        <v>24</v>
      </c>
      <c r="M24" s="881">
        <v>42</v>
      </c>
      <c r="N24" s="1156">
        <v>17</v>
      </c>
      <c r="O24" s="879">
        <f t="shared" si="3"/>
        <v>11</v>
      </c>
      <c r="P24" s="880">
        <v>1</v>
      </c>
      <c r="Q24" s="881">
        <v>9</v>
      </c>
      <c r="R24" s="1156">
        <v>1</v>
      </c>
    </row>
    <row r="25" spans="1:18" ht="20.100000000000001" customHeight="1">
      <c r="A25" s="531"/>
      <c r="B25" s="527">
        <v>18</v>
      </c>
      <c r="C25" s="874">
        <f t="shared" si="0"/>
        <v>77</v>
      </c>
      <c r="D25" s="880">
        <v>22</v>
      </c>
      <c r="E25" s="881">
        <v>46</v>
      </c>
      <c r="F25" s="881">
        <v>9</v>
      </c>
      <c r="G25" s="874">
        <f t="shared" si="1"/>
        <v>0</v>
      </c>
      <c r="H25" s="880">
        <v>0</v>
      </c>
      <c r="I25" s="881">
        <v>0</v>
      </c>
      <c r="J25" s="1156">
        <v>0</v>
      </c>
      <c r="K25" s="879">
        <f t="shared" si="2"/>
        <v>77</v>
      </c>
      <c r="L25" s="880">
        <v>22</v>
      </c>
      <c r="M25" s="881">
        <v>46</v>
      </c>
      <c r="N25" s="1156">
        <v>9</v>
      </c>
      <c r="O25" s="879">
        <f t="shared" si="3"/>
        <v>15</v>
      </c>
      <c r="P25" s="880">
        <v>2</v>
      </c>
      <c r="Q25" s="881">
        <v>12</v>
      </c>
      <c r="R25" s="1156">
        <v>1</v>
      </c>
    </row>
    <row r="26" spans="1:18" ht="20.100000000000001" customHeight="1">
      <c r="A26" s="524" t="s">
        <v>631</v>
      </c>
      <c r="B26" s="527">
        <v>19</v>
      </c>
      <c r="C26" s="874">
        <f t="shared" si="0"/>
        <v>68</v>
      </c>
      <c r="D26" s="880">
        <v>18</v>
      </c>
      <c r="E26" s="881">
        <v>38</v>
      </c>
      <c r="F26" s="881">
        <v>12</v>
      </c>
      <c r="G26" s="874">
        <f t="shared" si="1"/>
        <v>2</v>
      </c>
      <c r="H26" s="880">
        <v>0</v>
      </c>
      <c r="I26" s="881">
        <v>1</v>
      </c>
      <c r="J26" s="1156">
        <v>1</v>
      </c>
      <c r="K26" s="879">
        <f t="shared" si="2"/>
        <v>66</v>
      </c>
      <c r="L26" s="880">
        <v>18</v>
      </c>
      <c r="M26" s="881">
        <v>37</v>
      </c>
      <c r="N26" s="1156">
        <v>11</v>
      </c>
      <c r="O26" s="879">
        <f t="shared" si="3"/>
        <v>16</v>
      </c>
      <c r="P26" s="880">
        <v>1</v>
      </c>
      <c r="Q26" s="881">
        <v>14</v>
      </c>
      <c r="R26" s="1156">
        <v>1</v>
      </c>
    </row>
    <row r="27" spans="1:18" ht="20.100000000000001" customHeight="1">
      <c r="A27" s="524"/>
      <c r="B27" s="527">
        <v>20</v>
      </c>
      <c r="C27" s="874">
        <f t="shared" si="0"/>
        <v>44</v>
      </c>
      <c r="D27" s="880">
        <v>6</v>
      </c>
      <c r="E27" s="881">
        <v>31</v>
      </c>
      <c r="F27" s="881">
        <v>7</v>
      </c>
      <c r="G27" s="874">
        <f t="shared" si="1"/>
        <v>0</v>
      </c>
      <c r="H27" s="880">
        <v>0</v>
      </c>
      <c r="I27" s="881">
        <v>0</v>
      </c>
      <c r="J27" s="1156">
        <v>0</v>
      </c>
      <c r="K27" s="879">
        <f t="shared" si="2"/>
        <v>45</v>
      </c>
      <c r="L27" s="880">
        <v>6</v>
      </c>
      <c r="M27" s="881">
        <v>32</v>
      </c>
      <c r="N27" s="1156">
        <v>7</v>
      </c>
      <c r="O27" s="879">
        <f t="shared" si="3"/>
        <v>8</v>
      </c>
      <c r="P27" s="880">
        <v>2</v>
      </c>
      <c r="Q27" s="881">
        <v>6</v>
      </c>
      <c r="R27" s="1156">
        <v>0</v>
      </c>
    </row>
    <row r="28" spans="1:18" ht="20.100000000000001" customHeight="1">
      <c r="A28" s="524" t="s">
        <v>632</v>
      </c>
      <c r="B28" s="527">
        <v>21</v>
      </c>
      <c r="C28" s="874">
        <f t="shared" si="0"/>
        <v>24</v>
      </c>
      <c r="D28" s="880">
        <v>10</v>
      </c>
      <c r="E28" s="881">
        <v>6</v>
      </c>
      <c r="F28" s="881">
        <v>8</v>
      </c>
      <c r="G28" s="874">
        <f t="shared" si="1"/>
        <v>0</v>
      </c>
      <c r="H28" s="880">
        <v>0</v>
      </c>
      <c r="I28" s="881">
        <v>0</v>
      </c>
      <c r="J28" s="1156">
        <v>0</v>
      </c>
      <c r="K28" s="879">
        <f t="shared" si="2"/>
        <v>25</v>
      </c>
      <c r="L28" s="880">
        <v>10</v>
      </c>
      <c r="M28" s="881">
        <v>6</v>
      </c>
      <c r="N28" s="1156">
        <v>9</v>
      </c>
      <c r="O28" s="879">
        <f t="shared" si="3"/>
        <v>4</v>
      </c>
      <c r="P28" s="880">
        <v>0</v>
      </c>
      <c r="Q28" s="881">
        <v>2</v>
      </c>
      <c r="R28" s="1156">
        <v>2</v>
      </c>
    </row>
    <row r="29" spans="1:18" ht="20.100000000000001" customHeight="1">
      <c r="A29" s="524"/>
      <c r="B29" s="527">
        <v>22</v>
      </c>
      <c r="C29" s="874">
        <f t="shared" si="0"/>
        <v>26</v>
      </c>
      <c r="D29" s="880">
        <v>8</v>
      </c>
      <c r="E29" s="881">
        <v>13</v>
      </c>
      <c r="F29" s="881">
        <v>5</v>
      </c>
      <c r="G29" s="874">
        <f t="shared" si="1"/>
        <v>1</v>
      </c>
      <c r="H29" s="880">
        <v>0</v>
      </c>
      <c r="I29" s="881">
        <v>0</v>
      </c>
      <c r="J29" s="1156">
        <v>1</v>
      </c>
      <c r="K29" s="879">
        <f t="shared" si="2"/>
        <v>25</v>
      </c>
      <c r="L29" s="880">
        <v>8</v>
      </c>
      <c r="M29" s="881">
        <v>13</v>
      </c>
      <c r="N29" s="1156">
        <v>4</v>
      </c>
      <c r="O29" s="879">
        <f t="shared" si="3"/>
        <v>5</v>
      </c>
      <c r="P29" s="880">
        <v>1</v>
      </c>
      <c r="Q29" s="881">
        <v>3</v>
      </c>
      <c r="R29" s="1156">
        <v>1</v>
      </c>
    </row>
    <row r="30" spans="1:18" ht="20.100000000000001" customHeight="1" thickBot="1">
      <c r="A30" s="524"/>
      <c r="B30" s="532">
        <v>23</v>
      </c>
      <c r="C30" s="882">
        <f t="shared" si="0"/>
        <v>26</v>
      </c>
      <c r="D30" s="1152">
        <v>9</v>
      </c>
      <c r="E30" s="1162">
        <v>12</v>
      </c>
      <c r="F30" s="1162">
        <v>5</v>
      </c>
      <c r="G30" s="882">
        <f t="shared" si="1"/>
        <v>0</v>
      </c>
      <c r="H30" s="1152">
        <v>0</v>
      </c>
      <c r="I30" s="1162">
        <v>0</v>
      </c>
      <c r="J30" s="1163">
        <v>0</v>
      </c>
      <c r="K30" s="883">
        <f t="shared" si="2"/>
        <v>26</v>
      </c>
      <c r="L30" s="1152">
        <v>9</v>
      </c>
      <c r="M30" s="1162">
        <v>12</v>
      </c>
      <c r="N30" s="1163">
        <v>5</v>
      </c>
      <c r="O30" s="883">
        <f t="shared" si="3"/>
        <v>6</v>
      </c>
      <c r="P30" s="1152">
        <v>2</v>
      </c>
      <c r="Q30" s="1162">
        <v>2</v>
      </c>
      <c r="R30" s="1163">
        <v>2</v>
      </c>
    </row>
    <row r="31" spans="1:18" ht="20.100000000000001" customHeight="1">
      <c r="A31" s="1513" t="s">
        <v>633</v>
      </c>
      <c r="B31" s="1382"/>
      <c r="C31" s="884">
        <f t="shared" ref="C31:R31" si="4">SUM(C13:C24)</f>
        <v>601</v>
      </c>
      <c r="D31" s="885">
        <f t="shared" si="4"/>
        <v>182</v>
      </c>
      <c r="E31" s="885">
        <f t="shared" si="4"/>
        <v>294</v>
      </c>
      <c r="F31" s="886">
        <f t="shared" si="4"/>
        <v>125</v>
      </c>
      <c r="G31" s="884">
        <f t="shared" si="4"/>
        <v>4</v>
      </c>
      <c r="H31" s="885">
        <f t="shared" si="4"/>
        <v>0</v>
      </c>
      <c r="I31" s="885">
        <f t="shared" si="4"/>
        <v>3</v>
      </c>
      <c r="J31" s="886">
        <f t="shared" si="4"/>
        <v>1</v>
      </c>
      <c r="K31" s="887">
        <f t="shared" si="4"/>
        <v>607</v>
      </c>
      <c r="L31" s="885">
        <f t="shared" si="4"/>
        <v>187</v>
      </c>
      <c r="M31" s="885">
        <f t="shared" si="4"/>
        <v>295</v>
      </c>
      <c r="N31" s="886">
        <f t="shared" si="4"/>
        <v>125</v>
      </c>
      <c r="O31" s="887">
        <f t="shared" si="4"/>
        <v>101</v>
      </c>
      <c r="P31" s="885">
        <f t="shared" si="4"/>
        <v>19</v>
      </c>
      <c r="Q31" s="885">
        <f t="shared" si="4"/>
        <v>73</v>
      </c>
      <c r="R31" s="886">
        <f t="shared" si="4"/>
        <v>9</v>
      </c>
    </row>
    <row r="32" spans="1:18" ht="20.100000000000001" customHeight="1">
      <c r="A32" s="1514" t="s">
        <v>634</v>
      </c>
      <c r="B32" s="1669"/>
      <c r="C32" s="888">
        <f t="shared" ref="C32:R32" si="5">C33-C31</f>
        <v>371</v>
      </c>
      <c r="D32" s="889">
        <f t="shared" si="5"/>
        <v>104</v>
      </c>
      <c r="E32" s="889">
        <f t="shared" si="5"/>
        <v>194</v>
      </c>
      <c r="F32" s="890">
        <f t="shared" si="5"/>
        <v>73</v>
      </c>
      <c r="G32" s="888">
        <f t="shared" si="5"/>
        <v>10</v>
      </c>
      <c r="H32" s="889">
        <f t="shared" si="5"/>
        <v>0</v>
      </c>
      <c r="I32" s="889">
        <f t="shared" si="5"/>
        <v>4</v>
      </c>
      <c r="J32" s="890">
        <f t="shared" si="5"/>
        <v>6</v>
      </c>
      <c r="K32" s="891">
        <f t="shared" si="5"/>
        <v>369</v>
      </c>
      <c r="L32" s="889">
        <f t="shared" si="5"/>
        <v>104</v>
      </c>
      <c r="M32" s="889">
        <f t="shared" si="5"/>
        <v>194</v>
      </c>
      <c r="N32" s="890">
        <f t="shared" si="5"/>
        <v>71</v>
      </c>
      <c r="O32" s="891">
        <f t="shared" si="5"/>
        <v>76</v>
      </c>
      <c r="P32" s="889">
        <f t="shared" si="5"/>
        <v>11</v>
      </c>
      <c r="Q32" s="889">
        <f t="shared" si="5"/>
        <v>56</v>
      </c>
      <c r="R32" s="890">
        <f t="shared" si="5"/>
        <v>9</v>
      </c>
    </row>
    <row r="33" spans="1:18" ht="20.100000000000001" customHeight="1" thickBot="1">
      <c r="A33" s="1515" t="s">
        <v>635</v>
      </c>
      <c r="B33" s="1763"/>
      <c r="C33" s="892">
        <f t="shared" ref="C33:R33" si="6">SUM(C7:C30)</f>
        <v>972</v>
      </c>
      <c r="D33" s="893">
        <f t="shared" si="6"/>
        <v>286</v>
      </c>
      <c r="E33" s="893">
        <f t="shared" si="6"/>
        <v>488</v>
      </c>
      <c r="F33" s="894">
        <f t="shared" si="6"/>
        <v>198</v>
      </c>
      <c r="G33" s="892">
        <f t="shared" si="6"/>
        <v>14</v>
      </c>
      <c r="H33" s="893">
        <f t="shared" si="6"/>
        <v>0</v>
      </c>
      <c r="I33" s="893">
        <f t="shared" si="6"/>
        <v>7</v>
      </c>
      <c r="J33" s="894">
        <f t="shared" si="6"/>
        <v>7</v>
      </c>
      <c r="K33" s="895">
        <f t="shared" si="6"/>
        <v>976</v>
      </c>
      <c r="L33" s="893">
        <f t="shared" si="6"/>
        <v>291</v>
      </c>
      <c r="M33" s="893">
        <f t="shared" si="6"/>
        <v>489</v>
      </c>
      <c r="N33" s="894">
        <f t="shared" si="6"/>
        <v>196</v>
      </c>
      <c r="O33" s="895">
        <f t="shared" si="6"/>
        <v>177</v>
      </c>
      <c r="P33" s="893">
        <f t="shared" si="6"/>
        <v>30</v>
      </c>
      <c r="Q33" s="893">
        <f t="shared" si="6"/>
        <v>129</v>
      </c>
      <c r="R33" s="894">
        <f t="shared" si="6"/>
        <v>18</v>
      </c>
    </row>
    <row r="34" spans="1:18" s="1889" customFormat="1" ht="20.100000000000001" customHeight="1">
      <c r="A34" s="1889" t="s">
        <v>938</v>
      </c>
      <c r="B34" s="1907"/>
      <c r="C34" s="1907"/>
      <c r="D34" s="1907"/>
      <c r="E34" s="1907"/>
      <c r="F34" s="1907"/>
      <c r="G34" s="1907"/>
      <c r="H34" s="1907"/>
      <c r="I34" s="1907"/>
      <c r="J34" s="1907"/>
      <c r="K34" s="1907"/>
      <c r="L34" s="1907"/>
      <c r="M34" s="1901"/>
      <c r="O34" s="1907"/>
      <c r="P34" s="1907"/>
      <c r="Q34" s="1901"/>
    </row>
    <row r="35" spans="1:18" s="1889" customFormat="1" ht="18">
      <c r="A35" s="1897" t="s">
        <v>916</v>
      </c>
      <c r="B35" s="1901"/>
      <c r="C35" s="1901"/>
      <c r="D35" s="1901"/>
      <c r="E35" s="1901"/>
      <c r="F35" s="1901"/>
      <c r="G35" s="1901"/>
      <c r="H35" s="1901"/>
      <c r="I35" s="1901"/>
      <c r="J35" s="1901"/>
      <c r="K35" s="1901"/>
      <c r="L35" s="1901"/>
      <c r="M35" s="1901"/>
      <c r="O35" s="1901"/>
      <c r="P35" s="1901"/>
      <c r="Q35" s="1901"/>
    </row>
  </sheetData>
  <mergeCells count="13">
    <mergeCell ref="A1:F1"/>
    <mergeCell ref="A2:F2"/>
    <mergeCell ref="C3:E4"/>
    <mergeCell ref="F3:F4"/>
    <mergeCell ref="G3:I4"/>
    <mergeCell ref="A33:B33"/>
    <mergeCell ref="K3:M4"/>
    <mergeCell ref="N3:N4"/>
    <mergeCell ref="O3:Q3"/>
    <mergeCell ref="O4:Q4"/>
    <mergeCell ref="A31:B31"/>
    <mergeCell ref="A32:B32"/>
    <mergeCell ref="J3:J4"/>
  </mergeCells>
  <phoneticPr fontId="4"/>
  <printOptions horizontalCentered="1"/>
  <pageMargins left="0.78740157480314965" right="0.39370078740157483" top="0.98425196850393704" bottom="0.98425196850393704" header="0.31496062992125984" footer="0.51181102362204722"/>
  <pageSetup paperSize="9" scale="69" orientation="portrait" r:id="rId1"/>
  <headerFooter scaleWithDoc="0" alignWithMargins="0">
    <oddFooter>&amp;C- &amp;P -</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2D01FC-4BEA-4FFB-93E1-0EAD3C1A77A0}">
  <sheetPr>
    <pageSetUpPr fitToPage="1"/>
  </sheetPr>
  <dimension ref="A1:P54"/>
  <sheetViews>
    <sheetView view="pageBreakPreview" topLeftCell="A11" zoomScaleNormal="100" zoomScaleSheetLayoutView="100" workbookViewId="0">
      <selection activeCell="V25" sqref="V25"/>
    </sheetView>
  </sheetViews>
  <sheetFormatPr defaultColWidth="9" defaultRowHeight="13.8"/>
  <cols>
    <col min="1" max="1" width="1.88671875" style="497" customWidth="1"/>
    <col min="2" max="2" width="10.44140625" style="497" customWidth="1"/>
    <col min="3" max="15" width="6.88671875" style="497" customWidth="1"/>
    <col min="16" max="16" width="1.44140625" style="497" hidden="1" customWidth="1"/>
    <col min="17" max="16384" width="9" style="497"/>
  </cols>
  <sheetData>
    <row r="1" spans="1:15" ht="15">
      <c r="A1" s="650" t="s">
        <v>441</v>
      </c>
      <c r="B1" s="650"/>
      <c r="C1" s="779"/>
      <c r="D1" s="779"/>
      <c r="E1" s="779"/>
      <c r="F1" s="779"/>
      <c r="G1" s="779"/>
      <c r="H1" s="779"/>
      <c r="I1" s="779"/>
      <c r="J1" s="779"/>
      <c r="K1" s="779"/>
      <c r="L1" s="779"/>
      <c r="M1" s="779"/>
      <c r="N1" s="779"/>
      <c r="O1" s="779"/>
    </row>
    <row r="2" spans="1:15" ht="8.25" customHeight="1">
      <c r="A2" s="779"/>
      <c r="B2" s="779"/>
      <c r="C2" s="779"/>
      <c r="D2" s="779"/>
      <c r="E2" s="779"/>
      <c r="F2" s="779"/>
      <c r="G2" s="779"/>
      <c r="H2" s="779"/>
      <c r="I2" s="779"/>
      <c r="J2" s="779"/>
      <c r="K2" s="779"/>
      <c r="L2" s="779"/>
      <c r="M2" s="779"/>
      <c r="N2" s="779"/>
      <c r="O2" s="779"/>
    </row>
    <row r="3" spans="1:15" ht="15.6" thickBot="1">
      <c r="A3" s="650" t="s">
        <v>442</v>
      </c>
      <c r="B3" s="650"/>
      <c r="C3" s="779"/>
      <c r="D3" s="779"/>
      <c r="E3" s="779"/>
      <c r="F3" s="779"/>
      <c r="G3" s="779"/>
      <c r="H3" s="779"/>
      <c r="I3" s="779"/>
      <c r="J3" s="779"/>
      <c r="K3" s="779"/>
      <c r="L3" s="779"/>
      <c r="M3" s="779"/>
      <c r="N3" s="779"/>
      <c r="O3" s="779"/>
    </row>
    <row r="4" spans="1:15" ht="15" customHeight="1">
      <c r="A4" s="1776" t="s">
        <v>443</v>
      </c>
      <c r="B4" s="1777"/>
      <c r="C4" s="1621" t="s">
        <v>735</v>
      </c>
      <c r="D4" s="1549" t="s">
        <v>817</v>
      </c>
      <c r="E4" s="1549" t="s">
        <v>818</v>
      </c>
      <c r="F4" s="1549" t="s">
        <v>610</v>
      </c>
      <c r="G4" s="1549" t="s">
        <v>611</v>
      </c>
      <c r="H4" s="1549" t="s">
        <v>612</v>
      </c>
      <c r="I4" s="1549" t="s">
        <v>839</v>
      </c>
      <c r="J4" s="1549" t="s">
        <v>840</v>
      </c>
      <c r="K4" s="1744" t="s">
        <v>841</v>
      </c>
      <c r="L4" s="1649" t="s">
        <v>444</v>
      </c>
      <c r="M4" s="1651" t="s">
        <v>445</v>
      </c>
      <c r="N4" s="1651" t="s">
        <v>517</v>
      </c>
      <c r="O4" s="1648" t="s">
        <v>560</v>
      </c>
    </row>
    <row r="5" spans="1:15" ht="18.75" customHeight="1" thickBot="1">
      <c r="A5" s="534" t="s">
        <v>446</v>
      </c>
      <c r="B5" s="540"/>
      <c r="C5" s="1622"/>
      <c r="D5" s="1770"/>
      <c r="E5" s="1770"/>
      <c r="F5" s="1770"/>
      <c r="G5" s="1770"/>
      <c r="H5" s="1770"/>
      <c r="I5" s="1770"/>
      <c r="J5" s="1770"/>
      <c r="K5" s="1653"/>
      <c r="L5" s="1580"/>
      <c r="M5" s="1619"/>
      <c r="N5" s="1619"/>
      <c r="O5" s="1578"/>
    </row>
    <row r="6" spans="1:15" ht="32.25" customHeight="1">
      <c r="A6" s="1772" t="s">
        <v>447</v>
      </c>
      <c r="B6" s="1280"/>
      <c r="C6" s="153">
        <v>3067</v>
      </c>
      <c r="D6" s="154">
        <v>5172</v>
      </c>
      <c r="E6" s="154">
        <v>4916</v>
      </c>
      <c r="F6" s="154">
        <v>4720</v>
      </c>
      <c r="G6" s="185">
        <v>4458</v>
      </c>
      <c r="H6" s="185">
        <v>4367</v>
      </c>
      <c r="I6" s="186">
        <v>4174</v>
      </c>
      <c r="J6" s="186">
        <v>3538</v>
      </c>
      <c r="K6" s="187">
        <v>3639</v>
      </c>
      <c r="L6" s="185">
        <v>3453</v>
      </c>
      <c r="M6" s="186">
        <v>3431</v>
      </c>
      <c r="N6" s="186">
        <v>3220</v>
      </c>
      <c r="O6" s="277">
        <v>3232</v>
      </c>
    </row>
    <row r="7" spans="1:15" ht="32.25" customHeight="1">
      <c r="A7" s="1773" t="s">
        <v>448</v>
      </c>
      <c r="B7" s="1297"/>
      <c r="C7" s="35">
        <v>33</v>
      </c>
      <c r="D7" s="16">
        <v>13</v>
      </c>
      <c r="E7" s="16">
        <v>19</v>
      </c>
      <c r="F7" s="16">
        <v>8</v>
      </c>
      <c r="G7" s="188">
        <v>13</v>
      </c>
      <c r="H7" s="188">
        <v>7</v>
      </c>
      <c r="I7" s="189">
        <v>11</v>
      </c>
      <c r="J7" s="189">
        <v>12</v>
      </c>
      <c r="K7" s="190">
        <v>9</v>
      </c>
      <c r="L7" s="188">
        <v>8</v>
      </c>
      <c r="M7" s="189">
        <v>10</v>
      </c>
      <c r="N7" s="189">
        <v>12</v>
      </c>
      <c r="O7" s="217">
        <v>11</v>
      </c>
    </row>
    <row r="8" spans="1:15" ht="32.25" customHeight="1">
      <c r="A8" s="1774" t="s">
        <v>449</v>
      </c>
      <c r="B8" s="1297"/>
      <c r="C8" s="19">
        <v>3182</v>
      </c>
      <c r="D8" s="16">
        <v>5335</v>
      </c>
      <c r="E8" s="16">
        <v>5060</v>
      </c>
      <c r="F8" s="16">
        <v>4913</v>
      </c>
      <c r="G8" s="188">
        <v>4644</v>
      </c>
      <c r="H8" s="188">
        <v>4552</v>
      </c>
      <c r="I8" s="189">
        <v>4327</v>
      </c>
      <c r="J8" s="189">
        <v>3680</v>
      </c>
      <c r="K8" s="190">
        <v>3798</v>
      </c>
      <c r="L8" s="188">
        <v>3591</v>
      </c>
      <c r="M8" s="189">
        <v>3564</v>
      </c>
      <c r="N8" s="189">
        <v>3310</v>
      </c>
      <c r="O8" s="217">
        <v>3328</v>
      </c>
    </row>
    <row r="9" spans="1:15" ht="32.25" customHeight="1">
      <c r="A9" s="535"/>
      <c r="B9" s="536" t="s">
        <v>450</v>
      </c>
      <c r="C9" s="155" t="s">
        <v>11</v>
      </c>
      <c r="D9" s="137" t="s">
        <v>404</v>
      </c>
      <c r="E9" s="137" t="s">
        <v>404</v>
      </c>
      <c r="F9" s="137" t="s">
        <v>404</v>
      </c>
      <c r="G9" s="191" t="s">
        <v>404</v>
      </c>
      <c r="H9" s="188">
        <v>539</v>
      </c>
      <c r="I9" s="189">
        <v>511</v>
      </c>
      <c r="J9" s="189">
        <v>438</v>
      </c>
      <c r="K9" s="190">
        <v>423</v>
      </c>
      <c r="L9" s="188">
        <v>478</v>
      </c>
      <c r="M9" s="189">
        <v>492</v>
      </c>
      <c r="N9" s="189">
        <v>479</v>
      </c>
      <c r="O9" s="217">
        <v>455</v>
      </c>
    </row>
    <row r="10" spans="1:15" ht="32.25" customHeight="1">
      <c r="A10" s="1775" t="s">
        <v>451</v>
      </c>
      <c r="B10" s="1297"/>
      <c r="C10" s="320">
        <v>280</v>
      </c>
      <c r="D10" s="188">
        <v>51</v>
      </c>
      <c r="E10" s="188">
        <v>51</v>
      </c>
      <c r="F10" s="188">
        <v>49</v>
      </c>
      <c r="G10" s="188">
        <v>44</v>
      </c>
      <c r="H10" s="188">
        <v>44</v>
      </c>
      <c r="I10" s="189">
        <v>34</v>
      </c>
      <c r="J10" s="189">
        <v>37</v>
      </c>
      <c r="K10" s="190">
        <v>43</v>
      </c>
      <c r="L10" s="188">
        <v>40</v>
      </c>
      <c r="M10" s="189">
        <v>40</v>
      </c>
      <c r="N10" s="189">
        <v>43</v>
      </c>
      <c r="O10" s="217">
        <v>43</v>
      </c>
    </row>
    <row r="11" spans="1:15" ht="32.25" customHeight="1" thickBot="1">
      <c r="A11" s="1766" t="s">
        <v>452</v>
      </c>
      <c r="B11" s="1656"/>
      <c r="C11" s="537">
        <f t="shared" ref="C11:M11" si="0">C7/C10*100</f>
        <v>11.785714285714285</v>
      </c>
      <c r="D11" s="538">
        <f t="shared" si="0"/>
        <v>25.490196078431371</v>
      </c>
      <c r="E11" s="539">
        <f t="shared" si="0"/>
        <v>37.254901960784316</v>
      </c>
      <c r="F11" s="539">
        <f t="shared" si="0"/>
        <v>16.326530612244898</v>
      </c>
      <c r="G11" s="539">
        <f t="shared" si="0"/>
        <v>29.545454545454547</v>
      </c>
      <c r="H11" s="539">
        <f t="shared" si="0"/>
        <v>15.909090909090908</v>
      </c>
      <c r="I11" s="538">
        <f t="shared" si="0"/>
        <v>32.352941176470587</v>
      </c>
      <c r="J11" s="538">
        <f t="shared" si="0"/>
        <v>32.432432432432435</v>
      </c>
      <c r="K11" s="541">
        <f t="shared" si="0"/>
        <v>20.930232558139537</v>
      </c>
      <c r="L11" s="539">
        <f t="shared" si="0"/>
        <v>20</v>
      </c>
      <c r="M11" s="538">
        <f t="shared" si="0"/>
        <v>25</v>
      </c>
      <c r="N11" s="538">
        <f>N7/N10*100</f>
        <v>27.906976744186046</v>
      </c>
      <c r="O11" s="542">
        <f>O7/O10*100</f>
        <v>25.581395348837212</v>
      </c>
    </row>
    <row r="12" spans="1:15" ht="9" customHeight="1">
      <c r="A12" s="1924"/>
      <c r="B12" s="1919"/>
      <c r="C12" s="1925"/>
      <c r="D12" s="1925"/>
      <c r="E12" s="1925"/>
      <c r="F12" s="1925"/>
      <c r="G12" s="1925"/>
      <c r="H12" s="1925"/>
      <c r="I12" s="1925"/>
      <c r="J12" s="1925"/>
      <c r="K12" s="1925"/>
      <c r="L12" s="1925"/>
      <c r="M12" s="1925"/>
      <c r="N12" s="1925"/>
      <c r="O12" s="1925"/>
    </row>
    <row r="13" spans="1:15" s="1984" customFormat="1" ht="15">
      <c r="A13" s="1984" t="s">
        <v>939</v>
      </c>
    </row>
    <row r="14" spans="1:15" s="1984" customFormat="1" ht="15">
      <c r="A14" s="1984" t="s">
        <v>940</v>
      </c>
    </row>
    <row r="15" spans="1:15" s="1984" customFormat="1" ht="15">
      <c r="A15" s="1984" t="s">
        <v>918</v>
      </c>
    </row>
    <row r="16" spans="1:15" ht="18" customHeight="1">
      <c r="A16" s="779"/>
      <c r="B16" s="779"/>
      <c r="C16" s="779"/>
      <c r="D16" s="779"/>
      <c r="E16" s="779"/>
      <c r="F16" s="779"/>
      <c r="G16" s="779"/>
      <c r="H16" s="779"/>
      <c r="I16" s="779"/>
      <c r="J16" s="779"/>
      <c r="K16" s="779"/>
      <c r="L16" s="779"/>
      <c r="M16" s="779"/>
      <c r="N16" s="779"/>
      <c r="O16" s="779"/>
    </row>
    <row r="17" spans="1:15" ht="15.6" thickBot="1">
      <c r="A17" s="650" t="s">
        <v>453</v>
      </c>
      <c r="B17" s="650"/>
    </row>
    <row r="18" spans="1:15" ht="27.75" customHeight="1" thickBot="1">
      <c r="A18" s="1767" t="s">
        <v>842</v>
      </c>
      <c r="B18" s="1469"/>
      <c r="C18" s="992">
        <v>1</v>
      </c>
      <c r="D18" s="875">
        <v>2</v>
      </c>
      <c r="E18" s="875">
        <v>3</v>
      </c>
      <c r="F18" s="875">
        <v>4</v>
      </c>
      <c r="G18" s="875">
        <v>5</v>
      </c>
      <c r="H18" s="875">
        <v>6</v>
      </c>
      <c r="I18" s="875">
        <v>7</v>
      </c>
      <c r="J18" s="875">
        <v>8</v>
      </c>
      <c r="K18" s="875">
        <v>9</v>
      </c>
      <c r="L18" s="875">
        <v>10</v>
      </c>
      <c r="M18" s="875">
        <v>11</v>
      </c>
      <c r="N18" s="875">
        <v>12</v>
      </c>
      <c r="O18" s="876" t="s">
        <v>635</v>
      </c>
    </row>
    <row r="19" spans="1:15" ht="27" customHeight="1">
      <c r="A19" s="1768" t="s">
        <v>454</v>
      </c>
      <c r="B19" s="1350"/>
      <c r="C19" s="319">
        <v>248</v>
      </c>
      <c r="D19" s="186">
        <v>239</v>
      </c>
      <c r="E19" s="186">
        <v>283</v>
      </c>
      <c r="F19" s="186">
        <v>288</v>
      </c>
      <c r="G19" s="186">
        <v>253</v>
      </c>
      <c r="H19" s="186">
        <v>265</v>
      </c>
      <c r="I19" s="186">
        <v>297</v>
      </c>
      <c r="J19" s="186">
        <v>261</v>
      </c>
      <c r="K19" s="186">
        <v>255</v>
      </c>
      <c r="L19" s="186">
        <v>275</v>
      </c>
      <c r="M19" s="186">
        <v>246</v>
      </c>
      <c r="N19" s="186">
        <v>322</v>
      </c>
      <c r="O19" s="12">
        <f>SUM(C19:N19)</f>
        <v>3232</v>
      </c>
    </row>
    <row r="20" spans="1:15" ht="27" customHeight="1">
      <c r="A20" s="1769" t="s">
        <v>455</v>
      </c>
      <c r="B20" s="1336"/>
      <c r="C20" s="320">
        <v>0</v>
      </c>
      <c r="D20" s="189">
        <v>0</v>
      </c>
      <c r="E20" s="189">
        <v>1</v>
      </c>
      <c r="F20" s="189">
        <v>0</v>
      </c>
      <c r="G20" s="189">
        <v>0</v>
      </c>
      <c r="H20" s="189">
        <v>2</v>
      </c>
      <c r="I20" s="189">
        <v>2</v>
      </c>
      <c r="J20" s="189">
        <v>0</v>
      </c>
      <c r="K20" s="189">
        <v>1</v>
      </c>
      <c r="L20" s="189">
        <v>3</v>
      </c>
      <c r="M20" s="189">
        <v>1</v>
      </c>
      <c r="N20" s="189">
        <v>1</v>
      </c>
      <c r="O20" s="32">
        <f>SUM(C20:N20)</f>
        <v>11</v>
      </c>
    </row>
    <row r="21" spans="1:15" ht="27" customHeight="1">
      <c r="A21" s="1771" t="s">
        <v>456</v>
      </c>
      <c r="B21" s="1336"/>
      <c r="C21" s="318">
        <v>258</v>
      </c>
      <c r="D21" s="214">
        <v>241</v>
      </c>
      <c r="E21" s="214">
        <v>294</v>
      </c>
      <c r="F21" s="214">
        <v>297</v>
      </c>
      <c r="G21" s="214">
        <v>265</v>
      </c>
      <c r="H21" s="214">
        <v>268</v>
      </c>
      <c r="I21" s="214">
        <v>304</v>
      </c>
      <c r="J21" s="214">
        <v>273</v>
      </c>
      <c r="K21" s="214">
        <v>268</v>
      </c>
      <c r="L21" s="214">
        <v>278</v>
      </c>
      <c r="M21" s="214">
        <v>250</v>
      </c>
      <c r="N21" s="214">
        <v>332</v>
      </c>
      <c r="O21" s="27">
        <f>SUM(C21:N21)</f>
        <v>3328</v>
      </c>
    </row>
    <row r="22" spans="1:15" ht="27" customHeight="1" thickBot="1">
      <c r="A22" s="877"/>
      <c r="B22" s="878" t="s">
        <v>457</v>
      </c>
      <c r="C22" s="181">
        <v>24</v>
      </c>
      <c r="D22" s="222">
        <v>26</v>
      </c>
      <c r="E22" s="222">
        <v>36</v>
      </c>
      <c r="F22" s="222">
        <v>40</v>
      </c>
      <c r="G22" s="222">
        <v>34</v>
      </c>
      <c r="H22" s="222">
        <v>42</v>
      </c>
      <c r="I22" s="222">
        <v>54</v>
      </c>
      <c r="J22" s="222">
        <v>37</v>
      </c>
      <c r="K22" s="222">
        <v>38</v>
      </c>
      <c r="L22" s="222">
        <v>43</v>
      </c>
      <c r="M22" s="222">
        <v>34</v>
      </c>
      <c r="N22" s="222">
        <v>47</v>
      </c>
      <c r="O22" s="168">
        <f>SUM(C22:N22)</f>
        <v>455</v>
      </c>
    </row>
    <row r="23" spans="1:15" ht="6" customHeight="1">
      <c r="A23" s="1926"/>
      <c r="B23" s="1926"/>
      <c r="C23" s="1927"/>
      <c r="D23" s="1927"/>
      <c r="E23" s="1927"/>
      <c r="F23" s="1927"/>
      <c r="G23" s="1927"/>
      <c r="H23" s="1927"/>
      <c r="I23" s="1927"/>
      <c r="J23" s="1927"/>
      <c r="K23" s="1927"/>
      <c r="L23" s="1927"/>
      <c r="M23" s="1927"/>
      <c r="N23" s="1927"/>
      <c r="O23" s="25"/>
    </row>
    <row r="24" spans="1:15" s="1939" customFormat="1" ht="15.6" customHeight="1">
      <c r="A24" s="1939" t="s">
        <v>941</v>
      </c>
    </row>
    <row r="25" spans="1:15" s="1939" customFormat="1" ht="15">
      <c r="A25" s="1940" t="s">
        <v>916</v>
      </c>
    </row>
    <row r="26" spans="1:15">
      <c r="A26" s="779"/>
      <c r="B26" s="779"/>
      <c r="C26" s="779"/>
      <c r="D26" s="779"/>
      <c r="E26" s="779"/>
      <c r="F26" s="779"/>
      <c r="G26" s="779"/>
      <c r="H26" s="779"/>
      <c r="I26" s="779"/>
      <c r="J26" s="779"/>
      <c r="K26" s="779"/>
      <c r="L26" s="779"/>
      <c r="M26" s="779"/>
      <c r="N26" s="779"/>
      <c r="O26" s="779"/>
    </row>
    <row r="27" spans="1:15">
      <c r="A27" s="779"/>
      <c r="B27" s="779"/>
      <c r="C27" s="779"/>
      <c r="D27" s="779"/>
      <c r="E27" s="779"/>
      <c r="F27" s="779"/>
      <c r="G27" s="779"/>
      <c r="H27" s="779"/>
      <c r="I27" s="779"/>
      <c r="J27" s="779"/>
      <c r="K27" s="779"/>
      <c r="L27" s="779"/>
      <c r="M27" s="779"/>
      <c r="N27" s="779"/>
      <c r="O27" s="779"/>
    </row>
    <row r="28" spans="1:15">
      <c r="A28" s="779"/>
      <c r="B28" s="779"/>
      <c r="C28" s="779"/>
      <c r="D28" s="779"/>
      <c r="E28" s="779"/>
      <c r="F28" s="779"/>
      <c r="G28" s="779"/>
      <c r="H28" s="779"/>
      <c r="I28" s="779"/>
      <c r="J28" s="779"/>
      <c r="K28" s="779"/>
      <c r="L28" s="779"/>
      <c r="M28" s="779"/>
      <c r="N28" s="779"/>
      <c r="O28" s="779"/>
    </row>
    <row r="29" spans="1:15">
      <c r="A29" s="779"/>
      <c r="B29" s="779"/>
      <c r="C29" s="779"/>
      <c r="D29" s="779"/>
      <c r="E29" s="779"/>
      <c r="F29" s="779"/>
      <c r="G29" s="779"/>
      <c r="H29" s="779"/>
      <c r="I29" s="779"/>
      <c r="J29" s="779"/>
      <c r="K29" s="779"/>
      <c r="L29" s="779"/>
      <c r="M29" s="779"/>
      <c r="N29" s="779"/>
      <c r="O29" s="779"/>
    </row>
    <row r="30" spans="1:15">
      <c r="A30" s="779"/>
      <c r="B30" s="779"/>
      <c r="C30" s="779"/>
      <c r="D30" s="779"/>
      <c r="E30" s="779"/>
      <c r="F30" s="779"/>
      <c r="G30" s="779"/>
      <c r="H30" s="779"/>
      <c r="I30" s="779"/>
      <c r="J30" s="779"/>
      <c r="K30" s="779"/>
      <c r="L30" s="779"/>
      <c r="M30" s="779"/>
      <c r="N30" s="779"/>
      <c r="O30" s="779"/>
    </row>
    <row r="31" spans="1:15">
      <c r="A31" s="779"/>
      <c r="B31" s="779"/>
      <c r="C31" s="779"/>
      <c r="D31" s="779"/>
      <c r="E31" s="779"/>
      <c r="F31" s="779"/>
      <c r="G31" s="779"/>
      <c r="H31" s="779"/>
      <c r="I31" s="779"/>
      <c r="J31" s="779"/>
      <c r="K31" s="779"/>
      <c r="L31" s="779"/>
      <c r="M31" s="779"/>
      <c r="N31" s="779"/>
      <c r="O31" s="779"/>
    </row>
    <row r="32" spans="1:15">
      <c r="A32" s="779"/>
      <c r="B32" s="779"/>
      <c r="C32" s="779"/>
      <c r="D32" s="779"/>
      <c r="E32" s="779"/>
      <c r="F32" s="779"/>
      <c r="G32" s="779"/>
      <c r="H32" s="779"/>
      <c r="I32" s="779"/>
      <c r="J32" s="779"/>
      <c r="K32" s="779"/>
      <c r="L32" s="779"/>
      <c r="M32" s="779"/>
      <c r="N32" s="779"/>
      <c r="O32" s="779"/>
    </row>
    <row r="33" spans="1:15">
      <c r="A33" s="779"/>
      <c r="B33" s="779"/>
      <c r="C33" s="779"/>
      <c r="D33" s="779"/>
      <c r="E33" s="779"/>
      <c r="F33" s="779"/>
      <c r="G33" s="779"/>
      <c r="H33" s="779"/>
      <c r="I33" s="779"/>
      <c r="J33" s="779"/>
      <c r="K33" s="779"/>
      <c r="L33" s="779"/>
      <c r="M33" s="779"/>
      <c r="N33" s="779"/>
      <c r="O33" s="779"/>
    </row>
    <row r="34" spans="1:15">
      <c r="A34" s="779"/>
      <c r="B34" s="779"/>
      <c r="C34" s="779"/>
      <c r="D34" s="779"/>
      <c r="E34" s="779"/>
      <c r="F34" s="779"/>
      <c r="G34" s="779"/>
      <c r="H34" s="779"/>
      <c r="I34" s="779"/>
      <c r="J34" s="779"/>
      <c r="K34" s="779"/>
      <c r="L34" s="779"/>
      <c r="M34" s="779"/>
      <c r="N34" s="779"/>
      <c r="O34" s="779"/>
    </row>
    <row r="35" spans="1:15">
      <c r="A35" s="779"/>
      <c r="B35" s="779"/>
      <c r="C35" s="779"/>
      <c r="D35" s="779"/>
      <c r="E35" s="779"/>
      <c r="F35" s="779"/>
      <c r="G35" s="779"/>
      <c r="H35" s="779"/>
      <c r="I35" s="779"/>
      <c r="J35" s="779"/>
      <c r="K35" s="779"/>
      <c r="L35" s="779"/>
      <c r="M35" s="779"/>
      <c r="N35" s="779"/>
      <c r="O35" s="779"/>
    </row>
    <row r="36" spans="1:15">
      <c r="A36" s="779"/>
      <c r="B36" s="779"/>
      <c r="C36" s="779"/>
      <c r="D36" s="779"/>
      <c r="E36" s="779"/>
      <c r="F36" s="779"/>
      <c r="G36" s="779"/>
      <c r="H36" s="779"/>
      <c r="I36" s="779"/>
      <c r="J36" s="779"/>
      <c r="K36" s="779"/>
      <c r="L36" s="779"/>
      <c r="M36" s="779"/>
      <c r="N36" s="779"/>
      <c r="O36" s="779"/>
    </row>
    <row r="37" spans="1:15">
      <c r="A37" s="779"/>
      <c r="B37" s="779"/>
      <c r="C37" s="779"/>
      <c r="D37" s="779"/>
      <c r="E37" s="779"/>
      <c r="F37" s="779"/>
      <c r="G37" s="779"/>
      <c r="H37" s="779"/>
      <c r="I37" s="779"/>
      <c r="J37" s="779"/>
      <c r="K37" s="779"/>
      <c r="L37" s="779"/>
      <c r="M37" s="779"/>
      <c r="N37" s="779"/>
      <c r="O37" s="779"/>
    </row>
    <row r="38" spans="1:15">
      <c r="A38" s="779"/>
      <c r="B38" s="779"/>
      <c r="C38" s="779"/>
      <c r="D38" s="779"/>
      <c r="E38" s="779"/>
      <c r="F38" s="779"/>
      <c r="G38" s="779"/>
      <c r="H38" s="779"/>
      <c r="I38" s="779"/>
      <c r="J38" s="779"/>
      <c r="K38" s="779"/>
      <c r="L38" s="779"/>
      <c r="M38" s="779"/>
      <c r="N38" s="779"/>
      <c r="O38" s="779"/>
    </row>
    <row r="39" spans="1:15">
      <c r="A39" s="779"/>
      <c r="B39" s="779"/>
      <c r="C39" s="779"/>
      <c r="D39" s="779"/>
      <c r="E39" s="779"/>
      <c r="F39" s="779"/>
      <c r="G39" s="779"/>
      <c r="H39" s="779"/>
      <c r="I39" s="779"/>
      <c r="J39" s="779"/>
      <c r="K39" s="779"/>
      <c r="L39" s="779"/>
      <c r="M39" s="779"/>
      <c r="N39" s="779"/>
      <c r="O39" s="779"/>
    </row>
    <row r="40" spans="1:15">
      <c r="A40" s="779"/>
      <c r="B40" s="779"/>
      <c r="C40" s="779"/>
      <c r="D40" s="779"/>
      <c r="E40" s="779"/>
      <c r="F40" s="779"/>
      <c r="G40" s="779"/>
      <c r="H40" s="779"/>
      <c r="I40" s="779"/>
      <c r="J40" s="779"/>
      <c r="K40" s="779"/>
      <c r="L40" s="779"/>
      <c r="M40" s="779"/>
      <c r="N40" s="779"/>
      <c r="O40" s="779"/>
    </row>
    <row r="41" spans="1:15">
      <c r="A41" s="779"/>
      <c r="B41" s="779"/>
      <c r="C41" s="779"/>
      <c r="D41" s="779"/>
      <c r="E41" s="779"/>
      <c r="F41" s="779"/>
      <c r="G41" s="779"/>
      <c r="H41" s="779"/>
      <c r="I41" s="779"/>
      <c r="J41" s="779"/>
      <c r="K41" s="779"/>
      <c r="L41" s="779"/>
      <c r="M41" s="779"/>
      <c r="N41" s="779"/>
      <c r="O41" s="779"/>
    </row>
    <row r="42" spans="1:15">
      <c r="A42" s="779"/>
      <c r="B42" s="779"/>
      <c r="C42" s="779"/>
      <c r="D42" s="779"/>
      <c r="E42" s="779"/>
      <c r="F42" s="779"/>
      <c r="G42" s="779"/>
      <c r="H42" s="779"/>
      <c r="I42" s="779"/>
      <c r="J42" s="779"/>
      <c r="K42" s="779"/>
      <c r="L42" s="779"/>
      <c r="M42" s="779"/>
      <c r="N42" s="779"/>
      <c r="O42" s="779"/>
    </row>
    <row r="54" ht="6.75" customHeight="1"/>
  </sheetData>
  <mergeCells count="23">
    <mergeCell ref="A20:B20"/>
    <mergeCell ref="D4:D5"/>
    <mergeCell ref="E4:E5"/>
    <mergeCell ref="A21:B21"/>
    <mergeCell ref="L4:L5"/>
    <mergeCell ref="A6:B6"/>
    <mergeCell ref="A7:B7"/>
    <mergeCell ref="A8:B8"/>
    <mergeCell ref="J4:J5"/>
    <mergeCell ref="K4:K5"/>
    <mergeCell ref="A10:B10"/>
    <mergeCell ref="F4:F5"/>
    <mergeCell ref="G4:G5"/>
    <mergeCell ref="H4:H5"/>
    <mergeCell ref="I4:I5"/>
    <mergeCell ref="A4:B4"/>
    <mergeCell ref="O4:O5"/>
    <mergeCell ref="N4:N5"/>
    <mergeCell ref="A11:B11"/>
    <mergeCell ref="A18:B18"/>
    <mergeCell ref="A19:B19"/>
    <mergeCell ref="M4:M5"/>
    <mergeCell ref="C4:C5"/>
  </mergeCells>
  <phoneticPr fontId="4"/>
  <printOptions horizontalCentered="1"/>
  <pageMargins left="0.78740157480314965" right="0.39370078740157483" top="0.98425196850393704" bottom="0.98425196850393704" header="0.31496062992125984" footer="0.51181102362204722"/>
  <pageSetup paperSize="9" scale="82" orientation="portrait" r:id="rId1"/>
  <headerFooter scaleWithDoc="0" alignWithMargins="0">
    <oddFooter>&amp;C- &amp;P -</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9243F0-EB60-460A-BC9A-E5D0B7E1D4D0}">
  <sheetPr>
    <pageSetUpPr fitToPage="1"/>
  </sheetPr>
  <dimension ref="A1:T30"/>
  <sheetViews>
    <sheetView view="pageBreakPreview" topLeftCell="A27" zoomScaleNormal="100" zoomScaleSheetLayoutView="100" workbookViewId="0">
      <selection activeCell="L76" sqref="L76"/>
    </sheetView>
  </sheetViews>
  <sheetFormatPr defaultColWidth="9" defaultRowHeight="13.2"/>
  <cols>
    <col min="1" max="1" width="7.21875" style="501" customWidth="1"/>
    <col min="2" max="2" width="3.21875" style="501" customWidth="1"/>
    <col min="3" max="5" width="9.77734375" style="501" customWidth="1"/>
    <col min="6" max="6" width="10.44140625" style="501" customWidth="1"/>
    <col min="7" max="7" width="6.44140625" style="501" customWidth="1"/>
    <col min="8" max="8" width="5.21875" style="501" customWidth="1"/>
    <col min="9" max="9" width="3.21875" style="501" customWidth="1"/>
    <col min="10" max="12" width="9.77734375" style="501" customWidth="1"/>
    <col min="13" max="13" width="10.44140625" style="501" customWidth="1"/>
    <col min="14" max="16384" width="9" style="501"/>
  </cols>
  <sheetData>
    <row r="1" spans="1:20" ht="13.5" customHeight="1">
      <c r="A1" s="1790" t="s">
        <v>458</v>
      </c>
      <c r="B1" s="1791"/>
      <c r="C1" s="1791"/>
      <c r="D1" s="1791"/>
      <c r="E1" s="1791"/>
      <c r="F1" s="1791"/>
      <c r="G1" s="1791"/>
      <c r="H1" s="1791"/>
      <c r="I1" s="1791"/>
      <c r="J1" s="1791"/>
      <c r="K1" s="1791"/>
      <c r="L1" s="1791"/>
      <c r="M1" s="913"/>
      <c r="N1" s="913"/>
      <c r="O1" s="913"/>
      <c r="P1" s="913"/>
      <c r="Q1" s="913"/>
      <c r="R1" s="913"/>
      <c r="S1" s="913"/>
      <c r="T1" s="847"/>
    </row>
    <row r="2" spans="1:20" ht="13.5" customHeight="1">
      <c r="A2" s="1791"/>
      <c r="B2" s="1791"/>
      <c r="C2" s="1791"/>
      <c r="D2" s="1791"/>
      <c r="E2" s="1791"/>
      <c r="F2" s="1791"/>
      <c r="G2" s="1791"/>
      <c r="H2" s="1791"/>
      <c r="I2" s="1791"/>
      <c r="J2" s="1791"/>
      <c r="K2" s="1791"/>
      <c r="L2" s="1791"/>
      <c r="M2" s="913"/>
      <c r="N2" s="913"/>
      <c r="O2" s="913"/>
      <c r="P2" s="913"/>
      <c r="Q2" s="913"/>
      <c r="R2" s="913"/>
      <c r="S2" s="913"/>
      <c r="T2" s="847"/>
    </row>
    <row r="3" spans="1:20" ht="7.8" customHeight="1"/>
    <row r="4" spans="1:20" ht="15.6" thickBot="1">
      <c r="A4" s="1792" t="s">
        <v>545</v>
      </c>
      <c r="B4" s="1792"/>
      <c r="C4" s="1792"/>
      <c r="D4" s="1792"/>
      <c r="E4" s="1792"/>
      <c r="F4" s="914"/>
      <c r="G4" s="500"/>
      <c r="H4" s="1793" t="s">
        <v>459</v>
      </c>
      <c r="I4" s="1793"/>
      <c r="J4" s="1793"/>
      <c r="K4" s="1793"/>
      <c r="L4" s="1793"/>
      <c r="M4" s="847"/>
      <c r="N4" s="847"/>
      <c r="O4" s="847"/>
      <c r="P4" s="847"/>
      <c r="Q4" s="847"/>
      <c r="R4" s="847"/>
      <c r="S4" s="847"/>
      <c r="T4" s="847"/>
    </row>
    <row r="5" spans="1:20" ht="5.4" customHeight="1">
      <c r="A5" s="1794" t="s">
        <v>546</v>
      </c>
      <c r="B5" s="1795"/>
      <c r="C5" s="1274" t="s">
        <v>573</v>
      </c>
      <c r="D5" s="1532" t="s">
        <v>643</v>
      </c>
      <c r="E5" s="1305" t="s">
        <v>646</v>
      </c>
      <c r="F5" s="846"/>
      <c r="G5" s="500"/>
      <c r="H5" s="1794" t="s">
        <v>546</v>
      </c>
      <c r="I5" s="1795"/>
      <c r="J5" s="1274" t="s">
        <v>573</v>
      </c>
      <c r="K5" s="1532" t="s">
        <v>643</v>
      </c>
      <c r="L5" s="1305" t="s">
        <v>646</v>
      </c>
      <c r="M5" s="846"/>
      <c r="N5" s="847"/>
      <c r="O5" s="847"/>
      <c r="P5" s="847"/>
      <c r="Q5" s="847"/>
      <c r="R5" s="847"/>
      <c r="S5" s="847"/>
      <c r="T5" s="847"/>
    </row>
    <row r="6" spans="1:20" s="917" customFormat="1" ht="19.5" customHeight="1" thickBot="1">
      <c r="A6" s="1796"/>
      <c r="B6" s="1797"/>
      <c r="C6" s="1277"/>
      <c r="D6" s="1798"/>
      <c r="E6" s="1798"/>
      <c r="F6" s="915" t="s">
        <v>623</v>
      </c>
      <c r="G6" s="916"/>
      <c r="H6" s="1796"/>
      <c r="I6" s="1797"/>
      <c r="J6" s="1277"/>
      <c r="K6" s="1798"/>
      <c r="L6" s="1798"/>
      <c r="M6" s="915" t="s">
        <v>623</v>
      </c>
      <c r="N6" s="837"/>
      <c r="O6" s="837"/>
      <c r="P6" s="837"/>
      <c r="Q6" s="837"/>
      <c r="R6" s="837"/>
      <c r="S6" s="837"/>
      <c r="T6" s="837"/>
    </row>
    <row r="7" spans="1:20" ht="18" customHeight="1">
      <c r="A7" s="1782" t="s">
        <v>99</v>
      </c>
      <c r="B7" s="1789"/>
      <c r="C7" s="919">
        <v>151</v>
      </c>
      <c r="D7" s="710">
        <v>0</v>
      </c>
      <c r="E7" s="623">
        <v>161</v>
      </c>
      <c r="F7" s="920" t="s">
        <v>11</v>
      </c>
      <c r="G7" s="497"/>
      <c r="H7" s="1782" t="s">
        <v>99</v>
      </c>
      <c r="I7" s="1789"/>
      <c r="J7" s="919">
        <v>81</v>
      </c>
      <c r="K7" s="710">
        <v>0</v>
      </c>
      <c r="L7" s="623">
        <v>83</v>
      </c>
      <c r="M7" s="920" t="s">
        <v>11</v>
      </c>
    </row>
    <row r="8" spans="1:20" ht="18" customHeight="1">
      <c r="A8" s="1782" t="s">
        <v>100</v>
      </c>
      <c r="B8" s="1789"/>
      <c r="C8" s="919">
        <v>179</v>
      </c>
      <c r="D8" s="710">
        <v>1</v>
      </c>
      <c r="E8" s="623">
        <v>199</v>
      </c>
      <c r="F8" s="920" t="s">
        <v>11</v>
      </c>
      <c r="G8" s="497"/>
      <c r="H8" s="1782" t="s">
        <v>100</v>
      </c>
      <c r="I8" s="1789"/>
      <c r="J8" s="919">
        <v>101</v>
      </c>
      <c r="K8" s="710">
        <v>1</v>
      </c>
      <c r="L8" s="623">
        <v>100</v>
      </c>
      <c r="M8" s="920" t="s">
        <v>11</v>
      </c>
    </row>
    <row r="9" spans="1:20" ht="18" customHeight="1">
      <c r="A9" s="1782" t="s">
        <v>101</v>
      </c>
      <c r="B9" s="1789"/>
      <c r="C9" s="919">
        <v>215</v>
      </c>
      <c r="D9" s="710">
        <v>0</v>
      </c>
      <c r="E9" s="623">
        <v>240</v>
      </c>
      <c r="F9" s="920" t="s">
        <v>11</v>
      </c>
      <c r="G9" s="497"/>
      <c r="H9" s="1782" t="s">
        <v>101</v>
      </c>
      <c r="I9" s="1789"/>
      <c r="J9" s="919">
        <v>102</v>
      </c>
      <c r="K9" s="710">
        <v>0</v>
      </c>
      <c r="L9" s="623">
        <v>108</v>
      </c>
      <c r="M9" s="920" t="s">
        <v>11</v>
      </c>
    </row>
    <row r="10" spans="1:20" ht="18" customHeight="1">
      <c r="A10" s="1782" t="s">
        <v>102</v>
      </c>
      <c r="B10" s="1789"/>
      <c r="C10" s="919">
        <v>235</v>
      </c>
      <c r="D10" s="710">
        <v>0</v>
      </c>
      <c r="E10" s="623">
        <v>266</v>
      </c>
      <c r="F10" s="920" t="s">
        <v>11</v>
      </c>
      <c r="G10" s="497"/>
      <c r="H10" s="1782" t="s">
        <v>102</v>
      </c>
      <c r="I10" s="1789"/>
      <c r="J10" s="919">
        <v>136</v>
      </c>
      <c r="K10" s="710">
        <v>0</v>
      </c>
      <c r="L10" s="623">
        <v>141</v>
      </c>
      <c r="M10" s="920" t="s">
        <v>11</v>
      </c>
    </row>
    <row r="11" spans="1:20" ht="18" customHeight="1">
      <c r="A11" s="1782" t="s">
        <v>103</v>
      </c>
      <c r="B11" s="1789"/>
      <c r="C11" s="919">
        <v>249</v>
      </c>
      <c r="D11" s="710">
        <v>0</v>
      </c>
      <c r="E11" s="623">
        <v>285</v>
      </c>
      <c r="F11" s="920" t="s">
        <v>11</v>
      </c>
      <c r="G11" s="497"/>
      <c r="H11" s="1782" t="s">
        <v>103</v>
      </c>
      <c r="I11" s="1789"/>
      <c r="J11" s="919">
        <v>121</v>
      </c>
      <c r="K11" s="710">
        <v>0</v>
      </c>
      <c r="L11" s="623">
        <v>121</v>
      </c>
      <c r="M11" s="920" t="s">
        <v>11</v>
      </c>
    </row>
    <row r="12" spans="1:20" ht="18" customHeight="1">
      <c r="A12" s="1782" t="s">
        <v>105</v>
      </c>
      <c r="B12" s="1789"/>
      <c r="C12" s="919">
        <v>264</v>
      </c>
      <c r="D12" s="710">
        <v>0</v>
      </c>
      <c r="E12" s="623">
        <v>287</v>
      </c>
      <c r="F12" s="920" t="s">
        <v>11</v>
      </c>
      <c r="G12" s="497"/>
      <c r="H12" s="1782" t="s">
        <v>105</v>
      </c>
      <c r="I12" s="1789"/>
      <c r="J12" s="919">
        <v>134</v>
      </c>
      <c r="K12" s="710">
        <v>0</v>
      </c>
      <c r="L12" s="623">
        <v>135</v>
      </c>
      <c r="M12" s="920" t="s">
        <v>11</v>
      </c>
    </row>
    <row r="13" spans="1:20" ht="18" customHeight="1">
      <c r="A13" s="1782" t="s">
        <v>106</v>
      </c>
      <c r="B13" s="1789"/>
      <c r="C13" s="919">
        <v>248</v>
      </c>
      <c r="D13" s="710">
        <v>0</v>
      </c>
      <c r="E13" s="623">
        <v>271</v>
      </c>
      <c r="F13" s="920" t="s">
        <v>11</v>
      </c>
      <c r="G13" s="497"/>
      <c r="H13" s="1782" t="s">
        <v>106</v>
      </c>
      <c r="I13" s="1789"/>
      <c r="J13" s="919">
        <v>147</v>
      </c>
      <c r="K13" s="710">
        <v>0</v>
      </c>
      <c r="L13" s="623">
        <v>148</v>
      </c>
      <c r="M13" s="920" t="s">
        <v>11</v>
      </c>
    </row>
    <row r="14" spans="1:20" ht="18" customHeight="1">
      <c r="A14" s="1782" t="s">
        <v>107</v>
      </c>
      <c r="B14" s="1789"/>
      <c r="C14" s="919">
        <v>254</v>
      </c>
      <c r="D14" s="710">
        <v>0</v>
      </c>
      <c r="E14" s="623">
        <v>289</v>
      </c>
      <c r="F14" s="920" t="s">
        <v>11</v>
      </c>
      <c r="G14" s="497"/>
      <c r="H14" s="1782" t="s">
        <v>107</v>
      </c>
      <c r="I14" s="1789"/>
      <c r="J14" s="919">
        <v>125</v>
      </c>
      <c r="K14" s="710">
        <v>0</v>
      </c>
      <c r="L14" s="623">
        <v>125</v>
      </c>
      <c r="M14" s="920" t="s">
        <v>11</v>
      </c>
    </row>
    <row r="15" spans="1:20" ht="18" customHeight="1">
      <c r="A15" s="1782" t="s">
        <v>108</v>
      </c>
      <c r="B15" s="1789"/>
      <c r="C15" s="919">
        <v>261</v>
      </c>
      <c r="D15" s="710">
        <v>0</v>
      </c>
      <c r="E15" s="623">
        <v>294</v>
      </c>
      <c r="F15" s="920" t="s">
        <v>11</v>
      </c>
      <c r="G15" s="497"/>
      <c r="H15" s="1782" t="s">
        <v>108</v>
      </c>
      <c r="I15" s="1789"/>
      <c r="J15" s="919">
        <v>155</v>
      </c>
      <c r="K15" s="710">
        <v>0</v>
      </c>
      <c r="L15" s="623">
        <v>158</v>
      </c>
      <c r="M15" s="920" t="s">
        <v>11</v>
      </c>
    </row>
    <row r="16" spans="1:20" ht="18" customHeight="1">
      <c r="A16" s="1782" t="s">
        <v>109</v>
      </c>
      <c r="B16" s="1789"/>
      <c r="C16" s="919">
        <v>315</v>
      </c>
      <c r="D16" s="710">
        <v>0</v>
      </c>
      <c r="E16" s="623">
        <v>351</v>
      </c>
      <c r="F16" s="920" t="s">
        <v>11</v>
      </c>
      <c r="G16" s="497"/>
      <c r="H16" s="1782" t="s">
        <v>109</v>
      </c>
      <c r="I16" s="1789"/>
      <c r="J16" s="919">
        <v>159</v>
      </c>
      <c r="K16" s="710">
        <v>0</v>
      </c>
      <c r="L16" s="623">
        <v>160</v>
      </c>
      <c r="M16" s="920" t="s">
        <v>11</v>
      </c>
    </row>
    <row r="17" spans="1:13" ht="18" customHeight="1">
      <c r="A17" s="1782" t="s">
        <v>111</v>
      </c>
      <c r="B17" s="1789"/>
      <c r="C17" s="919">
        <v>319</v>
      </c>
      <c r="D17" s="710">
        <v>0</v>
      </c>
      <c r="E17" s="623">
        <v>361</v>
      </c>
      <c r="F17" s="920" t="s">
        <v>11</v>
      </c>
      <c r="G17" s="497"/>
      <c r="H17" s="1782" t="s">
        <v>111</v>
      </c>
      <c r="I17" s="1789"/>
      <c r="J17" s="919">
        <v>151</v>
      </c>
      <c r="K17" s="710">
        <v>0</v>
      </c>
      <c r="L17" s="623">
        <v>154</v>
      </c>
      <c r="M17" s="920" t="s">
        <v>11</v>
      </c>
    </row>
    <row r="18" spans="1:13" ht="18" customHeight="1">
      <c r="A18" s="1782" t="s">
        <v>112</v>
      </c>
      <c r="B18" s="1789"/>
      <c r="C18" s="919">
        <v>279</v>
      </c>
      <c r="D18" s="710">
        <v>0</v>
      </c>
      <c r="E18" s="623">
        <v>316</v>
      </c>
      <c r="F18" s="920" t="s">
        <v>11</v>
      </c>
      <c r="G18" s="497"/>
      <c r="H18" s="1782" t="s">
        <v>112</v>
      </c>
      <c r="I18" s="1789"/>
      <c r="J18" s="919">
        <v>169</v>
      </c>
      <c r="K18" s="710">
        <v>0</v>
      </c>
      <c r="L18" s="623">
        <v>172</v>
      </c>
      <c r="M18" s="920" t="s">
        <v>11</v>
      </c>
    </row>
    <row r="19" spans="1:13" ht="18" customHeight="1">
      <c r="A19" s="1782" t="s">
        <v>113</v>
      </c>
      <c r="B19" s="1789"/>
      <c r="C19" s="919">
        <v>365</v>
      </c>
      <c r="D19" s="710">
        <v>1</v>
      </c>
      <c r="E19" s="623">
        <v>407</v>
      </c>
      <c r="F19" s="802">
        <v>82</v>
      </c>
      <c r="G19" s="497"/>
      <c r="H19" s="1782" t="s">
        <v>113</v>
      </c>
      <c r="I19" s="1789"/>
      <c r="J19" s="919">
        <v>212</v>
      </c>
      <c r="K19" s="710">
        <v>0</v>
      </c>
      <c r="L19" s="623">
        <v>214</v>
      </c>
      <c r="M19" s="802">
        <v>31</v>
      </c>
    </row>
    <row r="20" spans="1:13" ht="18" customHeight="1">
      <c r="A20" s="1787" t="s">
        <v>843</v>
      </c>
      <c r="B20" s="1788"/>
      <c r="C20" s="919">
        <v>331</v>
      </c>
      <c r="D20" s="710">
        <v>0</v>
      </c>
      <c r="E20" s="623">
        <v>374</v>
      </c>
      <c r="F20" s="802">
        <v>78</v>
      </c>
      <c r="G20" s="497"/>
      <c r="H20" s="1787" t="s">
        <v>843</v>
      </c>
      <c r="I20" s="1788"/>
      <c r="J20" s="919">
        <v>203</v>
      </c>
      <c r="K20" s="710">
        <v>0</v>
      </c>
      <c r="L20" s="623">
        <v>203</v>
      </c>
      <c r="M20" s="802">
        <v>36</v>
      </c>
    </row>
    <row r="21" spans="1:13" ht="18" customHeight="1">
      <c r="A21" s="1787" t="s">
        <v>115</v>
      </c>
      <c r="B21" s="1788"/>
      <c r="C21" s="922">
        <v>276</v>
      </c>
      <c r="D21" s="923">
        <v>0</v>
      </c>
      <c r="E21" s="924">
        <v>315</v>
      </c>
      <c r="F21" s="925">
        <v>58</v>
      </c>
      <c r="G21" s="497"/>
      <c r="H21" s="1787" t="s">
        <v>115</v>
      </c>
      <c r="I21" s="1788"/>
      <c r="J21" s="922">
        <v>180</v>
      </c>
      <c r="K21" s="923">
        <v>0</v>
      </c>
      <c r="L21" s="924">
        <v>185</v>
      </c>
      <c r="M21" s="925">
        <v>30</v>
      </c>
    </row>
    <row r="22" spans="1:13" ht="18" customHeight="1">
      <c r="A22" s="1779" t="s">
        <v>116</v>
      </c>
      <c r="B22" s="1780"/>
      <c r="C22" s="922">
        <v>296</v>
      </c>
      <c r="D22" s="923">
        <v>1</v>
      </c>
      <c r="E22" s="924">
        <v>344</v>
      </c>
      <c r="F22" s="925">
        <v>68</v>
      </c>
      <c r="G22" s="497"/>
      <c r="H22" s="1779" t="s">
        <v>116</v>
      </c>
      <c r="I22" s="1780"/>
      <c r="J22" s="922">
        <v>165</v>
      </c>
      <c r="K22" s="923">
        <v>1</v>
      </c>
      <c r="L22" s="924">
        <v>165</v>
      </c>
      <c r="M22" s="925">
        <v>20</v>
      </c>
    </row>
    <row r="23" spans="1:13" ht="18" customHeight="1">
      <c r="A23" s="1779" t="s">
        <v>117</v>
      </c>
      <c r="B23" s="1781"/>
      <c r="C23" s="922">
        <v>302</v>
      </c>
      <c r="D23" s="923">
        <v>0</v>
      </c>
      <c r="E23" s="924">
        <v>340</v>
      </c>
      <c r="F23" s="925">
        <v>71</v>
      </c>
      <c r="G23" s="497"/>
      <c r="H23" s="1779" t="s">
        <v>117</v>
      </c>
      <c r="I23" s="1781"/>
      <c r="J23" s="919">
        <v>188</v>
      </c>
      <c r="K23" s="710">
        <v>0</v>
      </c>
      <c r="L23" s="623">
        <v>189</v>
      </c>
      <c r="M23" s="802">
        <v>43</v>
      </c>
    </row>
    <row r="24" spans="1:13" ht="18" customHeight="1">
      <c r="A24" s="1782" t="s">
        <v>141</v>
      </c>
      <c r="B24" s="1783"/>
      <c r="C24" s="919">
        <v>279</v>
      </c>
      <c r="D24" s="710">
        <v>0</v>
      </c>
      <c r="E24" s="623">
        <v>320</v>
      </c>
      <c r="F24" s="802">
        <v>80</v>
      </c>
      <c r="G24" s="497"/>
      <c r="H24" s="1782" t="s">
        <v>141</v>
      </c>
      <c r="I24" s="1783"/>
      <c r="J24" s="919">
        <v>178</v>
      </c>
      <c r="K24" s="710">
        <v>1</v>
      </c>
      <c r="L24" s="623">
        <v>180</v>
      </c>
      <c r="M24" s="802">
        <v>29</v>
      </c>
    </row>
    <row r="25" spans="1:13" ht="18" customHeight="1">
      <c r="A25" s="1779" t="s">
        <v>502</v>
      </c>
      <c r="B25" s="1781"/>
      <c r="C25" s="922">
        <v>314</v>
      </c>
      <c r="D25" s="923">
        <v>0</v>
      </c>
      <c r="E25" s="924">
        <v>346</v>
      </c>
      <c r="F25" s="925">
        <v>85</v>
      </c>
      <c r="G25" s="497"/>
      <c r="H25" s="1779" t="s">
        <v>502</v>
      </c>
      <c r="I25" s="1780"/>
      <c r="J25" s="922">
        <v>191</v>
      </c>
      <c r="K25" s="923">
        <v>0</v>
      </c>
      <c r="L25" s="924">
        <v>194</v>
      </c>
      <c r="M25" s="925">
        <v>31</v>
      </c>
    </row>
    <row r="26" spans="1:13" ht="18" customHeight="1" thickBot="1">
      <c r="A26" s="1784" t="s">
        <v>553</v>
      </c>
      <c r="B26" s="1785"/>
      <c r="C26" s="1164">
        <v>325</v>
      </c>
      <c r="D26" s="1165">
        <v>0</v>
      </c>
      <c r="E26" s="1166">
        <v>358</v>
      </c>
      <c r="F26" s="1167">
        <v>85</v>
      </c>
      <c r="G26" s="497"/>
      <c r="H26" s="1784" t="s">
        <v>553</v>
      </c>
      <c r="I26" s="1786"/>
      <c r="J26" s="1164">
        <v>205</v>
      </c>
      <c r="K26" s="1165">
        <v>0</v>
      </c>
      <c r="L26" s="1166">
        <v>211</v>
      </c>
      <c r="M26" s="1167">
        <v>26</v>
      </c>
    </row>
    <row r="27" spans="1:13" s="1889" customFormat="1" ht="99" customHeight="1">
      <c r="A27" s="1931" t="s">
        <v>942</v>
      </c>
      <c r="B27" s="1929" t="s">
        <v>943</v>
      </c>
      <c r="C27" s="1929"/>
      <c r="D27" s="1929"/>
      <c r="E27" s="1929"/>
      <c r="F27" s="1929"/>
      <c r="H27" s="1928" t="s">
        <v>944</v>
      </c>
      <c r="I27" s="1929" t="s">
        <v>945</v>
      </c>
      <c r="J27" s="1929"/>
      <c r="K27" s="1929"/>
      <c r="L27" s="1929"/>
      <c r="M27" s="1930"/>
    </row>
    <row r="28" spans="1:13" ht="27.75" customHeight="1">
      <c r="A28" s="512"/>
      <c r="B28" s="912"/>
      <c r="C28" s="912"/>
      <c r="D28" s="912"/>
      <c r="E28" s="912"/>
      <c r="F28" s="912"/>
      <c r="G28" s="497"/>
      <c r="H28" s="927"/>
      <c r="I28" s="912"/>
      <c r="J28" s="912"/>
      <c r="K28" s="912"/>
      <c r="L28" s="912"/>
      <c r="M28" s="512"/>
    </row>
    <row r="29" spans="1:13">
      <c r="A29" s="1778"/>
      <c r="B29" s="1778"/>
      <c r="C29" s="1778"/>
      <c r="D29" s="1778"/>
      <c r="E29" s="1778"/>
      <c r="F29" s="928"/>
    </row>
    <row r="30" spans="1:13">
      <c r="A30" s="1778"/>
      <c r="B30" s="1778"/>
      <c r="C30" s="1778"/>
      <c r="D30" s="1778"/>
      <c r="E30" s="1778"/>
      <c r="F30" s="928"/>
    </row>
  </sheetData>
  <mergeCells count="55">
    <mergeCell ref="A7:B7"/>
    <mergeCell ref="H7:I7"/>
    <mergeCell ref="A8:B8"/>
    <mergeCell ref="A1:L2"/>
    <mergeCell ref="A4:E4"/>
    <mergeCell ref="H4:L4"/>
    <mergeCell ref="A5:B6"/>
    <mergeCell ref="C5:C6"/>
    <mergeCell ref="D5:D6"/>
    <mergeCell ref="E5:E6"/>
    <mergeCell ref="H5:I6"/>
    <mergeCell ref="J5:J6"/>
    <mergeCell ref="K5:K6"/>
    <mergeCell ref="L5:L6"/>
    <mergeCell ref="H8:I8"/>
    <mergeCell ref="A10:B10"/>
    <mergeCell ref="H10:I10"/>
    <mergeCell ref="A11:B11"/>
    <mergeCell ref="H11:I11"/>
    <mergeCell ref="A9:B9"/>
    <mergeCell ref="H9:I9"/>
    <mergeCell ref="A12:B12"/>
    <mergeCell ref="H12:I12"/>
    <mergeCell ref="A13:B13"/>
    <mergeCell ref="H13:I13"/>
    <mergeCell ref="A14:B14"/>
    <mergeCell ref="H14:I14"/>
    <mergeCell ref="A15:B15"/>
    <mergeCell ref="H15:I15"/>
    <mergeCell ref="A16:B16"/>
    <mergeCell ref="H16:I16"/>
    <mergeCell ref="A17:B17"/>
    <mergeCell ref="H17:I17"/>
    <mergeCell ref="A18:B18"/>
    <mergeCell ref="H18:I18"/>
    <mergeCell ref="A19:B19"/>
    <mergeCell ref="H19:I19"/>
    <mergeCell ref="A20:B20"/>
    <mergeCell ref="H20:I20"/>
    <mergeCell ref="A21:B21"/>
    <mergeCell ref="H21:I21"/>
    <mergeCell ref="B27:F27"/>
    <mergeCell ref="I27:M27"/>
    <mergeCell ref="A29:E29"/>
    <mergeCell ref="A30:E30"/>
    <mergeCell ref="A22:B22"/>
    <mergeCell ref="H22:I22"/>
    <mergeCell ref="A23:B23"/>
    <mergeCell ref="H23:I23"/>
    <mergeCell ref="A24:B24"/>
    <mergeCell ref="H24:I24"/>
    <mergeCell ref="A25:B25"/>
    <mergeCell ref="H25:I25"/>
    <mergeCell ref="A26:B26"/>
    <mergeCell ref="H26:I26"/>
  </mergeCells>
  <phoneticPr fontId="4"/>
  <printOptions horizontalCentered="1"/>
  <pageMargins left="0.78740157480314965" right="0.39370078740157483" top="0.98425196850393704" bottom="0.98425196850393704" header="0.31496062992125984" footer="0.51181102362204722"/>
  <pageSetup paperSize="9" scale="87" orientation="portrait" r:id="rId1"/>
  <headerFooter scaleWithDoc="0" alignWithMargins="0">
    <oddFooter>&amp;C- &amp;P -</oddFoot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774321-0058-4DF3-BEB7-760C6354FFC9}">
  <sheetPr>
    <pageSetUpPr fitToPage="1"/>
  </sheetPr>
  <dimension ref="A1:G27"/>
  <sheetViews>
    <sheetView showGridLines="0" view="pageBreakPreview" zoomScaleNormal="100" zoomScaleSheetLayoutView="100" zoomScalePageLayoutView="85" workbookViewId="0">
      <selection activeCell="L76" sqref="L76"/>
    </sheetView>
  </sheetViews>
  <sheetFormatPr defaultColWidth="9" defaultRowHeight="13.8"/>
  <cols>
    <col min="1" max="2" width="3.44140625" style="497" customWidth="1"/>
    <col min="3" max="3" width="22.88671875" style="497" customWidth="1"/>
    <col min="4" max="6" width="13.109375" style="497" customWidth="1"/>
    <col min="7" max="7" width="14.44140625" style="497" customWidth="1"/>
    <col min="8" max="16384" width="9" style="497"/>
  </cols>
  <sheetData>
    <row r="1" spans="1:7" ht="15.6" thickBot="1">
      <c r="A1" s="650" t="s">
        <v>460</v>
      </c>
    </row>
    <row r="2" spans="1:7" ht="18" customHeight="1">
      <c r="A2" s="543"/>
      <c r="B2" s="649"/>
      <c r="C2" s="933" t="s">
        <v>619</v>
      </c>
      <c r="D2" s="1274" t="s">
        <v>800</v>
      </c>
      <c r="E2" s="1532" t="s">
        <v>820</v>
      </c>
      <c r="F2" s="1305" t="s">
        <v>821</v>
      </c>
      <c r="G2" s="934"/>
    </row>
    <row r="3" spans="1:7" ht="24" customHeight="1" thickBot="1">
      <c r="A3" s="938" t="s">
        <v>427</v>
      </c>
      <c r="B3" s="499"/>
      <c r="C3" s="935"/>
      <c r="D3" s="1277"/>
      <c r="E3" s="1798"/>
      <c r="F3" s="1798"/>
      <c r="G3" s="936" t="s">
        <v>461</v>
      </c>
    </row>
    <row r="4" spans="1:7" ht="20.100000000000001" customHeight="1" thickBot="1">
      <c r="A4" s="808" t="s">
        <v>822</v>
      </c>
      <c r="B4" s="809"/>
      <c r="C4" s="809"/>
      <c r="D4" s="929">
        <f>SUM(D5:D25)</f>
        <v>3232</v>
      </c>
      <c r="E4" s="930">
        <f>SUM(E5:E25)</f>
        <v>11</v>
      </c>
      <c r="F4" s="931">
        <f>SUM(F5:F25)</f>
        <v>3328</v>
      </c>
      <c r="G4" s="932">
        <f>SUM(G5:G25)</f>
        <v>455</v>
      </c>
    </row>
    <row r="5" spans="1:7" ht="20.100000000000001" customHeight="1">
      <c r="A5" s="652"/>
      <c r="B5" s="544" t="s">
        <v>653</v>
      </c>
      <c r="C5" s="545"/>
      <c r="D5" s="1168">
        <v>69</v>
      </c>
      <c r="E5" s="1169">
        <v>0</v>
      </c>
      <c r="F5" s="1170">
        <v>71</v>
      </c>
      <c r="G5" s="1171">
        <v>8</v>
      </c>
    </row>
    <row r="6" spans="1:7" ht="20.100000000000001" customHeight="1">
      <c r="A6" s="524" t="s">
        <v>823</v>
      </c>
      <c r="B6" s="527" t="s">
        <v>654</v>
      </c>
      <c r="C6" s="530"/>
      <c r="D6" s="1172">
        <v>37</v>
      </c>
      <c r="E6" s="1173">
        <v>0</v>
      </c>
      <c r="F6" s="1174">
        <v>38</v>
      </c>
      <c r="G6" s="1175">
        <v>2</v>
      </c>
    </row>
    <row r="7" spans="1:7" ht="20.100000000000001" customHeight="1">
      <c r="A7" s="524"/>
      <c r="B7" s="1530" t="s">
        <v>655</v>
      </c>
      <c r="C7" s="527" t="s">
        <v>656</v>
      </c>
      <c r="D7" s="1172">
        <v>18</v>
      </c>
      <c r="E7" s="1173">
        <v>0</v>
      </c>
      <c r="F7" s="1174">
        <v>20</v>
      </c>
      <c r="G7" s="1175">
        <v>4</v>
      </c>
    </row>
    <row r="8" spans="1:7" ht="20.100000000000001" customHeight="1">
      <c r="A8" s="524" t="s">
        <v>825</v>
      </c>
      <c r="B8" s="1533"/>
      <c r="C8" s="527" t="s">
        <v>657</v>
      </c>
      <c r="D8" s="1172">
        <v>3</v>
      </c>
      <c r="E8" s="1173">
        <v>0</v>
      </c>
      <c r="F8" s="1174">
        <v>3</v>
      </c>
      <c r="G8" s="1175">
        <v>1</v>
      </c>
    </row>
    <row r="9" spans="1:7" ht="20.100000000000001" customHeight="1">
      <c r="A9" s="524"/>
      <c r="B9" s="1533"/>
      <c r="C9" s="527" t="s">
        <v>844</v>
      </c>
      <c r="D9" s="1172">
        <v>1</v>
      </c>
      <c r="E9" s="1173">
        <v>0</v>
      </c>
      <c r="F9" s="1174">
        <v>1</v>
      </c>
      <c r="G9" s="1175">
        <v>0</v>
      </c>
    </row>
    <row r="10" spans="1:7" ht="20.100000000000001" customHeight="1">
      <c r="A10" s="524" t="s">
        <v>705</v>
      </c>
      <c r="B10" s="1531"/>
      <c r="C10" s="527" t="s">
        <v>659</v>
      </c>
      <c r="D10" s="1172">
        <v>30</v>
      </c>
      <c r="E10" s="1173">
        <v>0</v>
      </c>
      <c r="F10" s="1174">
        <v>30</v>
      </c>
      <c r="G10" s="1175">
        <v>6</v>
      </c>
    </row>
    <row r="11" spans="1:7" ht="20.100000000000001" customHeight="1">
      <c r="A11" s="524"/>
      <c r="B11" s="527" t="s">
        <v>660</v>
      </c>
      <c r="C11" s="530"/>
      <c r="D11" s="1172">
        <v>0</v>
      </c>
      <c r="E11" s="1173">
        <v>0</v>
      </c>
      <c r="F11" s="1174">
        <v>0</v>
      </c>
      <c r="G11" s="1175">
        <v>0</v>
      </c>
    </row>
    <row r="12" spans="1:7" ht="20.100000000000001" customHeight="1">
      <c r="A12" s="524" t="s">
        <v>710</v>
      </c>
      <c r="B12" s="527" t="s">
        <v>661</v>
      </c>
      <c r="C12" s="530"/>
      <c r="D12" s="1172">
        <v>3</v>
      </c>
      <c r="E12" s="1173">
        <v>0</v>
      </c>
      <c r="F12" s="1174">
        <v>4</v>
      </c>
      <c r="G12" s="1175">
        <v>0</v>
      </c>
    </row>
    <row r="13" spans="1:7" ht="20.100000000000001" customHeight="1">
      <c r="A13" s="524"/>
      <c r="B13" s="527" t="s">
        <v>829</v>
      </c>
      <c r="C13" s="530"/>
      <c r="D13" s="1172">
        <v>5</v>
      </c>
      <c r="E13" s="1173">
        <v>0</v>
      </c>
      <c r="F13" s="1174">
        <v>5</v>
      </c>
      <c r="G13" s="1175">
        <v>0</v>
      </c>
    </row>
    <row r="14" spans="1:7" ht="20.100000000000001" customHeight="1" thickBot="1">
      <c r="A14" s="524"/>
      <c r="B14" s="532" t="s">
        <v>659</v>
      </c>
      <c r="C14" s="505"/>
      <c r="D14" s="1176">
        <v>39</v>
      </c>
      <c r="E14" s="1177">
        <v>0</v>
      </c>
      <c r="F14" s="1178">
        <v>39</v>
      </c>
      <c r="G14" s="1179">
        <v>5</v>
      </c>
    </row>
    <row r="15" spans="1:7" ht="20.100000000000001" customHeight="1">
      <c r="A15" s="652"/>
      <c r="B15" s="544" t="s">
        <v>663</v>
      </c>
      <c r="C15" s="545"/>
      <c r="D15" s="1168">
        <v>57</v>
      </c>
      <c r="E15" s="1169">
        <v>0</v>
      </c>
      <c r="F15" s="1170">
        <v>62</v>
      </c>
      <c r="G15" s="1171">
        <v>17</v>
      </c>
    </row>
    <row r="16" spans="1:7" ht="20.100000000000001" customHeight="1">
      <c r="A16" s="546" t="s">
        <v>705</v>
      </c>
      <c r="B16" s="1530" t="s">
        <v>664</v>
      </c>
      <c r="C16" s="527" t="s">
        <v>665</v>
      </c>
      <c r="D16" s="1172">
        <v>23</v>
      </c>
      <c r="E16" s="1173">
        <v>0</v>
      </c>
      <c r="F16" s="1174">
        <v>24</v>
      </c>
      <c r="G16" s="1175">
        <v>7</v>
      </c>
    </row>
    <row r="17" spans="1:7" ht="20.100000000000001" customHeight="1">
      <c r="A17" s="546" t="s">
        <v>699</v>
      </c>
      <c r="B17" s="1531"/>
      <c r="C17" s="527" t="s">
        <v>659</v>
      </c>
      <c r="D17" s="1172">
        <v>17</v>
      </c>
      <c r="E17" s="1173">
        <v>0</v>
      </c>
      <c r="F17" s="1174">
        <v>17</v>
      </c>
      <c r="G17" s="1175">
        <v>2</v>
      </c>
    </row>
    <row r="18" spans="1:7" ht="20.100000000000001" customHeight="1">
      <c r="A18" s="546" t="s">
        <v>710</v>
      </c>
      <c r="B18" s="527" t="s">
        <v>693</v>
      </c>
      <c r="C18" s="530"/>
      <c r="D18" s="1172">
        <v>1662</v>
      </c>
      <c r="E18" s="1173">
        <v>6</v>
      </c>
      <c r="F18" s="1174">
        <v>1714</v>
      </c>
      <c r="G18" s="1175">
        <v>266</v>
      </c>
    </row>
    <row r="19" spans="1:7" ht="20.100000000000001" customHeight="1">
      <c r="A19" s="546"/>
      <c r="B19" s="527" t="s">
        <v>845</v>
      </c>
      <c r="C19" s="530"/>
      <c r="D19" s="1172">
        <v>152</v>
      </c>
      <c r="E19" s="1173">
        <v>0</v>
      </c>
      <c r="F19" s="1174">
        <v>159</v>
      </c>
      <c r="G19" s="1175">
        <v>28</v>
      </c>
    </row>
    <row r="20" spans="1:7" ht="20.100000000000001" customHeight="1">
      <c r="A20" s="546" t="s">
        <v>846</v>
      </c>
      <c r="B20" s="527" t="s">
        <v>667</v>
      </c>
      <c r="C20" s="530"/>
      <c r="D20" s="1172">
        <v>84</v>
      </c>
      <c r="E20" s="1173">
        <v>0</v>
      </c>
      <c r="F20" s="1174">
        <v>88</v>
      </c>
      <c r="G20" s="1175">
        <v>4</v>
      </c>
    </row>
    <row r="21" spans="1:7" ht="20.100000000000001" customHeight="1">
      <c r="A21" s="546" t="s">
        <v>699</v>
      </c>
      <c r="B21" s="527" t="s">
        <v>668</v>
      </c>
      <c r="C21" s="530"/>
      <c r="D21" s="1172">
        <v>462</v>
      </c>
      <c r="E21" s="1173">
        <v>3</v>
      </c>
      <c r="F21" s="1174">
        <v>471</v>
      </c>
      <c r="G21" s="1175">
        <v>33</v>
      </c>
    </row>
    <row r="22" spans="1:7" ht="20.100000000000001" customHeight="1">
      <c r="A22" s="546" t="s">
        <v>847</v>
      </c>
      <c r="B22" s="527" t="s">
        <v>669</v>
      </c>
      <c r="C22" s="530"/>
      <c r="D22" s="1172">
        <v>294</v>
      </c>
      <c r="E22" s="1173">
        <v>0</v>
      </c>
      <c r="F22" s="1174">
        <v>300</v>
      </c>
      <c r="G22" s="1175">
        <v>32</v>
      </c>
    </row>
    <row r="23" spans="1:7" ht="20.100000000000001" customHeight="1" thickBot="1">
      <c r="A23" s="937"/>
      <c r="B23" s="547" t="s">
        <v>659</v>
      </c>
      <c r="C23" s="848"/>
      <c r="D23" s="1180">
        <v>275</v>
      </c>
      <c r="E23" s="1181">
        <v>2</v>
      </c>
      <c r="F23" s="1182">
        <v>281</v>
      </c>
      <c r="G23" s="1183">
        <v>40</v>
      </c>
    </row>
    <row r="24" spans="1:7" ht="20.100000000000001" customHeight="1" thickBot="1">
      <c r="A24" s="516" t="s">
        <v>639</v>
      </c>
      <c r="B24" s="500"/>
      <c r="C24" s="548"/>
      <c r="D24" s="1184">
        <v>1</v>
      </c>
      <c r="E24" s="1185">
        <v>0</v>
      </c>
      <c r="F24" s="1186">
        <v>1</v>
      </c>
      <c r="G24" s="1187">
        <v>0</v>
      </c>
    </row>
    <row r="25" spans="1:7" ht="20.100000000000001" customHeight="1" thickBot="1">
      <c r="A25" s="549" t="s">
        <v>640</v>
      </c>
      <c r="B25" s="550"/>
      <c r="C25" s="550"/>
      <c r="D25" s="1188">
        <v>0</v>
      </c>
      <c r="E25" s="930">
        <v>0</v>
      </c>
      <c r="F25" s="1189">
        <v>0</v>
      </c>
      <c r="G25" s="932">
        <v>0</v>
      </c>
    </row>
    <row r="26" spans="1:7" s="1889" customFormat="1" ht="19.5" customHeight="1">
      <c r="A26" s="1932" t="s">
        <v>946</v>
      </c>
      <c r="B26" s="1932"/>
      <c r="C26" s="1932"/>
      <c r="D26" s="1932"/>
      <c r="E26" s="1932"/>
      <c r="F26" s="1932"/>
      <c r="G26" s="1932"/>
    </row>
    <row r="27" spans="1:7" s="1889" customFormat="1" ht="18">
      <c r="A27" s="1934" t="s">
        <v>916</v>
      </c>
      <c r="B27" s="1934"/>
      <c r="C27" s="1934"/>
      <c r="D27" s="1934"/>
      <c r="E27" s="1934"/>
      <c r="F27" s="1934"/>
      <c r="G27" s="1934"/>
    </row>
  </sheetData>
  <mergeCells count="7">
    <mergeCell ref="A27:G27"/>
    <mergeCell ref="D2:D3"/>
    <mergeCell ref="E2:E3"/>
    <mergeCell ref="F2:F3"/>
    <mergeCell ref="B7:B10"/>
    <mergeCell ref="B16:B17"/>
    <mergeCell ref="A26:G26"/>
  </mergeCells>
  <phoneticPr fontId="4"/>
  <printOptions horizontalCentered="1"/>
  <pageMargins left="0.78740157480314965" right="0.39370078740157483" top="0.98425196850393704" bottom="0.98425196850393704" header="0.31496062992125984" footer="0.51181102362204722"/>
  <pageSetup paperSize="9" orientation="portrait" r:id="rId1"/>
  <headerFooter scaleWithDoc="0" alignWithMargins="0">
    <oddFooter>&amp;C- &amp;P -</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23A32-C41E-4A9B-8B50-8704D0862742}">
  <sheetPr>
    <pageSetUpPr fitToPage="1"/>
  </sheetPr>
  <dimension ref="A1:Q34"/>
  <sheetViews>
    <sheetView view="pageBreakPreview" topLeftCell="A13" zoomScale="70" zoomScaleNormal="100" zoomScaleSheetLayoutView="70" workbookViewId="0">
      <selection activeCell="L76" sqref="L76"/>
    </sheetView>
  </sheetViews>
  <sheetFormatPr defaultColWidth="9" defaultRowHeight="13.8"/>
  <cols>
    <col min="1" max="1" width="9.77734375" style="497" customWidth="1"/>
    <col min="2" max="2" width="6.6640625" style="497" customWidth="1"/>
    <col min="3" max="5" width="8.44140625" style="497" customWidth="1"/>
    <col min="6" max="6" width="6.6640625" style="497" customWidth="1"/>
    <col min="7" max="9" width="8.44140625" style="497" customWidth="1"/>
    <col min="10" max="10" width="6.6640625" style="497" customWidth="1"/>
    <col min="11" max="13" width="8.44140625" style="497" customWidth="1"/>
    <col min="14" max="14" width="6.6640625" style="497" customWidth="1"/>
    <col min="15" max="17" width="8.44140625" style="497" customWidth="1"/>
    <col min="18" max="16384" width="9" style="497"/>
  </cols>
  <sheetData>
    <row r="1" spans="1:17" s="650" customFormat="1" ht="15">
      <c r="A1" s="650" t="s">
        <v>462</v>
      </c>
    </row>
    <row r="2" spans="1:17" s="650" customFormat="1" ht="15.6" thickBot="1">
      <c r="A2" s="650" t="s">
        <v>463</v>
      </c>
    </row>
    <row r="3" spans="1:17" ht="15" customHeight="1" thickBot="1">
      <c r="A3" s="939" t="s">
        <v>464</v>
      </c>
      <c r="B3" s="1291" t="s">
        <v>603</v>
      </c>
      <c r="C3" s="1314"/>
      <c r="D3" s="1314"/>
      <c r="E3" s="1761" t="s">
        <v>641</v>
      </c>
      <c r="F3" s="1291" t="s">
        <v>836</v>
      </c>
      <c r="G3" s="1314"/>
      <c r="H3" s="1314"/>
      <c r="I3" s="1761" t="s">
        <v>644</v>
      </c>
      <c r="J3" s="1291" t="s">
        <v>605</v>
      </c>
      <c r="K3" s="1314"/>
      <c r="L3" s="1314"/>
      <c r="M3" s="1764" t="s">
        <v>644</v>
      </c>
      <c r="N3" s="1512"/>
      <c r="O3" s="1262"/>
      <c r="P3" s="1262"/>
      <c r="Q3" s="872"/>
    </row>
    <row r="4" spans="1:17">
      <c r="A4" s="866"/>
      <c r="B4" s="1434"/>
      <c r="C4" s="1487"/>
      <c r="D4" s="1487"/>
      <c r="E4" s="1762"/>
      <c r="F4" s="1434"/>
      <c r="G4" s="1487"/>
      <c r="H4" s="1487"/>
      <c r="I4" s="1762"/>
      <c r="J4" s="1434"/>
      <c r="K4" s="1487"/>
      <c r="L4" s="1487"/>
      <c r="M4" s="1762"/>
      <c r="N4" s="1474" t="s">
        <v>837</v>
      </c>
      <c r="O4" s="1760"/>
      <c r="P4" s="1760"/>
      <c r="Q4" s="518" t="s">
        <v>848</v>
      </c>
    </row>
    <row r="5" spans="1:17">
      <c r="A5" s="867"/>
      <c r="B5" s="503" t="s">
        <v>752</v>
      </c>
      <c r="C5" s="505"/>
      <c r="D5" s="505"/>
      <c r="E5" s="505"/>
      <c r="F5" s="503" t="s">
        <v>752</v>
      </c>
      <c r="G5" s="505"/>
      <c r="H5" s="505"/>
      <c r="I5" s="505"/>
      <c r="J5" s="503" t="s">
        <v>752</v>
      </c>
      <c r="K5" s="505"/>
      <c r="L5" s="505"/>
      <c r="M5" s="506"/>
      <c r="N5" s="503" t="s">
        <v>752</v>
      </c>
      <c r="O5" s="505"/>
      <c r="P5" s="505"/>
      <c r="Q5" s="506"/>
    </row>
    <row r="6" spans="1:17" ht="14.4" thickBot="1">
      <c r="A6" s="507" t="s">
        <v>432</v>
      </c>
      <c r="B6" s="508"/>
      <c r="C6" s="511" t="s">
        <v>465</v>
      </c>
      <c r="D6" s="868" t="s">
        <v>466</v>
      </c>
      <c r="E6" s="868" t="s">
        <v>325</v>
      </c>
      <c r="F6" s="940"/>
      <c r="G6" s="511" t="s">
        <v>465</v>
      </c>
      <c r="H6" s="868" t="s">
        <v>466</v>
      </c>
      <c r="I6" s="868" t="s">
        <v>325</v>
      </c>
      <c r="J6" s="940"/>
      <c r="K6" s="511" t="s">
        <v>465</v>
      </c>
      <c r="L6" s="868" t="s">
        <v>466</v>
      </c>
      <c r="M6" s="869" t="s">
        <v>325</v>
      </c>
      <c r="N6" s="940"/>
      <c r="O6" s="511" t="s">
        <v>465</v>
      </c>
      <c r="P6" s="868" t="s">
        <v>466</v>
      </c>
      <c r="Q6" s="869" t="s">
        <v>325</v>
      </c>
    </row>
    <row r="7" spans="1:17" ht="24.9" customHeight="1">
      <c r="A7" s="870" t="s">
        <v>576</v>
      </c>
      <c r="B7" s="896">
        <f t="shared" ref="B7:B30" si="0">SUM(C7:E7)</f>
        <v>254</v>
      </c>
      <c r="C7" s="1151">
        <v>25</v>
      </c>
      <c r="D7" s="1151">
        <v>229</v>
      </c>
      <c r="E7" s="1154">
        <v>0</v>
      </c>
      <c r="F7" s="896">
        <f t="shared" ref="F7:F30" si="1">SUM(G7:I7)</f>
        <v>0</v>
      </c>
      <c r="G7" s="1151">
        <v>0</v>
      </c>
      <c r="H7" s="1151">
        <v>0</v>
      </c>
      <c r="I7" s="1155">
        <v>0</v>
      </c>
      <c r="J7" s="897">
        <f t="shared" ref="J7:J30" si="2">SUM(K7:M7)</f>
        <v>265</v>
      </c>
      <c r="K7" s="1151">
        <v>28</v>
      </c>
      <c r="L7" s="1151">
        <v>237</v>
      </c>
      <c r="M7" s="1155">
        <v>0</v>
      </c>
      <c r="N7" s="897">
        <f t="shared" ref="N7:N30" si="3">SUM(O7:Q7)</f>
        <v>25</v>
      </c>
      <c r="O7" s="1151">
        <v>3</v>
      </c>
      <c r="P7" s="1151">
        <v>22</v>
      </c>
      <c r="Q7" s="1155">
        <v>0</v>
      </c>
    </row>
    <row r="8" spans="1:17" ht="24.9" customHeight="1">
      <c r="A8" s="787" t="s">
        <v>577</v>
      </c>
      <c r="B8" s="898">
        <f t="shared" si="0"/>
        <v>68</v>
      </c>
      <c r="C8" s="880">
        <v>6</v>
      </c>
      <c r="D8" s="880">
        <v>62</v>
      </c>
      <c r="E8" s="881">
        <v>0</v>
      </c>
      <c r="F8" s="898">
        <f t="shared" si="1"/>
        <v>0</v>
      </c>
      <c r="G8" s="880">
        <v>0</v>
      </c>
      <c r="H8" s="880">
        <v>0</v>
      </c>
      <c r="I8" s="1156">
        <v>0</v>
      </c>
      <c r="J8" s="899">
        <f t="shared" si="2"/>
        <v>69</v>
      </c>
      <c r="K8" s="880">
        <v>6</v>
      </c>
      <c r="L8" s="880">
        <v>63</v>
      </c>
      <c r="M8" s="1156">
        <v>0</v>
      </c>
      <c r="N8" s="899">
        <f t="shared" si="3"/>
        <v>16</v>
      </c>
      <c r="O8" s="880">
        <v>2</v>
      </c>
      <c r="P8" s="880">
        <v>14</v>
      </c>
      <c r="Q8" s="1156">
        <v>0</v>
      </c>
    </row>
    <row r="9" spans="1:17" ht="24.9" customHeight="1">
      <c r="A9" s="787" t="s">
        <v>578</v>
      </c>
      <c r="B9" s="898">
        <f t="shared" si="0"/>
        <v>91</v>
      </c>
      <c r="C9" s="880">
        <v>9</v>
      </c>
      <c r="D9" s="880">
        <v>82</v>
      </c>
      <c r="E9" s="881">
        <v>0</v>
      </c>
      <c r="F9" s="898">
        <f t="shared" si="1"/>
        <v>2</v>
      </c>
      <c r="G9" s="880">
        <v>0</v>
      </c>
      <c r="H9" s="880">
        <v>2</v>
      </c>
      <c r="I9" s="1156">
        <v>0</v>
      </c>
      <c r="J9" s="899">
        <f t="shared" si="2"/>
        <v>91</v>
      </c>
      <c r="K9" s="880">
        <v>9</v>
      </c>
      <c r="L9" s="880">
        <v>82</v>
      </c>
      <c r="M9" s="1156">
        <v>0</v>
      </c>
      <c r="N9" s="899">
        <f t="shared" si="3"/>
        <v>7</v>
      </c>
      <c r="O9" s="880">
        <v>1</v>
      </c>
      <c r="P9" s="880">
        <v>6</v>
      </c>
      <c r="Q9" s="1156">
        <v>0</v>
      </c>
    </row>
    <row r="10" spans="1:17" ht="24.9" customHeight="1">
      <c r="A10" s="787" t="s">
        <v>580</v>
      </c>
      <c r="B10" s="898">
        <f t="shared" si="0"/>
        <v>41</v>
      </c>
      <c r="C10" s="880">
        <v>3</v>
      </c>
      <c r="D10" s="880">
        <v>38</v>
      </c>
      <c r="E10" s="881">
        <v>0</v>
      </c>
      <c r="F10" s="898">
        <f t="shared" si="1"/>
        <v>0</v>
      </c>
      <c r="G10" s="880">
        <v>0</v>
      </c>
      <c r="H10" s="880">
        <v>0</v>
      </c>
      <c r="I10" s="1156">
        <v>0</v>
      </c>
      <c r="J10" s="899">
        <f t="shared" si="2"/>
        <v>42</v>
      </c>
      <c r="K10" s="880">
        <v>3</v>
      </c>
      <c r="L10" s="880">
        <v>39</v>
      </c>
      <c r="M10" s="1156">
        <v>0</v>
      </c>
      <c r="N10" s="899">
        <f t="shared" si="3"/>
        <v>6</v>
      </c>
      <c r="O10" s="880">
        <v>0</v>
      </c>
      <c r="P10" s="880">
        <v>6</v>
      </c>
      <c r="Q10" s="1156">
        <v>0</v>
      </c>
    </row>
    <row r="11" spans="1:17" ht="24.9" customHeight="1">
      <c r="A11" s="787" t="s">
        <v>581</v>
      </c>
      <c r="B11" s="898">
        <f t="shared" si="0"/>
        <v>263</v>
      </c>
      <c r="C11" s="880">
        <v>28</v>
      </c>
      <c r="D11" s="880">
        <v>235</v>
      </c>
      <c r="E11" s="881">
        <v>0</v>
      </c>
      <c r="F11" s="898">
        <f t="shared" si="1"/>
        <v>2</v>
      </c>
      <c r="G11" s="880">
        <v>0</v>
      </c>
      <c r="H11" s="880">
        <v>2</v>
      </c>
      <c r="I11" s="1156">
        <v>0</v>
      </c>
      <c r="J11" s="899">
        <f t="shared" si="2"/>
        <v>264</v>
      </c>
      <c r="K11" s="880">
        <v>28</v>
      </c>
      <c r="L11" s="880">
        <v>236</v>
      </c>
      <c r="M11" s="1156">
        <v>0</v>
      </c>
      <c r="N11" s="899">
        <f t="shared" si="3"/>
        <v>28</v>
      </c>
      <c r="O11" s="880">
        <v>1</v>
      </c>
      <c r="P11" s="880">
        <v>27</v>
      </c>
      <c r="Q11" s="1156">
        <v>0</v>
      </c>
    </row>
    <row r="12" spans="1:17" ht="24.9" customHeight="1">
      <c r="A12" s="787" t="s">
        <v>582</v>
      </c>
      <c r="B12" s="898">
        <f t="shared" si="0"/>
        <v>131</v>
      </c>
      <c r="C12" s="880">
        <v>7</v>
      </c>
      <c r="D12" s="880">
        <v>124</v>
      </c>
      <c r="E12" s="881">
        <v>0</v>
      </c>
      <c r="F12" s="898">
        <f t="shared" si="1"/>
        <v>1</v>
      </c>
      <c r="G12" s="880">
        <v>0</v>
      </c>
      <c r="H12" s="880">
        <v>1</v>
      </c>
      <c r="I12" s="1156">
        <v>0</v>
      </c>
      <c r="J12" s="899">
        <f t="shared" si="2"/>
        <v>132</v>
      </c>
      <c r="K12" s="880">
        <v>7</v>
      </c>
      <c r="L12" s="880">
        <v>125</v>
      </c>
      <c r="M12" s="1156">
        <v>0</v>
      </c>
      <c r="N12" s="899">
        <f t="shared" si="3"/>
        <v>22</v>
      </c>
      <c r="O12" s="880">
        <v>3</v>
      </c>
      <c r="P12" s="880">
        <v>19</v>
      </c>
      <c r="Q12" s="1156">
        <v>0</v>
      </c>
    </row>
    <row r="13" spans="1:17" ht="24.9" customHeight="1">
      <c r="A13" s="787" t="s">
        <v>583</v>
      </c>
      <c r="B13" s="898">
        <f t="shared" si="0"/>
        <v>60</v>
      </c>
      <c r="C13" s="880">
        <v>5</v>
      </c>
      <c r="D13" s="880">
        <v>55</v>
      </c>
      <c r="E13" s="881">
        <v>0</v>
      </c>
      <c r="F13" s="898">
        <f t="shared" si="1"/>
        <v>0</v>
      </c>
      <c r="G13" s="880">
        <v>0</v>
      </c>
      <c r="H13" s="880">
        <v>0</v>
      </c>
      <c r="I13" s="1156">
        <v>0</v>
      </c>
      <c r="J13" s="899">
        <f t="shared" si="2"/>
        <v>63</v>
      </c>
      <c r="K13" s="880">
        <v>5</v>
      </c>
      <c r="L13" s="880">
        <v>58</v>
      </c>
      <c r="M13" s="1156">
        <v>0</v>
      </c>
      <c r="N13" s="899">
        <f t="shared" si="3"/>
        <v>13</v>
      </c>
      <c r="O13" s="880">
        <v>1</v>
      </c>
      <c r="P13" s="880">
        <v>12</v>
      </c>
      <c r="Q13" s="1156">
        <v>0</v>
      </c>
    </row>
    <row r="14" spans="1:17" ht="24.9" customHeight="1">
      <c r="A14" s="787" t="s">
        <v>584</v>
      </c>
      <c r="B14" s="898">
        <f t="shared" si="0"/>
        <v>75</v>
      </c>
      <c r="C14" s="880">
        <v>8</v>
      </c>
      <c r="D14" s="880">
        <v>67</v>
      </c>
      <c r="E14" s="881">
        <v>0</v>
      </c>
      <c r="F14" s="898">
        <f t="shared" si="1"/>
        <v>0</v>
      </c>
      <c r="G14" s="880">
        <v>0</v>
      </c>
      <c r="H14" s="880">
        <v>0</v>
      </c>
      <c r="I14" s="1156">
        <v>0</v>
      </c>
      <c r="J14" s="899">
        <f t="shared" si="2"/>
        <v>77</v>
      </c>
      <c r="K14" s="880">
        <v>9</v>
      </c>
      <c r="L14" s="880">
        <v>68</v>
      </c>
      <c r="M14" s="1156">
        <v>0</v>
      </c>
      <c r="N14" s="899">
        <f t="shared" si="3"/>
        <v>13</v>
      </c>
      <c r="O14" s="880">
        <v>3</v>
      </c>
      <c r="P14" s="880">
        <v>10</v>
      </c>
      <c r="Q14" s="1156">
        <v>0</v>
      </c>
    </row>
    <row r="15" spans="1:17" ht="24.9" customHeight="1">
      <c r="A15" s="787" t="s">
        <v>585</v>
      </c>
      <c r="B15" s="898">
        <f t="shared" si="0"/>
        <v>108</v>
      </c>
      <c r="C15" s="880">
        <v>9</v>
      </c>
      <c r="D15" s="880">
        <v>99</v>
      </c>
      <c r="E15" s="881">
        <v>0</v>
      </c>
      <c r="F15" s="898">
        <f t="shared" si="1"/>
        <v>0</v>
      </c>
      <c r="G15" s="880">
        <v>0</v>
      </c>
      <c r="H15" s="880">
        <v>0</v>
      </c>
      <c r="I15" s="1156">
        <v>0</v>
      </c>
      <c r="J15" s="899">
        <f t="shared" si="2"/>
        <v>109</v>
      </c>
      <c r="K15" s="880">
        <v>9</v>
      </c>
      <c r="L15" s="880">
        <v>100</v>
      </c>
      <c r="M15" s="1156">
        <v>0</v>
      </c>
      <c r="N15" s="899">
        <f t="shared" si="3"/>
        <v>12</v>
      </c>
      <c r="O15" s="880">
        <v>1</v>
      </c>
      <c r="P15" s="880">
        <v>11</v>
      </c>
      <c r="Q15" s="1156">
        <v>0</v>
      </c>
    </row>
    <row r="16" spans="1:17" ht="24.9" customHeight="1">
      <c r="A16" s="787" t="s">
        <v>586</v>
      </c>
      <c r="B16" s="898">
        <f t="shared" si="0"/>
        <v>104</v>
      </c>
      <c r="C16" s="880">
        <v>3</v>
      </c>
      <c r="D16" s="880">
        <v>100</v>
      </c>
      <c r="E16" s="881">
        <v>1</v>
      </c>
      <c r="F16" s="898">
        <f t="shared" si="1"/>
        <v>0</v>
      </c>
      <c r="G16" s="880">
        <v>0</v>
      </c>
      <c r="H16" s="880">
        <v>0</v>
      </c>
      <c r="I16" s="1156">
        <v>0</v>
      </c>
      <c r="J16" s="899">
        <f t="shared" si="2"/>
        <v>108</v>
      </c>
      <c r="K16" s="880">
        <v>3</v>
      </c>
      <c r="L16" s="880">
        <v>104</v>
      </c>
      <c r="M16" s="1156">
        <v>1</v>
      </c>
      <c r="N16" s="899">
        <f t="shared" si="3"/>
        <v>13</v>
      </c>
      <c r="O16" s="880">
        <v>0</v>
      </c>
      <c r="P16" s="880">
        <v>13</v>
      </c>
      <c r="Q16" s="1156">
        <v>0</v>
      </c>
    </row>
    <row r="17" spans="1:17" ht="24.9" customHeight="1">
      <c r="A17" s="787" t="s">
        <v>749</v>
      </c>
      <c r="B17" s="898">
        <f t="shared" si="0"/>
        <v>91</v>
      </c>
      <c r="C17" s="880">
        <v>6</v>
      </c>
      <c r="D17" s="880">
        <v>85</v>
      </c>
      <c r="E17" s="881">
        <v>0</v>
      </c>
      <c r="F17" s="898">
        <f t="shared" si="1"/>
        <v>0</v>
      </c>
      <c r="G17" s="880">
        <v>0</v>
      </c>
      <c r="H17" s="880">
        <v>0</v>
      </c>
      <c r="I17" s="1156">
        <v>0</v>
      </c>
      <c r="J17" s="899">
        <f t="shared" si="2"/>
        <v>93</v>
      </c>
      <c r="K17" s="880">
        <v>6</v>
      </c>
      <c r="L17" s="880">
        <v>87</v>
      </c>
      <c r="M17" s="1156">
        <v>0</v>
      </c>
      <c r="N17" s="899">
        <f t="shared" si="3"/>
        <v>9</v>
      </c>
      <c r="O17" s="880">
        <v>0</v>
      </c>
      <c r="P17" s="880">
        <v>9</v>
      </c>
      <c r="Q17" s="1156">
        <v>0</v>
      </c>
    </row>
    <row r="18" spans="1:17" ht="24.9" customHeight="1">
      <c r="A18" s="787" t="s">
        <v>588</v>
      </c>
      <c r="B18" s="898">
        <f t="shared" si="0"/>
        <v>198</v>
      </c>
      <c r="C18" s="880">
        <v>11</v>
      </c>
      <c r="D18" s="880">
        <v>187</v>
      </c>
      <c r="E18" s="881">
        <v>0</v>
      </c>
      <c r="F18" s="898">
        <f t="shared" si="1"/>
        <v>1</v>
      </c>
      <c r="G18" s="880">
        <v>0</v>
      </c>
      <c r="H18" s="880">
        <v>1</v>
      </c>
      <c r="I18" s="1156">
        <v>0</v>
      </c>
      <c r="J18" s="899">
        <f t="shared" si="2"/>
        <v>200</v>
      </c>
      <c r="K18" s="880">
        <v>11</v>
      </c>
      <c r="L18" s="880">
        <v>189</v>
      </c>
      <c r="M18" s="1156">
        <v>0</v>
      </c>
      <c r="N18" s="899">
        <f t="shared" si="3"/>
        <v>35</v>
      </c>
      <c r="O18" s="880">
        <v>1</v>
      </c>
      <c r="P18" s="880">
        <v>34</v>
      </c>
      <c r="Q18" s="1156">
        <v>0</v>
      </c>
    </row>
    <row r="19" spans="1:17" ht="24.9" customHeight="1">
      <c r="A19" s="787" t="s">
        <v>750</v>
      </c>
      <c r="B19" s="898">
        <f t="shared" si="0"/>
        <v>228</v>
      </c>
      <c r="C19" s="880">
        <v>15</v>
      </c>
      <c r="D19" s="880">
        <v>213</v>
      </c>
      <c r="E19" s="881">
        <v>0</v>
      </c>
      <c r="F19" s="898">
        <f t="shared" si="1"/>
        <v>0</v>
      </c>
      <c r="G19" s="880">
        <v>0</v>
      </c>
      <c r="H19" s="880">
        <v>0</v>
      </c>
      <c r="I19" s="1156">
        <v>0</v>
      </c>
      <c r="J19" s="899">
        <f t="shared" si="2"/>
        <v>249</v>
      </c>
      <c r="K19" s="880">
        <v>15</v>
      </c>
      <c r="L19" s="880">
        <v>234</v>
      </c>
      <c r="M19" s="1156">
        <v>0</v>
      </c>
      <c r="N19" s="899">
        <f t="shared" si="3"/>
        <v>39</v>
      </c>
      <c r="O19" s="880">
        <v>3</v>
      </c>
      <c r="P19" s="880">
        <v>36</v>
      </c>
      <c r="Q19" s="1156">
        <v>0</v>
      </c>
    </row>
    <row r="20" spans="1:17" ht="24.9" customHeight="1">
      <c r="A20" s="787" t="s">
        <v>590</v>
      </c>
      <c r="B20" s="898">
        <f t="shared" si="0"/>
        <v>104</v>
      </c>
      <c r="C20" s="880">
        <v>7</v>
      </c>
      <c r="D20" s="880">
        <v>97</v>
      </c>
      <c r="E20" s="881">
        <v>0</v>
      </c>
      <c r="F20" s="898">
        <f t="shared" si="1"/>
        <v>1</v>
      </c>
      <c r="G20" s="880">
        <v>0</v>
      </c>
      <c r="H20" s="880">
        <v>1</v>
      </c>
      <c r="I20" s="1156">
        <v>0</v>
      </c>
      <c r="J20" s="899">
        <f t="shared" si="2"/>
        <v>106</v>
      </c>
      <c r="K20" s="880">
        <v>8</v>
      </c>
      <c r="L20" s="880">
        <v>98</v>
      </c>
      <c r="M20" s="1156">
        <v>0</v>
      </c>
      <c r="N20" s="899">
        <f t="shared" si="3"/>
        <v>14</v>
      </c>
      <c r="O20" s="880">
        <v>2</v>
      </c>
      <c r="P20" s="880">
        <v>12</v>
      </c>
      <c r="Q20" s="1156">
        <v>0</v>
      </c>
    </row>
    <row r="21" spans="1:17" ht="24.9" customHeight="1">
      <c r="A21" s="787" t="s">
        <v>591</v>
      </c>
      <c r="B21" s="898">
        <f t="shared" si="0"/>
        <v>133</v>
      </c>
      <c r="C21" s="880">
        <v>6</v>
      </c>
      <c r="D21" s="880">
        <v>127</v>
      </c>
      <c r="E21" s="881">
        <v>0</v>
      </c>
      <c r="F21" s="898">
        <f t="shared" si="1"/>
        <v>1</v>
      </c>
      <c r="G21" s="880">
        <v>0</v>
      </c>
      <c r="H21" s="880">
        <v>1</v>
      </c>
      <c r="I21" s="1156">
        <v>0</v>
      </c>
      <c r="J21" s="899">
        <f t="shared" si="2"/>
        <v>135</v>
      </c>
      <c r="K21" s="880">
        <v>6</v>
      </c>
      <c r="L21" s="880">
        <v>129</v>
      </c>
      <c r="M21" s="1156">
        <v>0</v>
      </c>
      <c r="N21" s="899">
        <f t="shared" si="3"/>
        <v>26</v>
      </c>
      <c r="O21" s="880">
        <v>1</v>
      </c>
      <c r="P21" s="880">
        <v>25</v>
      </c>
      <c r="Q21" s="1156">
        <v>0</v>
      </c>
    </row>
    <row r="22" spans="1:17" ht="24.9" customHeight="1">
      <c r="A22" s="787" t="s">
        <v>592</v>
      </c>
      <c r="B22" s="898">
        <f t="shared" si="0"/>
        <v>88</v>
      </c>
      <c r="C22" s="880">
        <v>3</v>
      </c>
      <c r="D22" s="880">
        <v>85</v>
      </c>
      <c r="E22" s="881">
        <v>0</v>
      </c>
      <c r="F22" s="898">
        <f t="shared" si="1"/>
        <v>0</v>
      </c>
      <c r="G22" s="880">
        <v>0</v>
      </c>
      <c r="H22" s="880">
        <v>0</v>
      </c>
      <c r="I22" s="1156">
        <v>0</v>
      </c>
      <c r="J22" s="899">
        <f t="shared" si="2"/>
        <v>89</v>
      </c>
      <c r="K22" s="880">
        <v>3</v>
      </c>
      <c r="L22" s="880">
        <v>86</v>
      </c>
      <c r="M22" s="1156">
        <v>0</v>
      </c>
      <c r="N22" s="899">
        <f t="shared" si="3"/>
        <v>4</v>
      </c>
      <c r="O22" s="880">
        <v>0</v>
      </c>
      <c r="P22" s="880">
        <v>4</v>
      </c>
      <c r="Q22" s="1156">
        <v>0</v>
      </c>
    </row>
    <row r="23" spans="1:17" ht="24.9" customHeight="1">
      <c r="A23" s="787" t="s">
        <v>593</v>
      </c>
      <c r="B23" s="898">
        <f t="shared" si="0"/>
        <v>163</v>
      </c>
      <c r="C23" s="880">
        <v>10</v>
      </c>
      <c r="D23" s="880">
        <v>153</v>
      </c>
      <c r="E23" s="881">
        <v>0</v>
      </c>
      <c r="F23" s="898">
        <f t="shared" si="1"/>
        <v>0</v>
      </c>
      <c r="G23" s="880">
        <v>0</v>
      </c>
      <c r="H23" s="880">
        <v>0</v>
      </c>
      <c r="I23" s="1156">
        <v>0</v>
      </c>
      <c r="J23" s="899">
        <f t="shared" si="2"/>
        <v>167</v>
      </c>
      <c r="K23" s="880">
        <v>11</v>
      </c>
      <c r="L23" s="880">
        <v>156</v>
      </c>
      <c r="M23" s="1156">
        <v>0</v>
      </c>
      <c r="N23" s="899">
        <f t="shared" si="3"/>
        <v>24</v>
      </c>
      <c r="O23" s="880">
        <v>1</v>
      </c>
      <c r="P23" s="880">
        <v>23</v>
      </c>
      <c r="Q23" s="1156">
        <v>0</v>
      </c>
    </row>
    <row r="24" spans="1:17" ht="24.9" customHeight="1">
      <c r="A24" s="787" t="s">
        <v>594</v>
      </c>
      <c r="B24" s="898">
        <f t="shared" si="0"/>
        <v>130</v>
      </c>
      <c r="C24" s="880">
        <v>6</v>
      </c>
      <c r="D24" s="880">
        <v>124</v>
      </c>
      <c r="E24" s="881">
        <v>0</v>
      </c>
      <c r="F24" s="898">
        <f t="shared" si="1"/>
        <v>0</v>
      </c>
      <c r="G24" s="880">
        <v>0</v>
      </c>
      <c r="H24" s="880">
        <v>0</v>
      </c>
      <c r="I24" s="1156">
        <v>0</v>
      </c>
      <c r="J24" s="899">
        <f t="shared" si="2"/>
        <v>133</v>
      </c>
      <c r="K24" s="880">
        <v>6</v>
      </c>
      <c r="L24" s="880">
        <v>127</v>
      </c>
      <c r="M24" s="1156">
        <v>0</v>
      </c>
      <c r="N24" s="899">
        <f t="shared" si="3"/>
        <v>13</v>
      </c>
      <c r="O24" s="880">
        <v>0</v>
      </c>
      <c r="P24" s="880">
        <v>13</v>
      </c>
      <c r="Q24" s="1156">
        <v>0</v>
      </c>
    </row>
    <row r="25" spans="1:17" ht="24.9" customHeight="1">
      <c r="A25" s="787" t="s">
        <v>595</v>
      </c>
      <c r="B25" s="898">
        <f t="shared" si="0"/>
        <v>198</v>
      </c>
      <c r="C25" s="880">
        <v>17</v>
      </c>
      <c r="D25" s="880">
        <v>181</v>
      </c>
      <c r="E25" s="881">
        <v>0</v>
      </c>
      <c r="F25" s="898">
        <f t="shared" si="1"/>
        <v>0</v>
      </c>
      <c r="G25" s="880">
        <v>0</v>
      </c>
      <c r="H25" s="880">
        <v>0</v>
      </c>
      <c r="I25" s="1156">
        <v>0</v>
      </c>
      <c r="J25" s="899">
        <f t="shared" si="2"/>
        <v>205</v>
      </c>
      <c r="K25" s="880">
        <v>17</v>
      </c>
      <c r="L25" s="880">
        <v>188</v>
      </c>
      <c r="M25" s="1156">
        <v>0</v>
      </c>
      <c r="N25" s="899">
        <f t="shared" si="3"/>
        <v>27</v>
      </c>
      <c r="O25" s="880">
        <v>0</v>
      </c>
      <c r="P25" s="880">
        <v>27</v>
      </c>
      <c r="Q25" s="1156">
        <v>0</v>
      </c>
    </row>
    <row r="26" spans="1:17" ht="24.9" customHeight="1">
      <c r="A26" s="787" t="s">
        <v>596</v>
      </c>
      <c r="B26" s="898">
        <f t="shared" si="0"/>
        <v>84</v>
      </c>
      <c r="C26" s="880">
        <v>1</v>
      </c>
      <c r="D26" s="880">
        <v>83</v>
      </c>
      <c r="E26" s="881">
        <v>0</v>
      </c>
      <c r="F26" s="898">
        <f t="shared" si="1"/>
        <v>1</v>
      </c>
      <c r="G26" s="880">
        <v>0</v>
      </c>
      <c r="H26" s="880">
        <v>1</v>
      </c>
      <c r="I26" s="1156">
        <v>0</v>
      </c>
      <c r="J26" s="899">
        <f t="shared" si="2"/>
        <v>86</v>
      </c>
      <c r="K26" s="880">
        <v>1</v>
      </c>
      <c r="L26" s="880">
        <v>85</v>
      </c>
      <c r="M26" s="1156">
        <v>0</v>
      </c>
      <c r="N26" s="899">
        <f t="shared" si="3"/>
        <v>12</v>
      </c>
      <c r="O26" s="880">
        <v>0</v>
      </c>
      <c r="P26" s="880">
        <v>12</v>
      </c>
      <c r="Q26" s="1156">
        <v>0</v>
      </c>
    </row>
    <row r="27" spans="1:17" ht="24.9" customHeight="1">
      <c r="A27" s="787" t="s">
        <v>597</v>
      </c>
      <c r="B27" s="898">
        <f t="shared" si="0"/>
        <v>192</v>
      </c>
      <c r="C27" s="880">
        <v>9</v>
      </c>
      <c r="D27" s="880">
        <v>183</v>
      </c>
      <c r="E27" s="881">
        <v>0</v>
      </c>
      <c r="F27" s="898">
        <f t="shared" si="1"/>
        <v>0</v>
      </c>
      <c r="G27" s="880">
        <v>0</v>
      </c>
      <c r="H27" s="880">
        <v>0</v>
      </c>
      <c r="I27" s="1156">
        <v>0</v>
      </c>
      <c r="J27" s="899">
        <f t="shared" si="2"/>
        <v>202</v>
      </c>
      <c r="K27" s="880">
        <v>9</v>
      </c>
      <c r="L27" s="880">
        <v>193</v>
      </c>
      <c r="M27" s="1156">
        <v>0</v>
      </c>
      <c r="N27" s="899">
        <f t="shared" si="3"/>
        <v>33</v>
      </c>
      <c r="O27" s="880">
        <v>0</v>
      </c>
      <c r="P27" s="880">
        <v>33</v>
      </c>
      <c r="Q27" s="1156">
        <v>0</v>
      </c>
    </row>
    <row r="28" spans="1:17" ht="24.9" customHeight="1">
      <c r="A28" s="787" t="s">
        <v>751</v>
      </c>
      <c r="B28" s="898">
        <f t="shared" si="0"/>
        <v>129</v>
      </c>
      <c r="C28" s="880">
        <v>4</v>
      </c>
      <c r="D28" s="880">
        <v>125</v>
      </c>
      <c r="E28" s="881">
        <v>0</v>
      </c>
      <c r="F28" s="898">
        <f t="shared" si="1"/>
        <v>0</v>
      </c>
      <c r="G28" s="880">
        <v>0</v>
      </c>
      <c r="H28" s="880">
        <v>0</v>
      </c>
      <c r="I28" s="1156">
        <v>0</v>
      </c>
      <c r="J28" s="899">
        <f t="shared" si="2"/>
        <v>139</v>
      </c>
      <c r="K28" s="880">
        <v>4</v>
      </c>
      <c r="L28" s="880">
        <v>135</v>
      </c>
      <c r="M28" s="1156">
        <v>0</v>
      </c>
      <c r="N28" s="899">
        <f t="shared" si="3"/>
        <v>22</v>
      </c>
      <c r="O28" s="880">
        <v>2</v>
      </c>
      <c r="P28" s="880">
        <v>20</v>
      </c>
      <c r="Q28" s="1156">
        <v>0</v>
      </c>
    </row>
    <row r="29" spans="1:17" ht="24.9" customHeight="1">
      <c r="A29" s="787" t="s">
        <v>599</v>
      </c>
      <c r="B29" s="898">
        <f t="shared" si="0"/>
        <v>169</v>
      </c>
      <c r="C29" s="880">
        <v>3</v>
      </c>
      <c r="D29" s="880">
        <v>166</v>
      </c>
      <c r="E29" s="881">
        <v>0</v>
      </c>
      <c r="F29" s="898">
        <f t="shared" si="1"/>
        <v>2</v>
      </c>
      <c r="G29" s="880">
        <v>0</v>
      </c>
      <c r="H29" s="880">
        <v>2</v>
      </c>
      <c r="I29" s="1156">
        <v>0</v>
      </c>
      <c r="J29" s="899">
        <f t="shared" si="2"/>
        <v>171</v>
      </c>
      <c r="K29" s="880">
        <v>3</v>
      </c>
      <c r="L29" s="880">
        <v>168</v>
      </c>
      <c r="M29" s="1156">
        <v>0</v>
      </c>
      <c r="N29" s="899">
        <f t="shared" si="3"/>
        <v>31</v>
      </c>
      <c r="O29" s="880">
        <v>1</v>
      </c>
      <c r="P29" s="880">
        <v>30</v>
      </c>
      <c r="Q29" s="1156">
        <v>0</v>
      </c>
    </row>
    <row r="30" spans="1:17" ht="24.9" customHeight="1" thickBot="1">
      <c r="A30" s="503" t="s">
        <v>600</v>
      </c>
      <c r="B30" s="910">
        <f t="shared" si="0"/>
        <v>130</v>
      </c>
      <c r="C30" s="1152">
        <v>4</v>
      </c>
      <c r="D30" s="1152">
        <v>126</v>
      </c>
      <c r="E30" s="1162">
        <v>0</v>
      </c>
      <c r="F30" s="910">
        <f t="shared" si="1"/>
        <v>0</v>
      </c>
      <c r="G30" s="1152">
        <v>0</v>
      </c>
      <c r="H30" s="1152">
        <v>0</v>
      </c>
      <c r="I30" s="1163">
        <v>0</v>
      </c>
      <c r="J30" s="941">
        <f t="shared" si="2"/>
        <v>133</v>
      </c>
      <c r="K30" s="1152">
        <v>4</v>
      </c>
      <c r="L30" s="1152">
        <v>129</v>
      </c>
      <c r="M30" s="1163">
        <v>0</v>
      </c>
      <c r="N30" s="941">
        <f t="shared" si="3"/>
        <v>11</v>
      </c>
      <c r="O30" s="1152">
        <v>0</v>
      </c>
      <c r="P30" s="1152">
        <v>11</v>
      </c>
      <c r="Q30" s="1163">
        <v>0</v>
      </c>
    </row>
    <row r="31" spans="1:17" ht="24.9" customHeight="1" thickBot="1">
      <c r="A31" s="788" t="s">
        <v>849</v>
      </c>
      <c r="B31" s="184">
        <f t="shared" ref="B31:Q31" si="4">SUM(B7:B30)</f>
        <v>3232</v>
      </c>
      <c r="C31" s="57">
        <f t="shared" si="4"/>
        <v>205</v>
      </c>
      <c r="D31" s="57">
        <f t="shared" si="4"/>
        <v>3026</v>
      </c>
      <c r="E31" s="324">
        <f t="shared" si="4"/>
        <v>1</v>
      </c>
      <c r="F31" s="184">
        <f t="shared" si="4"/>
        <v>11</v>
      </c>
      <c r="G31" s="57">
        <f t="shared" si="4"/>
        <v>0</v>
      </c>
      <c r="H31" s="57">
        <f t="shared" si="4"/>
        <v>11</v>
      </c>
      <c r="I31" s="166">
        <f t="shared" si="4"/>
        <v>0</v>
      </c>
      <c r="J31" s="58">
        <f t="shared" si="4"/>
        <v>3328</v>
      </c>
      <c r="K31" s="57">
        <f t="shared" si="4"/>
        <v>211</v>
      </c>
      <c r="L31" s="57">
        <f t="shared" si="4"/>
        <v>3116</v>
      </c>
      <c r="M31" s="166">
        <f t="shared" si="4"/>
        <v>1</v>
      </c>
      <c r="N31" s="58">
        <f t="shared" si="4"/>
        <v>455</v>
      </c>
      <c r="O31" s="57">
        <f t="shared" si="4"/>
        <v>26</v>
      </c>
      <c r="P31" s="57">
        <f t="shared" si="4"/>
        <v>429</v>
      </c>
      <c r="Q31" s="166">
        <f t="shared" si="4"/>
        <v>0</v>
      </c>
    </row>
    <row r="32" spans="1:17" ht="7.2" customHeight="1">
      <c r="A32" s="1936"/>
      <c r="B32" s="25"/>
      <c r="C32" s="25"/>
      <c r="D32" s="25"/>
      <c r="E32" s="25"/>
      <c r="F32" s="25"/>
      <c r="G32" s="25"/>
      <c r="H32" s="25"/>
      <c r="I32" s="25"/>
      <c r="J32" s="25"/>
      <c r="K32" s="25"/>
      <c r="L32" s="25"/>
      <c r="M32" s="25"/>
      <c r="N32" s="25"/>
      <c r="O32" s="25"/>
      <c r="P32" s="25"/>
      <c r="Q32" s="25"/>
    </row>
    <row r="33" spans="1:12" s="1889" customFormat="1" ht="19.8" customHeight="1">
      <c r="A33" s="1889" t="s">
        <v>947</v>
      </c>
    </row>
    <row r="34" spans="1:12" s="1889" customFormat="1" ht="19.8" customHeight="1">
      <c r="A34" s="1935" t="s">
        <v>948</v>
      </c>
      <c r="B34" s="1935"/>
      <c r="C34" s="1935"/>
      <c r="D34" s="1935"/>
      <c r="E34" s="1935"/>
      <c r="F34" s="1935"/>
      <c r="G34" s="1935"/>
      <c r="H34" s="1935"/>
      <c r="I34" s="1935"/>
      <c r="J34" s="1935"/>
      <c r="K34" s="1935"/>
      <c r="L34" s="1901"/>
    </row>
  </sheetData>
  <mergeCells count="9">
    <mergeCell ref="N3:P3"/>
    <mergeCell ref="N4:P4"/>
    <mergeCell ref="A34:K34"/>
    <mergeCell ref="B3:D4"/>
    <mergeCell ref="E3:E4"/>
    <mergeCell ref="F3:H4"/>
    <mergeCell ref="I3:I4"/>
    <mergeCell ref="J3:L4"/>
    <mergeCell ref="M3:M4"/>
  </mergeCells>
  <phoneticPr fontId="4"/>
  <printOptions horizontalCentered="1"/>
  <pageMargins left="0.78740157480314965" right="0.39370078740157483" top="0.98425196850393704" bottom="0.98425196850393704" header="0.31496062992125984" footer="0.51181102362204722"/>
  <pageSetup paperSize="9" scale="65" orientation="portrait" r:id="rId1"/>
  <headerFooter scaleWithDoc="0" alignWithMargins="0">
    <oddFooter>&amp;C- &amp;P -</oddFooter>
  </headerFooter>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28442F-7084-4F29-97C3-6188D76A36AC}">
  <sheetPr>
    <pageSetUpPr fitToPage="1"/>
  </sheetPr>
  <dimension ref="A1:R35"/>
  <sheetViews>
    <sheetView view="pageBreakPreview" topLeftCell="A31" zoomScale="80" zoomScaleNormal="100" zoomScaleSheetLayoutView="80" workbookViewId="0">
      <selection activeCell="L76" sqref="L76"/>
    </sheetView>
  </sheetViews>
  <sheetFormatPr defaultColWidth="9" defaultRowHeight="13.8"/>
  <cols>
    <col min="1" max="1" width="3" style="497" customWidth="1"/>
    <col min="2" max="2" width="3.88671875" style="497" customWidth="1"/>
    <col min="3" max="3" width="7.109375" style="497" customWidth="1"/>
    <col min="4" max="6" width="7.6640625" style="497" customWidth="1"/>
    <col min="7" max="7" width="7.109375" style="497" customWidth="1"/>
    <col min="8" max="10" width="7.6640625" style="497" customWidth="1"/>
    <col min="11" max="11" width="7.109375" style="497" customWidth="1"/>
    <col min="12" max="14" width="7.6640625" style="497" customWidth="1"/>
    <col min="15" max="15" width="7.109375" style="497" customWidth="1"/>
    <col min="16" max="18" width="7.6640625" style="497" customWidth="1"/>
    <col min="19" max="16384" width="9" style="497"/>
  </cols>
  <sheetData>
    <row r="1" spans="1:18" s="650" customFormat="1" ht="15">
      <c r="A1" s="650" t="s">
        <v>467</v>
      </c>
    </row>
    <row r="2" spans="1:18" s="650" customFormat="1" ht="15.6" thickBot="1">
      <c r="A2" s="650" t="s">
        <v>468</v>
      </c>
    </row>
    <row r="3" spans="1:18" ht="7.5" customHeight="1" thickBot="1">
      <c r="A3" s="513"/>
      <c r="B3" s="1799" t="s">
        <v>491</v>
      </c>
      <c r="C3" s="1291" t="s">
        <v>603</v>
      </c>
      <c r="D3" s="1314"/>
      <c r="E3" s="1314"/>
      <c r="F3" s="1761" t="s">
        <v>641</v>
      </c>
      <c r="G3" s="1291" t="s">
        <v>836</v>
      </c>
      <c r="H3" s="1314"/>
      <c r="I3" s="1314"/>
      <c r="J3" s="1761" t="s">
        <v>644</v>
      </c>
      <c r="K3" s="1291" t="s">
        <v>605</v>
      </c>
      <c r="L3" s="1314"/>
      <c r="M3" s="1314"/>
      <c r="N3" s="1764" t="s">
        <v>644</v>
      </c>
      <c r="O3" s="1512"/>
      <c r="P3" s="1262"/>
      <c r="Q3" s="1262"/>
      <c r="R3" s="515"/>
    </row>
    <row r="4" spans="1:18">
      <c r="A4" s="516"/>
      <c r="B4" s="1518"/>
      <c r="C4" s="1434"/>
      <c r="D4" s="1487"/>
      <c r="E4" s="1487"/>
      <c r="F4" s="1762"/>
      <c r="G4" s="1434"/>
      <c r="H4" s="1487"/>
      <c r="I4" s="1487"/>
      <c r="J4" s="1762"/>
      <c r="K4" s="1434"/>
      <c r="L4" s="1487"/>
      <c r="M4" s="1487"/>
      <c r="N4" s="1762"/>
      <c r="O4" s="1474" t="s">
        <v>837</v>
      </c>
      <c r="P4" s="1760"/>
      <c r="Q4" s="1760"/>
      <c r="R4" s="518" t="s">
        <v>644</v>
      </c>
    </row>
    <row r="5" spans="1:18">
      <c r="A5" s="516"/>
      <c r="B5" s="500"/>
      <c r="C5" s="503" t="s">
        <v>752</v>
      </c>
      <c r="D5" s="505"/>
      <c r="E5" s="505"/>
      <c r="F5" s="505"/>
      <c r="G5" s="503" t="s">
        <v>752</v>
      </c>
      <c r="H5" s="505"/>
      <c r="I5" s="505"/>
      <c r="J5" s="505"/>
      <c r="K5" s="503" t="s">
        <v>752</v>
      </c>
      <c r="L5" s="505"/>
      <c r="M5" s="505"/>
      <c r="N5" s="506"/>
      <c r="O5" s="503" t="s">
        <v>752</v>
      </c>
      <c r="P5" s="505"/>
      <c r="Q5" s="505"/>
      <c r="R5" s="506"/>
    </row>
    <row r="6" spans="1:18" ht="14.4" thickBot="1">
      <c r="A6" s="942" t="s">
        <v>492</v>
      </c>
      <c r="B6" s="500"/>
      <c r="C6" s="519"/>
      <c r="D6" s="520" t="s">
        <v>465</v>
      </c>
      <c r="E6" s="521" t="s">
        <v>466</v>
      </c>
      <c r="F6" s="521" t="s">
        <v>325</v>
      </c>
      <c r="G6" s="519"/>
      <c r="H6" s="520" t="s">
        <v>465</v>
      </c>
      <c r="I6" s="521" t="s">
        <v>466</v>
      </c>
      <c r="J6" s="521" t="s">
        <v>325</v>
      </c>
      <c r="K6" s="519"/>
      <c r="L6" s="520" t="s">
        <v>465</v>
      </c>
      <c r="M6" s="521" t="s">
        <v>466</v>
      </c>
      <c r="N6" s="523" t="s">
        <v>325</v>
      </c>
      <c r="O6" s="519"/>
      <c r="P6" s="520" t="s">
        <v>465</v>
      </c>
      <c r="Q6" s="521" t="s">
        <v>466</v>
      </c>
      <c r="R6" s="523" t="s">
        <v>325</v>
      </c>
    </row>
    <row r="7" spans="1:18" ht="24.9" customHeight="1">
      <c r="A7" s="524"/>
      <c r="B7" s="525">
        <v>0</v>
      </c>
      <c r="C7" s="874">
        <f t="shared" ref="C7:C30" si="0">SUM(D7:F7)</f>
        <v>49</v>
      </c>
      <c r="D7" s="1159">
        <v>5</v>
      </c>
      <c r="E7" s="1160">
        <v>44</v>
      </c>
      <c r="F7" s="1160">
        <v>0</v>
      </c>
      <c r="G7" s="874">
        <f t="shared" ref="G7:G30" si="1">SUM(H7:J7)</f>
        <v>1</v>
      </c>
      <c r="H7" s="1159">
        <v>0</v>
      </c>
      <c r="I7" s="1160">
        <v>1</v>
      </c>
      <c r="J7" s="1161">
        <v>0</v>
      </c>
      <c r="K7" s="879">
        <f t="shared" ref="K7:K30" si="2">SUM(L7:N7)</f>
        <v>49</v>
      </c>
      <c r="L7" s="1159">
        <v>5</v>
      </c>
      <c r="M7" s="1160">
        <v>44</v>
      </c>
      <c r="N7" s="1161">
        <v>0</v>
      </c>
      <c r="O7" s="879">
        <f t="shared" ref="O7:O30" si="3">SUM(P7:R7)</f>
        <v>7</v>
      </c>
      <c r="P7" s="1159">
        <v>0</v>
      </c>
      <c r="Q7" s="1160">
        <v>7</v>
      </c>
      <c r="R7" s="1161">
        <v>0</v>
      </c>
    </row>
    <row r="8" spans="1:18" ht="24.9" customHeight="1">
      <c r="A8" s="524" t="s">
        <v>631</v>
      </c>
      <c r="B8" s="527">
        <v>1</v>
      </c>
      <c r="C8" s="874">
        <f t="shared" si="0"/>
        <v>22</v>
      </c>
      <c r="D8" s="880">
        <v>1</v>
      </c>
      <c r="E8" s="881">
        <v>21</v>
      </c>
      <c r="F8" s="881">
        <v>0</v>
      </c>
      <c r="G8" s="874">
        <f t="shared" si="1"/>
        <v>1</v>
      </c>
      <c r="H8" s="880">
        <v>0</v>
      </c>
      <c r="I8" s="881">
        <v>1</v>
      </c>
      <c r="J8" s="1156">
        <v>0</v>
      </c>
      <c r="K8" s="879">
        <f t="shared" si="2"/>
        <v>21</v>
      </c>
      <c r="L8" s="880">
        <v>1</v>
      </c>
      <c r="M8" s="881">
        <v>20</v>
      </c>
      <c r="N8" s="1156">
        <v>0</v>
      </c>
      <c r="O8" s="879">
        <f t="shared" si="3"/>
        <v>3</v>
      </c>
      <c r="P8" s="880">
        <v>0</v>
      </c>
      <c r="Q8" s="881">
        <v>3</v>
      </c>
      <c r="R8" s="1156">
        <v>0</v>
      </c>
    </row>
    <row r="9" spans="1:18" ht="24.9" customHeight="1">
      <c r="A9" s="524"/>
      <c r="B9" s="527">
        <v>2</v>
      </c>
      <c r="C9" s="874">
        <f t="shared" si="0"/>
        <v>14</v>
      </c>
      <c r="D9" s="880">
        <v>2</v>
      </c>
      <c r="E9" s="881">
        <v>12</v>
      </c>
      <c r="F9" s="881">
        <v>0</v>
      </c>
      <c r="G9" s="874">
        <f t="shared" si="1"/>
        <v>1</v>
      </c>
      <c r="H9" s="880">
        <v>0</v>
      </c>
      <c r="I9" s="881">
        <v>1</v>
      </c>
      <c r="J9" s="1156">
        <v>0</v>
      </c>
      <c r="K9" s="879">
        <f t="shared" si="2"/>
        <v>13</v>
      </c>
      <c r="L9" s="880">
        <v>2</v>
      </c>
      <c r="M9" s="881">
        <v>11</v>
      </c>
      <c r="N9" s="1156">
        <v>0</v>
      </c>
      <c r="O9" s="879">
        <f t="shared" si="3"/>
        <v>2</v>
      </c>
      <c r="P9" s="880">
        <v>0</v>
      </c>
      <c r="Q9" s="881">
        <v>2</v>
      </c>
      <c r="R9" s="1156">
        <v>0</v>
      </c>
    </row>
    <row r="10" spans="1:18" ht="24.9" customHeight="1">
      <c r="A10" s="524" t="s">
        <v>632</v>
      </c>
      <c r="B10" s="527">
        <v>3</v>
      </c>
      <c r="C10" s="874">
        <f t="shared" si="0"/>
        <v>12</v>
      </c>
      <c r="D10" s="880">
        <v>1</v>
      </c>
      <c r="E10" s="881">
        <v>11</v>
      </c>
      <c r="F10" s="881">
        <v>0</v>
      </c>
      <c r="G10" s="874">
        <f t="shared" si="1"/>
        <v>0</v>
      </c>
      <c r="H10" s="880">
        <v>0</v>
      </c>
      <c r="I10" s="881">
        <v>0</v>
      </c>
      <c r="J10" s="1156">
        <v>0</v>
      </c>
      <c r="K10" s="879">
        <f t="shared" si="2"/>
        <v>12</v>
      </c>
      <c r="L10" s="880">
        <v>1</v>
      </c>
      <c r="M10" s="881">
        <v>11</v>
      </c>
      <c r="N10" s="1156">
        <v>0</v>
      </c>
      <c r="O10" s="879">
        <f t="shared" si="3"/>
        <v>2</v>
      </c>
      <c r="P10" s="880">
        <v>0</v>
      </c>
      <c r="Q10" s="881">
        <v>2</v>
      </c>
      <c r="R10" s="1156">
        <v>0</v>
      </c>
    </row>
    <row r="11" spans="1:18" ht="24.9" customHeight="1">
      <c r="A11" s="524"/>
      <c r="B11" s="527">
        <v>4</v>
      </c>
      <c r="C11" s="874">
        <f t="shared" si="0"/>
        <v>10</v>
      </c>
      <c r="D11" s="880">
        <v>0</v>
      </c>
      <c r="E11" s="881">
        <v>10</v>
      </c>
      <c r="F11" s="881">
        <v>0</v>
      </c>
      <c r="G11" s="874">
        <f t="shared" si="1"/>
        <v>0</v>
      </c>
      <c r="H11" s="880">
        <v>0</v>
      </c>
      <c r="I11" s="881">
        <v>0</v>
      </c>
      <c r="J11" s="1156">
        <v>0</v>
      </c>
      <c r="K11" s="879">
        <f t="shared" si="2"/>
        <v>10</v>
      </c>
      <c r="L11" s="880">
        <v>0</v>
      </c>
      <c r="M11" s="881">
        <v>10</v>
      </c>
      <c r="N11" s="1156">
        <v>0</v>
      </c>
      <c r="O11" s="879">
        <f t="shared" si="3"/>
        <v>6</v>
      </c>
      <c r="P11" s="880">
        <v>0</v>
      </c>
      <c r="Q11" s="881">
        <v>6</v>
      </c>
      <c r="R11" s="1156">
        <v>0</v>
      </c>
    </row>
    <row r="12" spans="1:18" ht="24.9" customHeight="1">
      <c r="A12" s="551"/>
      <c r="B12" s="527">
        <v>5</v>
      </c>
      <c r="C12" s="874">
        <f t="shared" si="0"/>
        <v>27</v>
      </c>
      <c r="D12" s="880">
        <v>1</v>
      </c>
      <c r="E12" s="881">
        <v>26</v>
      </c>
      <c r="F12" s="881">
        <v>0</v>
      </c>
      <c r="G12" s="874">
        <f t="shared" si="1"/>
        <v>0</v>
      </c>
      <c r="H12" s="880">
        <v>0</v>
      </c>
      <c r="I12" s="881">
        <v>0</v>
      </c>
      <c r="J12" s="1156">
        <v>0</v>
      </c>
      <c r="K12" s="879">
        <f t="shared" si="2"/>
        <v>28</v>
      </c>
      <c r="L12" s="880">
        <v>1</v>
      </c>
      <c r="M12" s="881">
        <v>27</v>
      </c>
      <c r="N12" s="1156">
        <v>0</v>
      </c>
      <c r="O12" s="879">
        <f t="shared" si="3"/>
        <v>7</v>
      </c>
      <c r="P12" s="880">
        <v>0</v>
      </c>
      <c r="Q12" s="881">
        <v>7</v>
      </c>
      <c r="R12" s="1156">
        <v>0</v>
      </c>
    </row>
    <row r="13" spans="1:18" ht="24.9" customHeight="1">
      <c r="A13" s="529"/>
      <c r="B13" s="530">
        <v>6</v>
      </c>
      <c r="C13" s="874">
        <f t="shared" si="0"/>
        <v>56</v>
      </c>
      <c r="D13" s="880">
        <v>4</v>
      </c>
      <c r="E13" s="881">
        <v>52</v>
      </c>
      <c r="F13" s="881">
        <v>0</v>
      </c>
      <c r="G13" s="874">
        <f t="shared" si="1"/>
        <v>0</v>
      </c>
      <c r="H13" s="880">
        <v>0</v>
      </c>
      <c r="I13" s="881">
        <v>0</v>
      </c>
      <c r="J13" s="1156">
        <v>0</v>
      </c>
      <c r="K13" s="879">
        <f t="shared" si="2"/>
        <v>58</v>
      </c>
      <c r="L13" s="880">
        <v>5</v>
      </c>
      <c r="M13" s="881">
        <v>53</v>
      </c>
      <c r="N13" s="1156">
        <v>0</v>
      </c>
      <c r="O13" s="879">
        <f t="shared" si="3"/>
        <v>14</v>
      </c>
      <c r="P13" s="880">
        <v>0</v>
      </c>
      <c r="Q13" s="881">
        <v>14</v>
      </c>
      <c r="R13" s="1156">
        <v>0</v>
      </c>
    </row>
    <row r="14" spans="1:18" ht="24.9" customHeight="1">
      <c r="A14" s="529"/>
      <c r="B14" s="530">
        <v>7</v>
      </c>
      <c r="C14" s="874">
        <f t="shared" si="0"/>
        <v>157</v>
      </c>
      <c r="D14" s="880">
        <v>11</v>
      </c>
      <c r="E14" s="881">
        <v>146</v>
      </c>
      <c r="F14" s="881">
        <v>0</v>
      </c>
      <c r="G14" s="874">
        <f t="shared" si="1"/>
        <v>0</v>
      </c>
      <c r="H14" s="880">
        <v>0</v>
      </c>
      <c r="I14" s="881">
        <v>0</v>
      </c>
      <c r="J14" s="1156">
        <v>0</v>
      </c>
      <c r="K14" s="879">
        <f t="shared" si="2"/>
        <v>163</v>
      </c>
      <c r="L14" s="880">
        <v>12</v>
      </c>
      <c r="M14" s="881">
        <v>151</v>
      </c>
      <c r="N14" s="1156">
        <v>0</v>
      </c>
      <c r="O14" s="879">
        <f t="shared" si="3"/>
        <v>23</v>
      </c>
      <c r="P14" s="880">
        <v>0</v>
      </c>
      <c r="Q14" s="881">
        <v>23</v>
      </c>
      <c r="R14" s="1156">
        <v>0</v>
      </c>
    </row>
    <row r="15" spans="1:18" ht="24.9" customHeight="1">
      <c r="A15" s="529"/>
      <c r="B15" s="530">
        <v>8</v>
      </c>
      <c r="C15" s="874">
        <f t="shared" si="0"/>
        <v>337</v>
      </c>
      <c r="D15" s="880">
        <v>26</v>
      </c>
      <c r="E15" s="881">
        <v>311</v>
      </c>
      <c r="F15" s="881">
        <v>0</v>
      </c>
      <c r="G15" s="874">
        <f t="shared" si="1"/>
        <v>2</v>
      </c>
      <c r="H15" s="880">
        <v>0</v>
      </c>
      <c r="I15" s="881">
        <v>2</v>
      </c>
      <c r="J15" s="1156">
        <v>0</v>
      </c>
      <c r="K15" s="879">
        <f t="shared" si="2"/>
        <v>350</v>
      </c>
      <c r="L15" s="880">
        <v>27</v>
      </c>
      <c r="M15" s="881">
        <v>323</v>
      </c>
      <c r="N15" s="1156">
        <v>0</v>
      </c>
      <c r="O15" s="879">
        <f t="shared" si="3"/>
        <v>43</v>
      </c>
      <c r="P15" s="880">
        <v>3</v>
      </c>
      <c r="Q15" s="881">
        <v>40</v>
      </c>
      <c r="R15" s="1156">
        <v>0</v>
      </c>
    </row>
    <row r="16" spans="1:18" ht="24.9" customHeight="1">
      <c r="A16" s="529"/>
      <c r="B16" s="530">
        <v>9</v>
      </c>
      <c r="C16" s="874">
        <f t="shared" si="0"/>
        <v>300</v>
      </c>
      <c r="D16" s="880">
        <v>11</v>
      </c>
      <c r="E16" s="881">
        <v>289</v>
      </c>
      <c r="F16" s="881">
        <v>0</v>
      </c>
      <c r="G16" s="874">
        <f t="shared" si="1"/>
        <v>2</v>
      </c>
      <c r="H16" s="880">
        <v>0</v>
      </c>
      <c r="I16" s="881">
        <v>2</v>
      </c>
      <c r="J16" s="1156">
        <v>0</v>
      </c>
      <c r="K16" s="879">
        <f t="shared" si="2"/>
        <v>312</v>
      </c>
      <c r="L16" s="880">
        <v>13</v>
      </c>
      <c r="M16" s="881">
        <v>299</v>
      </c>
      <c r="N16" s="1156">
        <v>0</v>
      </c>
      <c r="O16" s="879">
        <f t="shared" si="3"/>
        <v>49</v>
      </c>
      <c r="P16" s="880">
        <v>3</v>
      </c>
      <c r="Q16" s="881">
        <v>46</v>
      </c>
      <c r="R16" s="1156">
        <v>0</v>
      </c>
    </row>
    <row r="17" spans="1:18" ht="24.9" customHeight="1">
      <c r="A17" s="529"/>
      <c r="B17" s="530">
        <v>10</v>
      </c>
      <c r="C17" s="874">
        <f t="shared" si="0"/>
        <v>225</v>
      </c>
      <c r="D17" s="880">
        <v>14</v>
      </c>
      <c r="E17" s="881">
        <v>211</v>
      </c>
      <c r="F17" s="881">
        <v>0</v>
      </c>
      <c r="G17" s="874">
        <f t="shared" si="1"/>
        <v>0</v>
      </c>
      <c r="H17" s="880">
        <v>0</v>
      </c>
      <c r="I17" s="881">
        <v>0</v>
      </c>
      <c r="J17" s="1156">
        <v>0</v>
      </c>
      <c r="K17" s="879">
        <f t="shared" si="2"/>
        <v>231</v>
      </c>
      <c r="L17" s="880">
        <v>14</v>
      </c>
      <c r="M17" s="881">
        <v>217</v>
      </c>
      <c r="N17" s="1156">
        <v>0</v>
      </c>
      <c r="O17" s="879">
        <f t="shared" si="3"/>
        <v>34</v>
      </c>
      <c r="P17" s="880">
        <v>3</v>
      </c>
      <c r="Q17" s="881">
        <v>31</v>
      </c>
      <c r="R17" s="1156">
        <v>0</v>
      </c>
    </row>
    <row r="18" spans="1:18" ht="24.9" customHeight="1">
      <c r="A18" s="529"/>
      <c r="B18" s="530">
        <v>11</v>
      </c>
      <c r="C18" s="874">
        <f t="shared" si="0"/>
        <v>196</v>
      </c>
      <c r="D18" s="880">
        <v>13</v>
      </c>
      <c r="E18" s="881">
        <v>183</v>
      </c>
      <c r="F18" s="881">
        <v>0</v>
      </c>
      <c r="G18" s="874">
        <f t="shared" si="1"/>
        <v>1</v>
      </c>
      <c r="H18" s="880">
        <v>0</v>
      </c>
      <c r="I18" s="881">
        <v>1</v>
      </c>
      <c r="J18" s="1156">
        <v>0</v>
      </c>
      <c r="K18" s="879">
        <f t="shared" si="2"/>
        <v>198</v>
      </c>
      <c r="L18" s="880">
        <v>13</v>
      </c>
      <c r="M18" s="881">
        <v>185</v>
      </c>
      <c r="N18" s="1156">
        <v>0</v>
      </c>
      <c r="O18" s="879">
        <f t="shared" si="3"/>
        <v>22</v>
      </c>
      <c r="P18" s="880">
        <v>2</v>
      </c>
      <c r="Q18" s="881">
        <v>20</v>
      </c>
      <c r="R18" s="1156">
        <v>0</v>
      </c>
    </row>
    <row r="19" spans="1:18" ht="24.9" customHeight="1">
      <c r="A19" s="529"/>
      <c r="B19" s="530">
        <v>12</v>
      </c>
      <c r="C19" s="874">
        <f t="shared" si="0"/>
        <v>193</v>
      </c>
      <c r="D19" s="880">
        <v>11</v>
      </c>
      <c r="E19" s="881">
        <v>182</v>
      </c>
      <c r="F19" s="881">
        <v>0</v>
      </c>
      <c r="G19" s="874">
        <f t="shared" si="1"/>
        <v>1</v>
      </c>
      <c r="H19" s="880">
        <v>0</v>
      </c>
      <c r="I19" s="881">
        <v>1</v>
      </c>
      <c r="J19" s="1156">
        <v>0</v>
      </c>
      <c r="K19" s="879">
        <f t="shared" si="2"/>
        <v>201</v>
      </c>
      <c r="L19" s="880">
        <v>11</v>
      </c>
      <c r="M19" s="881">
        <v>190</v>
      </c>
      <c r="N19" s="1156">
        <v>0</v>
      </c>
      <c r="O19" s="879">
        <f t="shared" si="3"/>
        <v>40</v>
      </c>
      <c r="P19" s="880">
        <v>4</v>
      </c>
      <c r="Q19" s="881">
        <v>36</v>
      </c>
      <c r="R19" s="1156">
        <v>0</v>
      </c>
    </row>
    <row r="20" spans="1:18" ht="24.9" customHeight="1">
      <c r="A20" s="529"/>
      <c r="B20" s="530">
        <v>13</v>
      </c>
      <c r="C20" s="874">
        <f t="shared" si="0"/>
        <v>164</v>
      </c>
      <c r="D20" s="880">
        <v>3</v>
      </c>
      <c r="E20" s="881">
        <v>160</v>
      </c>
      <c r="F20" s="881">
        <v>1</v>
      </c>
      <c r="G20" s="874">
        <f t="shared" si="1"/>
        <v>0</v>
      </c>
      <c r="H20" s="880">
        <v>0</v>
      </c>
      <c r="I20" s="881">
        <v>0</v>
      </c>
      <c r="J20" s="1156">
        <v>0</v>
      </c>
      <c r="K20" s="879">
        <f t="shared" si="2"/>
        <v>165</v>
      </c>
      <c r="L20" s="880">
        <v>3</v>
      </c>
      <c r="M20" s="881">
        <v>161</v>
      </c>
      <c r="N20" s="1156">
        <v>1</v>
      </c>
      <c r="O20" s="879">
        <f t="shared" si="3"/>
        <v>19</v>
      </c>
      <c r="P20" s="880">
        <v>0</v>
      </c>
      <c r="Q20" s="881">
        <v>19</v>
      </c>
      <c r="R20" s="1156">
        <v>0</v>
      </c>
    </row>
    <row r="21" spans="1:18" ht="24.9" customHeight="1">
      <c r="A21" s="529"/>
      <c r="B21" s="530">
        <v>14</v>
      </c>
      <c r="C21" s="874">
        <f t="shared" si="0"/>
        <v>189</v>
      </c>
      <c r="D21" s="880">
        <v>12</v>
      </c>
      <c r="E21" s="881">
        <v>177</v>
      </c>
      <c r="F21" s="881">
        <v>0</v>
      </c>
      <c r="G21" s="874">
        <f t="shared" si="1"/>
        <v>0</v>
      </c>
      <c r="H21" s="880">
        <v>0</v>
      </c>
      <c r="I21" s="881">
        <v>0</v>
      </c>
      <c r="J21" s="1156">
        <v>0</v>
      </c>
      <c r="K21" s="879">
        <f t="shared" si="2"/>
        <v>194</v>
      </c>
      <c r="L21" s="880">
        <v>12</v>
      </c>
      <c r="M21" s="881">
        <v>182</v>
      </c>
      <c r="N21" s="1156">
        <v>0</v>
      </c>
      <c r="O21" s="879">
        <f t="shared" si="3"/>
        <v>28</v>
      </c>
      <c r="P21" s="880">
        <v>1</v>
      </c>
      <c r="Q21" s="881">
        <v>27</v>
      </c>
      <c r="R21" s="1156">
        <v>0</v>
      </c>
    </row>
    <row r="22" spans="1:18" ht="24.9" customHeight="1">
      <c r="A22" s="529"/>
      <c r="B22" s="530">
        <v>15</v>
      </c>
      <c r="C22" s="874">
        <f t="shared" si="0"/>
        <v>217</v>
      </c>
      <c r="D22" s="880">
        <v>12</v>
      </c>
      <c r="E22" s="881">
        <v>205</v>
      </c>
      <c r="F22" s="881">
        <v>0</v>
      </c>
      <c r="G22" s="874">
        <f t="shared" si="1"/>
        <v>0</v>
      </c>
      <c r="H22" s="880">
        <v>0</v>
      </c>
      <c r="I22" s="881">
        <v>0</v>
      </c>
      <c r="J22" s="1156">
        <v>0</v>
      </c>
      <c r="K22" s="879">
        <f t="shared" si="2"/>
        <v>222</v>
      </c>
      <c r="L22" s="880">
        <v>12</v>
      </c>
      <c r="M22" s="881">
        <v>210</v>
      </c>
      <c r="N22" s="1156">
        <v>0</v>
      </c>
      <c r="O22" s="879">
        <f t="shared" si="3"/>
        <v>24</v>
      </c>
      <c r="P22" s="880">
        <v>1</v>
      </c>
      <c r="Q22" s="881">
        <v>23</v>
      </c>
      <c r="R22" s="1156">
        <v>0</v>
      </c>
    </row>
    <row r="23" spans="1:18" ht="24.9" customHeight="1">
      <c r="A23" s="529"/>
      <c r="B23" s="530">
        <v>16</v>
      </c>
      <c r="C23" s="874">
        <f t="shared" si="0"/>
        <v>215</v>
      </c>
      <c r="D23" s="880">
        <v>11</v>
      </c>
      <c r="E23" s="881">
        <v>204</v>
      </c>
      <c r="F23" s="881">
        <v>0</v>
      </c>
      <c r="G23" s="874">
        <f t="shared" si="1"/>
        <v>1</v>
      </c>
      <c r="H23" s="880">
        <v>0</v>
      </c>
      <c r="I23" s="881">
        <v>1</v>
      </c>
      <c r="J23" s="1156">
        <v>0</v>
      </c>
      <c r="K23" s="879">
        <f t="shared" si="2"/>
        <v>227</v>
      </c>
      <c r="L23" s="880">
        <v>11</v>
      </c>
      <c r="M23" s="881">
        <v>216</v>
      </c>
      <c r="N23" s="1156">
        <v>0</v>
      </c>
      <c r="O23" s="879">
        <f t="shared" si="3"/>
        <v>25</v>
      </c>
      <c r="P23" s="880">
        <v>2</v>
      </c>
      <c r="Q23" s="881">
        <v>23</v>
      </c>
      <c r="R23" s="1156">
        <v>0</v>
      </c>
    </row>
    <row r="24" spans="1:18" ht="24.9" customHeight="1">
      <c r="A24" s="529"/>
      <c r="B24" s="530">
        <v>17</v>
      </c>
      <c r="C24" s="874">
        <f t="shared" si="0"/>
        <v>228</v>
      </c>
      <c r="D24" s="880">
        <v>23</v>
      </c>
      <c r="E24" s="881">
        <v>205</v>
      </c>
      <c r="F24" s="881">
        <v>0</v>
      </c>
      <c r="G24" s="874">
        <f t="shared" si="1"/>
        <v>0</v>
      </c>
      <c r="H24" s="880">
        <v>0</v>
      </c>
      <c r="I24" s="881">
        <v>0</v>
      </c>
      <c r="J24" s="1156">
        <v>0</v>
      </c>
      <c r="K24" s="879">
        <f t="shared" si="2"/>
        <v>234</v>
      </c>
      <c r="L24" s="880">
        <v>24</v>
      </c>
      <c r="M24" s="881">
        <v>210</v>
      </c>
      <c r="N24" s="1156">
        <v>0</v>
      </c>
      <c r="O24" s="879">
        <f t="shared" si="3"/>
        <v>26</v>
      </c>
      <c r="P24" s="880">
        <v>1</v>
      </c>
      <c r="Q24" s="881">
        <v>25</v>
      </c>
      <c r="R24" s="1156">
        <v>0</v>
      </c>
    </row>
    <row r="25" spans="1:18" ht="24.9" customHeight="1">
      <c r="A25" s="531"/>
      <c r="B25" s="527">
        <v>18</v>
      </c>
      <c r="C25" s="874">
        <f t="shared" si="0"/>
        <v>252</v>
      </c>
      <c r="D25" s="880">
        <v>20</v>
      </c>
      <c r="E25" s="881">
        <v>232</v>
      </c>
      <c r="F25" s="881">
        <v>0</v>
      </c>
      <c r="G25" s="874">
        <f t="shared" si="1"/>
        <v>0</v>
      </c>
      <c r="H25" s="880">
        <v>0</v>
      </c>
      <c r="I25" s="881">
        <v>0</v>
      </c>
      <c r="J25" s="1156">
        <v>0</v>
      </c>
      <c r="K25" s="879">
        <f t="shared" si="2"/>
        <v>261</v>
      </c>
      <c r="L25" s="880">
        <v>20</v>
      </c>
      <c r="M25" s="881">
        <v>241</v>
      </c>
      <c r="N25" s="1156">
        <v>0</v>
      </c>
      <c r="O25" s="879">
        <f t="shared" si="3"/>
        <v>32</v>
      </c>
      <c r="P25" s="880">
        <v>3</v>
      </c>
      <c r="Q25" s="881">
        <v>29</v>
      </c>
      <c r="R25" s="1156">
        <v>0</v>
      </c>
    </row>
    <row r="26" spans="1:18" ht="24.9" customHeight="1">
      <c r="A26" s="524" t="s">
        <v>631</v>
      </c>
      <c r="B26" s="527">
        <v>19</v>
      </c>
      <c r="C26" s="874">
        <f t="shared" si="0"/>
        <v>154</v>
      </c>
      <c r="D26" s="880">
        <v>10</v>
      </c>
      <c r="E26" s="881">
        <v>144</v>
      </c>
      <c r="F26" s="881">
        <v>0</v>
      </c>
      <c r="G26" s="874">
        <f t="shared" si="1"/>
        <v>0</v>
      </c>
      <c r="H26" s="880">
        <v>0</v>
      </c>
      <c r="I26" s="881">
        <v>0</v>
      </c>
      <c r="J26" s="1156">
        <v>0</v>
      </c>
      <c r="K26" s="879">
        <f t="shared" si="2"/>
        <v>158</v>
      </c>
      <c r="L26" s="880">
        <v>10</v>
      </c>
      <c r="M26" s="881">
        <v>148</v>
      </c>
      <c r="N26" s="1156">
        <v>0</v>
      </c>
      <c r="O26" s="879">
        <f t="shared" si="3"/>
        <v>21</v>
      </c>
      <c r="P26" s="880">
        <v>1</v>
      </c>
      <c r="Q26" s="881">
        <v>20</v>
      </c>
      <c r="R26" s="1156">
        <v>0</v>
      </c>
    </row>
    <row r="27" spans="1:18" ht="24.9" customHeight="1">
      <c r="A27" s="524"/>
      <c r="B27" s="527">
        <v>20</v>
      </c>
      <c r="C27" s="874">
        <f t="shared" si="0"/>
        <v>77</v>
      </c>
      <c r="D27" s="880">
        <v>6</v>
      </c>
      <c r="E27" s="881">
        <v>71</v>
      </c>
      <c r="F27" s="881">
        <v>0</v>
      </c>
      <c r="G27" s="874">
        <f t="shared" si="1"/>
        <v>0</v>
      </c>
      <c r="H27" s="880">
        <v>0</v>
      </c>
      <c r="I27" s="881">
        <v>0</v>
      </c>
      <c r="J27" s="1156">
        <v>0</v>
      </c>
      <c r="K27" s="879">
        <f t="shared" si="2"/>
        <v>80</v>
      </c>
      <c r="L27" s="880">
        <v>6</v>
      </c>
      <c r="M27" s="881">
        <v>74</v>
      </c>
      <c r="N27" s="1156">
        <v>0</v>
      </c>
      <c r="O27" s="879">
        <f t="shared" si="3"/>
        <v>8</v>
      </c>
      <c r="P27" s="880">
        <v>1</v>
      </c>
      <c r="Q27" s="881">
        <v>7</v>
      </c>
      <c r="R27" s="1156">
        <v>0</v>
      </c>
    </row>
    <row r="28" spans="1:18" ht="24.9" customHeight="1">
      <c r="A28" s="524" t="s">
        <v>632</v>
      </c>
      <c r="B28" s="527">
        <v>21</v>
      </c>
      <c r="C28" s="874">
        <f t="shared" si="0"/>
        <v>47</v>
      </c>
      <c r="D28" s="880">
        <v>3</v>
      </c>
      <c r="E28" s="881">
        <v>44</v>
      </c>
      <c r="F28" s="881">
        <v>0</v>
      </c>
      <c r="G28" s="874">
        <f t="shared" si="1"/>
        <v>0</v>
      </c>
      <c r="H28" s="880">
        <v>0</v>
      </c>
      <c r="I28" s="881">
        <v>0</v>
      </c>
      <c r="J28" s="1156">
        <v>0</v>
      </c>
      <c r="K28" s="879">
        <f t="shared" si="2"/>
        <v>48</v>
      </c>
      <c r="L28" s="880">
        <v>3</v>
      </c>
      <c r="M28" s="881">
        <v>45</v>
      </c>
      <c r="N28" s="1156">
        <v>0</v>
      </c>
      <c r="O28" s="879">
        <f t="shared" si="3"/>
        <v>7</v>
      </c>
      <c r="P28" s="880">
        <v>0</v>
      </c>
      <c r="Q28" s="881">
        <v>7</v>
      </c>
      <c r="R28" s="1156">
        <v>0</v>
      </c>
    </row>
    <row r="29" spans="1:18" ht="24.9" customHeight="1">
      <c r="A29" s="524"/>
      <c r="B29" s="527">
        <v>22</v>
      </c>
      <c r="C29" s="874">
        <f t="shared" si="0"/>
        <v>53</v>
      </c>
      <c r="D29" s="880">
        <v>2</v>
      </c>
      <c r="E29" s="881">
        <v>51</v>
      </c>
      <c r="F29" s="881">
        <v>0</v>
      </c>
      <c r="G29" s="874">
        <f t="shared" si="1"/>
        <v>1</v>
      </c>
      <c r="H29" s="880">
        <v>0</v>
      </c>
      <c r="I29" s="881">
        <v>1</v>
      </c>
      <c r="J29" s="1156">
        <v>0</v>
      </c>
      <c r="K29" s="879">
        <f t="shared" si="2"/>
        <v>54</v>
      </c>
      <c r="L29" s="880">
        <v>2</v>
      </c>
      <c r="M29" s="881">
        <v>52</v>
      </c>
      <c r="N29" s="1156">
        <v>0</v>
      </c>
      <c r="O29" s="879">
        <f t="shared" si="3"/>
        <v>8</v>
      </c>
      <c r="P29" s="880">
        <v>1</v>
      </c>
      <c r="Q29" s="881">
        <v>7</v>
      </c>
      <c r="R29" s="1156">
        <v>0</v>
      </c>
    </row>
    <row r="30" spans="1:18" ht="24.9" customHeight="1" thickBot="1">
      <c r="A30" s="524"/>
      <c r="B30" s="532">
        <v>23</v>
      </c>
      <c r="C30" s="882">
        <f t="shared" si="0"/>
        <v>38</v>
      </c>
      <c r="D30" s="1152">
        <v>3</v>
      </c>
      <c r="E30" s="1162">
        <v>35</v>
      </c>
      <c r="F30" s="1162">
        <v>0</v>
      </c>
      <c r="G30" s="882">
        <f t="shared" si="1"/>
        <v>0</v>
      </c>
      <c r="H30" s="1152">
        <v>0</v>
      </c>
      <c r="I30" s="1162">
        <v>0</v>
      </c>
      <c r="J30" s="1156">
        <v>0</v>
      </c>
      <c r="K30" s="883">
        <f t="shared" si="2"/>
        <v>39</v>
      </c>
      <c r="L30" s="1152">
        <v>3</v>
      </c>
      <c r="M30" s="1162">
        <v>36</v>
      </c>
      <c r="N30" s="1163">
        <v>0</v>
      </c>
      <c r="O30" s="883">
        <f t="shared" si="3"/>
        <v>5</v>
      </c>
      <c r="P30" s="1152">
        <v>0</v>
      </c>
      <c r="Q30" s="1162">
        <v>5</v>
      </c>
      <c r="R30" s="1163">
        <v>0</v>
      </c>
    </row>
    <row r="31" spans="1:18" ht="24.9" customHeight="1">
      <c r="A31" s="1513" t="s">
        <v>633</v>
      </c>
      <c r="B31" s="1382"/>
      <c r="C31" s="198">
        <f t="shared" ref="C31:R31" si="4">SUM(C13:C24)</f>
        <v>2477</v>
      </c>
      <c r="D31" s="13">
        <f t="shared" si="4"/>
        <v>151</v>
      </c>
      <c r="E31" s="13">
        <f t="shared" si="4"/>
        <v>2325</v>
      </c>
      <c r="F31" s="11">
        <f t="shared" si="4"/>
        <v>1</v>
      </c>
      <c r="G31" s="198">
        <f t="shared" si="4"/>
        <v>7</v>
      </c>
      <c r="H31" s="13">
        <f t="shared" si="4"/>
        <v>0</v>
      </c>
      <c r="I31" s="13">
        <f t="shared" si="4"/>
        <v>7</v>
      </c>
      <c r="J31" s="12">
        <f t="shared" si="4"/>
        <v>0</v>
      </c>
      <c r="K31" s="199">
        <f t="shared" si="4"/>
        <v>2555</v>
      </c>
      <c r="L31" s="13">
        <f t="shared" si="4"/>
        <v>157</v>
      </c>
      <c r="M31" s="13">
        <f t="shared" si="4"/>
        <v>2397</v>
      </c>
      <c r="N31" s="12">
        <f t="shared" si="4"/>
        <v>1</v>
      </c>
      <c r="O31" s="199">
        <f t="shared" si="4"/>
        <v>347</v>
      </c>
      <c r="P31" s="13">
        <f t="shared" si="4"/>
        <v>20</v>
      </c>
      <c r="Q31" s="13">
        <f t="shared" si="4"/>
        <v>327</v>
      </c>
      <c r="R31" s="12">
        <f t="shared" si="4"/>
        <v>0</v>
      </c>
    </row>
    <row r="32" spans="1:18" ht="24.9" customHeight="1">
      <c r="A32" s="1514" t="s">
        <v>634</v>
      </c>
      <c r="B32" s="1669"/>
      <c r="C32" s="36">
        <f t="shared" ref="C32:R32" si="5">C33-C31</f>
        <v>755</v>
      </c>
      <c r="D32" s="23">
        <f t="shared" si="5"/>
        <v>54</v>
      </c>
      <c r="E32" s="23">
        <f t="shared" si="5"/>
        <v>701</v>
      </c>
      <c r="F32" s="21">
        <f t="shared" si="5"/>
        <v>0</v>
      </c>
      <c r="G32" s="36">
        <f t="shared" si="5"/>
        <v>4</v>
      </c>
      <c r="H32" s="23">
        <f t="shared" si="5"/>
        <v>0</v>
      </c>
      <c r="I32" s="23">
        <f t="shared" si="5"/>
        <v>4</v>
      </c>
      <c r="J32" s="22">
        <f t="shared" si="5"/>
        <v>0</v>
      </c>
      <c r="K32" s="200">
        <f t="shared" si="5"/>
        <v>773</v>
      </c>
      <c r="L32" s="23">
        <f t="shared" si="5"/>
        <v>54</v>
      </c>
      <c r="M32" s="23">
        <f t="shared" si="5"/>
        <v>719</v>
      </c>
      <c r="N32" s="22">
        <f t="shared" si="5"/>
        <v>0</v>
      </c>
      <c r="O32" s="200">
        <f t="shared" si="5"/>
        <v>108</v>
      </c>
      <c r="P32" s="23">
        <f t="shared" si="5"/>
        <v>6</v>
      </c>
      <c r="Q32" s="23">
        <f t="shared" si="5"/>
        <v>102</v>
      </c>
      <c r="R32" s="22">
        <f t="shared" si="5"/>
        <v>0</v>
      </c>
    </row>
    <row r="33" spans="1:18" ht="24.9" customHeight="1" thickBot="1">
      <c r="A33" s="1515" t="s">
        <v>635</v>
      </c>
      <c r="B33" s="1763"/>
      <c r="C33" s="167">
        <f t="shared" ref="C33:R33" si="6">SUM(C7:C30)</f>
        <v>3232</v>
      </c>
      <c r="D33" s="39">
        <f t="shared" si="6"/>
        <v>205</v>
      </c>
      <c r="E33" s="39">
        <f t="shared" si="6"/>
        <v>3026</v>
      </c>
      <c r="F33" s="40">
        <f t="shared" si="6"/>
        <v>1</v>
      </c>
      <c r="G33" s="167">
        <f t="shared" si="6"/>
        <v>11</v>
      </c>
      <c r="H33" s="39">
        <f t="shared" si="6"/>
        <v>0</v>
      </c>
      <c r="I33" s="39">
        <f t="shared" si="6"/>
        <v>11</v>
      </c>
      <c r="J33" s="168">
        <f t="shared" si="6"/>
        <v>0</v>
      </c>
      <c r="K33" s="201">
        <f t="shared" si="6"/>
        <v>3328</v>
      </c>
      <c r="L33" s="39">
        <f t="shared" si="6"/>
        <v>211</v>
      </c>
      <c r="M33" s="39">
        <f t="shared" si="6"/>
        <v>3116</v>
      </c>
      <c r="N33" s="168">
        <f t="shared" si="6"/>
        <v>1</v>
      </c>
      <c r="O33" s="201">
        <f t="shared" si="6"/>
        <v>455</v>
      </c>
      <c r="P33" s="39">
        <f t="shared" si="6"/>
        <v>26</v>
      </c>
      <c r="Q33" s="39">
        <f t="shared" si="6"/>
        <v>429</v>
      </c>
      <c r="R33" s="168">
        <f t="shared" si="6"/>
        <v>0</v>
      </c>
    </row>
    <row r="34" spans="1:18" s="1889" customFormat="1" ht="18" customHeight="1">
      <c r="A34" s="1937" t="s">
        <v>947</v>
      </c>
      <c r="B34" s="1907"/>
      <c r="C34" s="1901"/>
      <c r="D34" s="1901"/>
      <c r="E34" s="1901"/>
      <c r="F34" s="1901"/>
      <c r="G34" s="1901"/>
      <c r="H34" s="1901"/>
      <c r="I34" s="1901"/>
      <c r="J34" s="1901"/>
      <c r="K34" s="1901"/>
    </row>
    <row r="35" spans="1:18" s="1889" customFormat="1" ht="18">
      <c r="A35" s="1897" t="s">
        <v>948</v>
      </c>
      <c r="B35" s="1897"/>
      <c r="C35" s="1897"/>
      <c r="D35" s="1897"/>
      <c r="E35" s="1897"/>
      <c r="F35" s="1897"/>
      <c r="G35" s="1897"/>
      <c r="H35" s="1897"/>
      <c r="I35" s="1897"/>
      <c r="J35" s="1897"/>
      <c r="K35" s="1897"/>
    </row>
  </sheetData>
  <mergeCells count="12">
    <mergeCell ref="A33:B33"/>
    <mergeCell ref="B3:B4"/>
    <mergeCell ref="C3:E4"/>
    <mergeCell ref="F3:F4"/>
    <mergeCell ref="G3:I4"/>
    <mergeCell ref="N3:N4"/>
    <mergeCell ref="O3:Q3"/>
    <mergeCell ref="O4:Q4"/>
    <mergeCell ref="A31:B31"/>
    <mergeCell ref="A32:B32"/>
    <mergeCell ref="J3:J4"/>
    <mergeCell ref="K3:M4"/>
  </mergeCells>
  <phoneticPr fontId="4"/>
  <printOptions horizontalCentered="1"/>
  <pageMargins left="0.78740157480314965" right="0.39370078740157483" top="0.98425196850393704" bottom="0.98425196850393704" header="0.31496062992125984" footer="0.51181102362204722"/>
  <pageSetup paperSize="9" scale="68" orientation="portrait" r:id="rId1"/>
  <headerFooter scaleWithDoc="0" alignWithMargins="0">
    <oddFooter>&amp;C- &amp;P -</oddFooter>
  </headerFooter>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137AF-7DCB-482C-BF58-AAD319B597DA}">
  <sheetPr>
    <pageSetUpPr fitToPage="1"/>
  </sheetPr>
  <dimension ref="A1:O53"/>
  <sheetViews>
    <sheetView view="pageBreakPreview" topLeftCell="A8" zoomScale="90" zoomScaleNormal="100" zoomScaleSheetLayoutView="90" workbookViewId="0">
      <selection activeCell="T20" sqref="T20"/>
    </sheetView>
  </sheetViews>
  <sheetFormatPr defaultColWidth="9" defaultRowHeight="13.8"/>
  <cols>
    <col min="1" max="1" width="1.6640625" style="497" customWidth="1"/>
    <col min="2" max="2" width="14.88671875" style="497" customWidth="1"/>
    <col min="3" max="15" width="7" style="497" customWidth="1"/>
    <col min="16" max="16384" width="9" style="497"/>
  </cols>
  <sheetData>
    <row r="1" spans="1:15" s="650" customFormat="1" ht="15">
      <c r="A1" s="650" t="s">
        <v>469</v>
      </c>
    </row>
    <row r="2" spans="1:15" s="650" customFormat="1" ht="15">
      <c r="A2" s="650" t="s">
        <v>470</v>
      </c>
    </row>
    <row r="3" spans="1:15">
      <c r="A3" s="779"/>
      <c r="B3" s="779"/>
      <c r="C3" s="779"/>
      <c r="D3" s="779"/>
      <c r="E3" s="779"/>
      <c r="F3" s="779"/>
      <c r="G3" s="779"/>
      <c r="H3" s="779"/>
      <c r="I3" s="779"/>
      <c r="J3" s="779"/>
      <c r="K3" s="779"/>
    </row>
    <row r="4" spans="1:15" ht="14.4" thickBot="1">
      <c r="A4" s="497" t="s">
        <v>850</v>
      </c>
      <c r="C4" s="779"/>
      <c r="D4" s="779"/>
      <c r="E4" s="779"/>
      <c r="F4" s="779"/>
      <c r="G4" s="779"/>
      <c r="H4" s="779"/>
      <c r="I4" s="779"/>
      <c r="J4" s="779"/>
      <c r="K4" s="779"/>
    </row>
    <row r="5" spans="1:15">
      <c r="A5" s="552"/>
      <c r="B5" s="872" t="s">
        <v>471</v>
      </c>
      <c r="C5" s="1621" t="s">
        <v>851</v>
      </c>
      <c r="D5" s="1549" t="s">
        <v>366</v>
      </c>
      <c r="E5" s="1549" t="s">
        <v>367</v>
      </c>
      <c r="F5" s="1549" t="s">
        <v>368</v>
      </c>
      <c r="G5" s="1549" t="s">
        <v>369</v>
      </c>
      <c r="H5" s="1549" t="s">
        <v>370</v>
      </c>
      <c r="I5" s="1549" t="s">
        <v>613</v>
      </c>
      <c r="J5" s="1549" t="s">
        <v>614</v>
      </c>
      <c r="K5" s="1549" t="s">
        <v>615</v>
      </c>
      <c r="L5" s="1269" t="s">
        <v>616</v>
      </c>
      <c r="M5" s="1802" t="s">
        <v>617</v>
      </c>
      <c r="N5" s="1802" t="s">
        <v>736</v>
      </c>
      <c r="O5" s="1800" t="s">
        <v>559</v>
      </c>
    </row>
    <row r="6" spans="1:15" ht="14.4" thickBot="1">
      <c r="A6" s="553" t="s">
        <v>619</v>
      </c>
      <c r="B6" s="554"/>
      <c r="C6" s="1622"/>
      <c r="D6" s="1619"/>
      <c r="E6" s="1619"/>
      <c r="F6" s="1619"/>
      <c r="G6" s="1619"/>
      <c r="H6" s="1619"/>
      <c r="I6" s="1619"/>
      <c r="J6" s="1619"/>
      <c r="K6" s="1619"/>
      <c r="L6" s="1272"/>
      <c r="M6" s="1803"/>
      <c r="N6" s="1803"/>
      <c r="O6" s="1801"/>
    </row>
    <row r="7" spans="1:15" ht="21.75" customHeight="1">
      <c r="A7" s="1474" t="s">
        <v>800</v>
      </c>
      <c r="B7" s="1280"/>
      <c r="C7" s="156">
        <v>1745</v>
      </c>
      <c r="D7" s="157">
        <v>1343</v>
      </c>
      <c r="E7" s="158">
        <v>1257</v>
      </c>
      <c r="F7" s="158">
        <v>1291</v>
      </c>
      <c r="G7" s="158">
        <v>1243</v>
      </c>
      <c r="H7" s="202">
        <v>1158</v>
      </c>
      <c r="I7" s="202">
        <v>1090</v>
      </c>
      <c r="J7" s="202">
        <v>991</v>
      </c>
      <c r="K7" s="202">
        <v>1057</v>
      </c>
      <c r="L7" s="195">
        <v>938</v>
      </c>
      <c r="M7" s="194">
        <v>948</v>
      </c>
      <c r="N7" s="194">
        <v>890</v>
      </c>
      <c r="O7" s="293">
        <v>982</v>
      </c>
    </row>
    <row r="8" spans="1:15" ht="21.75" customHeight="1">
      <c r="A8" s="1489" t="s">
        <v>738</v>
      </c>
      <c r="B8" s="1297"/>
      <c r="C8" s="159">
        <v>30</v>
      </c>
      <c r="D8" s="160">
        <v>7</v>
      </c>
      <c r="E8" s="161">
        <v>11</v>
      </c>
      <c r="F8" s="161">
        <v>12</v>
      </c>
      <c r="G8" s="161">
        <v>8</v>
      </c>
      <c r="H8" s="203">
        <v>12</v>
      </c>
      <c r="I8" s="203">
        <v>4</v>
      </c>
      <c r="J8" s="203">
        <v>6</v>
      </c>
      <c r="K8" s="203">
        <v>16</v>
      </c>
      <c r="L8" s="188">
        <v>10</v>
      </c>
      <c r="M8" s="189">
        <v>8</v>
      </c>
      <c r="N8" s="189">
        <v>9</v>
      </c>
      <c r="O8" s="217">
        <v>12</v>
      </c>
    </row>
    <row r="9" spans="1:15" ht="21.75" customHeight="1">
      <c r="A9" s="1618" t="s">
        <v>739</v>
      </c>
      <c r="B9" s="1491"/>
      <c r="C9" s="162">
        <v>1960</v>
      </c>
      <c r="D9" s="163">
        <v>1451</v>
      </c>
      <c r="E9" s="161">
        <v>1354</v>
      </c>
      <c r="F9" s="161">
        <v>1403</v>
      </c>
      <c r="G9" s="161">
        <v>1379</v>
      </c>
      <c r="H9" s="203">
        <v>1267</v>
      </c>
      <c r="I9" s="203">
        <v>1186</v>
      </c>
      <c r="J9" s="203">
        <v>1081</v>
      </c>
      <c r="K9" s="203">
        <v>1155</v>
      </c>
      <c r="L9" s="188">
        <v>1008</v>
      </c>
      <c r="M9" s="189">
        <v>1031</v>
      </c>
      <c r="N9" s="189">
        <v>944</v>
      </c>
      <c r="O9" s="217">
        <v>1054</v>
      </c>
    </row>
    <row r="10" spans="1:15" ht="21.75" customHeight="1">
      <c r="A10" s="560"/>
      <c r="B10" s="555" t="s">
        <v>852</v>
      </c>
      <c r="C10" s="164" t="s">
        <v>11</v>
      </c>
      <c r="D10" s="165" t="s">
        <v>404</v>
      </c>
      <c r="E10" s="165" t="s">
        <v>404</v>
      </c>
      <c r="F10" s="165" t="s">
        <v>404</v>
      </c>
      <c r="G10" s="165" t="s">
        <v>404</v>
      </c>
      <c r="H10" s="204">
        <v>240</v>
      </c>
      <c r="I10" s="204">
        <v>198</v>
      </c>
      <c r="J10" s="204">
        <v>198</v>
      </c>
      <c r="K10" s="204">
        <v>231</v>
      </c>
      <c r="L10" s="188">
        <v>169</v>
      </c>
      <c r="M10" s="189">
        <v>211</v>
      </c>
      <c r="N10" s="189">
        <v>189</v>
      </c>
      <c r="O10" s="217">
        <v>197</v>
      </c>
    </row>
    <row r="11" spans="1:15" ht="21.75" customHeight="1">
      <c r="A11" s="1489" t="s">
        <v>742</v>
      </c>
      <c r="B11" s="1297"/>
      <c r="C11" s="205">
        <v>222</v>
      </c>
      <c r="D11" s="206">
        <v>51</v>
      </c>
      <c r="E11" s="203">
        <v>51</v>
      </c>
      <c r="F11" s="203">
        <v>49</v>
      </c>
      <c r="G11" s="203">
        <v>44</v>
      </c>
      <c r="H11" s="203">
        <v>44</v>
      </c>
      <c r="I11" s="203">
        <v>34</v>
      </c>
      <c r="J11" s="203">
        <v>37</v>
      </c>
      <c r="K11" s="203">
        <v>43</v>
      </c>
      <c r="L11" s="188">
        <v>40</v>
      </c>
      <c r="M11" s="189">
        <v>40</v>
      </c>
      <c r="N11" s="189">
        <v>43</v>
      </c>
      <c r="O11" s="217">
        <v>43</v>
      </c>
    </row>
    <row r="12" spans="1:15" ht="14.4" thickBot="1">
      <c r="A12" s="1611" t="s">
        <v>743</v>
      </c>
      <c r="B12" s="1656"/>
      <c r="C12" s="556">
        <f t="shared" ref="C12:M12" si="0">C8/C11*100</f>
        <v>13.513513513513514</v>
      </c>
      <c r="D12" s="557">
        <f t="shared" si="0"/>
        <v>13.725490196078432</v>
      </c>
      <c r="E12" s="557">
        <f t="shared" si="0"/>
        <v>21.568627450980394</v>
      </c>
      <c r="F12" s="557">
        <f t="shared" si="0"/>
        <v>24.489795918367346</v>
      </c>
      <c r="G12" s="558">
        <f t="shared" si="0"/>
        <v>18.181818181818183</v>
      </c>
      <c r="H12" s="558">
        <f t="shared" si="0"/>
        <v>27.27272727272727</v>
      </c>
      <c r="I12" s="558">
        <f t="shared" si="0"/>
        <v>11.76470588235294</v>
      </c>
      <c r="J12" s="558">
        <f t="shared" si="0"/>
        <v>16.216216216216218</v>
      </c>
      <c r="K12" s="558">
        <f t="shared" si="0"/>
        <v>37.209302325581397</v>
      </c>
      <c r="L12" s="608">
        <f t="shared" si="0"/>
        <v>25</v>
      </c>
      <c r="M12" s="653">
        <f t="shared" si="0"/>
        <v>20</v>
      </c>
      <c r="N12" s="653">
        <f>N8/N11*100</f>
        <v>20.930232558139537</v>
      </c>
      <c r="O12" s="559">
        <f>O8/O11*100</f>
        <v>27.906976744186046</v>
      </c>
    </row>
    <row r="13" spans="1:15" s="1939" customFormat="1" ht="15">
      <c r="A13" s="1939" t="s">
        <v>949</v>
      </c>
    </row>
    <row r="14" spans="1:15" s="1939" customFormat="1" ht="15">
      <c r="A14" s="1939" t="s">
        <v>950</v>
      </c>
    </row>
    <row r="15" spans="1:15" s="1939" customFormat="1" ht="15.75" customHeight="1">
      <c r="A15" s="1939" t="s">
        <v>951</v>
      </c>
    </row>
    <row r="17" spans="1:15" ht="20.25" customHeight="1"/>
    <row r="18" spans="1:15" ht="14.4" thickBot="1">
      <c r="A18" s="497" t="s">
        <v>853</v>
      </c>
    </row>
    <row r="19" spans="1:15" ht="22.5" customHeight="1" thickBot="1">
      <c r="A19" s="1767" t="s">
        <v>842</v>
      </c>
      <c r="B19" s="1804"/>
      <c r="C19" s="943">
        <v>1</v>
      </c>
      <c r="D19" s="875">
        <v>2</v>
      </c>
      <c r="E19" s="875">
        <v>3</v>
      </c>
      <c r="F19" s="875">
        <v>4</v>
      </c>
      <c r="G19" s="875">
        <v>5</v>
      </c>
      <c r="H19" s="875">
        <v>6</v>
      </c>
      <c r="I19" s="875">
        <v>7</v>
      </c>
      <c r="J19" s="875">
        <v>8</v>
      </c>
      <c r="K19" s="875">
        <v>9</v>
      </c>
      <c r="L19" s="875">
        <v>10</v>
      </c>
      <c r="M19" s="875">
        <v>11</v>
      </c>
      <c r="N19" s="875">
        <v>12</v>
      </c>
      <c r="O19" s="944" t="s">
        <v>635</v>
      </c>
    </row>
    <row r="20" spans="1:15" ht="21" customHeight="1">
      <c r="A20" s="1772" t="s">
        <v>454</v>
      </c>
      <c r="B20" s="1280"/>
      <c r="C20" s="887">
        <v>90</v>
      </c>
      <c r="D20" s="885">
        <v>68</v>
      </c>
      <c r="E20" s="885">
        <v>85</v>
      </c>
      <c r="F20" s="885">
        <v>56</v>
      </c>
      <c r="G20" s="885">
        <v>86</v>
      </c>
      <c r="H20" s="885">
        <v>74</v>
      </c>
      <c r="I20" s="885">
        <v>103</v>
      </c>
      <c r="J20" s="885">
        <v>73</v>
      </c>
      <c r="K20" s="885">
        <v>74</v>
      </c>
      <c r="L20" s="885">
        <v>83</v>
      </c>
      <c r="M20" s="885">
        <v>91</v>
      </c>
      <c r="N20" s="885">
        <v>99</v>
      </c>
      <c r="O20" s="305">
        <f>SUM(C20:N20)</f>
        <v>982</v>
      </c>
    </row>
    <row r="21" spans="1:15" ht="21" customHeight="1">
      <c r="A21" s="1773" t="s">
        <v>455</v>
      </c>
      <c r="B21" s="1297"/>
      <c r="C21" s="891">
        <v>0</v>
      </c>
      <c r="D21" s="889">
        <v>1</v>
      </c>
      <c r="E21" s="889">
        <v>1</v>
      </c>
      <c r="F21" s="889">
        <v>0</v>
      </c>
      <c r="G21" s="889">
        <v>1</v>
      </c>
      <c r="H21" s="889">
        <v>0</v>
      </c>
      <c r="I21" s="889">
        <v>0</v>
      </c>
      <c r="J21" s="889">
        <v>1</v>
      </c>
      <c r="K21" s="889">
        <v>0</v>
      </c>
      <c r="L21" s="889">
        <v>2</v>
      </c>
      <c r="M21" s="889">
        <v>4</v>
      </c>
      <c r="N21" s="889">
        <v>2</v>
      </c>
      <c r="O21" s="306">
        <f>SUM(C21:N21)</f>
        <v>12</v>
      </c>
    </row>
    <row r="22" spans="1:15" ht="21" customHeight="1">
      <c r="A22" s="1774" t="s">
        <v>472</v>
      </c>
      <c r="B22" s="1297"/>
      <c r="C22" s="1190">
        <v>94</v>
      </c>
      <c r="D22" s="947">
        <v>70</v>
      </c>
      <c r="E22" s="947">
        <v>93</v>
      </c>
      <c r="F22" s="947">
        <v>62</v>
      </c>
      <c r="G22" s="947">
        <v>96</v>
      </c>
      <c r="H22" s="947">
        <v>81</v>
      </c>
      <c r="I22" s="947">
        <v>112</v>
      </c>
      <c r="J22" s="947">
        <v>78</v>
      </c>
      <c r="K22" s="947">
        <v>83</v>
      </c>
      <c r="L22" s="947">
        <v>86</v>
      </c>
      <c r="M22" s="947">
        <v>96</v>
      </c>
      <c r="N22" s="947">
        <v>103</v>
      </c>
      <c r="O22" s="307">
        <f>SUM(C22:N22)</f>
        <v>1054</v>
      </c>
    </row>
    <row r="23" spans="1:15" ht="21" customHeight="1" thickBot="1">
      <c r="A23" s="945"/>
      <c r="B23" s="946" t="s">
        <v>473</v>
      </c>
      <c r="C23" s="895">
        <v>19</v>
      </c>
      <c r="D23" s="893">
        <v>12</v>
      </c>
      <c r="E23" s="893">
        <v>11</v>
      </c>
      <c r="F23" s="893">
        <v>14</v>
      </c>
      <c r="G23" s="893">
        <v>17</v>
      </c>
      <c r="H23" s="893">
        <v>17</v>
      </c>
      <c r="I23" s="893">
        <v>17</v>
      </c>
      <c r="J23" s="893">
        <v>15</v>
      </c>
      <c r="K23" s="893">
        <v>24</v>
      </c>
      <c r="L23" s="893">
        <v>13</v>
      </c>
      <c r="M23" s="893">
        <v>15</v>
      </c>
      <c r="N23" s="893">
        <v>23</v>
      </c>
      <c r="O23" s="308">
        <f>SUM(C23:N23)</f>
        <v>197</v>
      </c>
    </row>
    <row r="24" spans="1:15" s="1939" customFormat="1" ht="15">
      <c r="A24" s="1939" t="s">
        <v>965</v>
      </c>
    </row>
    <row r="25" spans="1:15" s="1939" customFormat="1" ht="15.75" customHeight="1">
      <c r="A25" s="1939" t="s">
        <v>952</v>
      </c>
    </row>
    <row r="26" spans="1:15" ht="15.75" customHeight="1">
      <c r="A26" s="533"/>
    </row>
    <row r="52" ht="51.75" customHeight="1"/>
    <row r="53" ht="69" customHeight="1"/>
  </sheetData>
  <mergeCells count="22">
    <mergeCell ref="A22:B22"/>
    <mergeCell ref="M5:M6"/>
    <mergeCell ref="A7:B7"/>
    <mergeCell ref="A8:B8"/>
    <mergeCell ref="A9:B9"/>
    <mergeCell ref="A11:B11"/>
    <mergeCell ref="A12:B12"/>
    <mergeCell ref="G5:G6"/>
    <mergeCell ref="H5:H6"/>
    <mergeCell ref="I5:I6"/>
    <mergeCell ref="J5:J6"/>
    <mergeCell ref="K5:K6"/>
    <mergeCell ref="L5:L6"/>
    <mergeCell ref="F5:F6"/>
    <mergeCell ref="C5:C6"/>
    <mergeCell ref="D5:D6"/>
    <mergeCell ref="O5:O6"/>
    <mergeCell ref="N5:N6"/>
    <mergeCell ref="A19:B19"/>
    <mergeCell ref="A20:B20"/>
    <mergeCell ref="A21:B21"/>
    <mergeCell ref="E5:E6"/>
  </mergeCells>
  <phoneticPr fontId="4"/>
  <printOptions horizontalCentered="1"/>
  <pageMargins left="0.78740157480314965" right="0.39370078740157483" top="0.98425196850393704" bottom="0.98425196850393704" header="0.31496062992125984" footer="0.51181102362204722"/>
  <pageSetup paperSize="9" scale="82" orientation="portrait" r:id="rId1"/>
  <headerFooter scaleWithDoc="0" alignWithMargins="0">
    <oddFooter>&amp;C- &amp;P -</oddFooter>
  </headerFooter>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47A220-1442-4BB0-87D0-E8D5C1FDA1FF}">
  <sheetPr>
    <pageSetUpPr fitToPage="1"/>
  </sheetPr>
  <dimension ref="A2:M29"/>
  <sheetViews>
    <sheetView view="pageBreakPreview" topLeftCell="A19" zoomScaleNormal="100" zoomScaleSheetLayoutView="100" workbookViewId="0">
      <selection activeCell="N44" sqref="N44"/>
    </sheetView>
  </sheetViews>
  <sheetFormatPr defaultColWidth="9" defaultRowHeight="13.8"/>
  <cols>
    <col min="1" max="2" width="9" style="497"/>
    <col min="3" max="3" width="16.33203125" style="497" customWidth="1"/>
    <col min="4" max="7" width="13.109375" style="497" customWidth="1"/>
    <col min="8" max="16384" width="9" style="497"/>
  </cols>
  <sheetData>
    <row r="2" spans="1:13" ht="15.6" thickBot="1">
      <c r="A2" s="650" t="s">
        <v>474</v>
      </c>
    </row>
    <row r="3" spans="1:13" ht="6" customHeight="1">
      <c r="A3" s="950"/>
      <c r="B3" s="561"/>
      <c r="C3" s="1520" t="s">
        <v>619</v>
      </c>
      <c r="D3" s="1386" t="s">
        <v>753</v>
      </c>
      <c r="E3" s="1387" t="s">
        <v>754</v>
      </c>
      <c r="F3" s="1355" t="s">
        <v>755</v>
      </c>
      <c r="G3" s="951"/>
    </row>
    <row r="4" spans="1:13">
      <c r="A4" s="952"/>
      <c r="B4" s="500"/>
      <c r="C4" s="1518"/>
      <c r="D4" s="1310"/>
      <c r="E4" s="1533"/>
      <c r="F4" s="1358"/>
      <c r="G4" s="1806" t="s">
        <v>741</v>
      </c>
    </row>
    <row r="5" spans="1:13" ht="14.4" thickBot="1">
      <c r="A5" s="553" t="s">
        <v>854</v>
      </c>
      <c r="B5" s="562"/>
      <c r="C5" s="563"/>
      <c r="D5" s="1711"/>
      <c r="E5" s="1712"/>
      <c r="F5" s="1805"/>
      <c r="G5" s="1807"/>
    </row>
    <row r="6" spans="1:13" ht="14.4" thickBot="1">
      <c r="A6" s="549" t="s">
        <v>822</v>
      </c>
      <c r="B6" s="550"/>
      <c r="C6" s="550"/>
      <c r="D6" s="322">
        <f>SUM(D7:D27)</f>
        <v>982</v>
      </c>
      <c r="E6" s="57">
        <f>SUM(E7:E27)</f>
        <v>12</v>
      </c>
      <c r="F6" s="326">
        <f>SUM(F7:F27)</f>
        <v>1054</v>
      </c>
      <c r="G6" s="166">
        <f>SUM(G7:G27)</f>
        <v>197</v>
      </c>
    </row>
    <row r="7" spans="1:13">
      <c r="A7" s="652"/>
      <c r="B7" s="544" t="s">
        <v>653</v>
      </c>
      <c r="C7" s="545"/>
      <c r="D7" s="896">
        <v>3</v>
      </c>
      <c r="E7" s="1151">
        <v>0</v>
      </c>
      <c r="F7" s="1154">
        <v>3</v>
      </c>
      <c r="G7" s="1155">
        <v>0</v>
      </c>
    </row>
    <row r="8" spans="1:13">
      <c r="A8" s="524" t="s">
        <v>823</v>
      </c>
      <c r="B8" s="948" t="s">
        <v>654</v>
      </c>
      <c r="C8" s="949"/>
      <c r="D8" s="953">
        <v>2</v>
      </c>
      <c r="E8" s="954">
        <v>0</v>
      </c>
      <c r="F8" s="955">
        <v>2</v>
      </c>
      <c r="G8" s="1191">
        <v>0</v>
      </c>
      <c r="H8" s="564"/>
      <c r="I8" s="564"/>
      <c r="J8" s="564"/>
      <c r="K8" s="564"/>
      <c r="L8" s="564"/>
      <c r="M8" s="564"/>
    </row>
    <row r="9" spans="1:13">
      <c r="A9" s="524"/>
      <c r="B9" s="1808" t="s">
        <v>655</v>
      </c>
      <c r="C9" s="948" t="s">
        <v>656</v>
      </c>
      <c r="D9" s="953">
        <v>9</v>
      </c>
      <c r="E9" s="954">
        <v>0</v>
      </c>
      <c r="F9" s="955">
        <v>9</v>
      </c>
      <c r="G9" s="1191">
        <v>3</v>
      </c>
      <c r="H9" s="564"/>
      <c r="I9" s="564"/>
      <c r="J9" s="564"/>
      <c r="K9" s="564"/>
      <c r="L9" s="564"/>
      <c r="M9" s="564"/>
    </row>
    <row r="10" spans="1:13">
      <c r="A10" s="524" t="s">
        <v>825</v>
      </c>
      <c r="B10" s="1809"/>
      <c r="C10" s="948" t="s">
        <v>657</v>
      </c>
      <c r="D10" s="953">
        <v>1</v>
      </c>
      <c r="E10" s="954">
        <v>0</v>
      </c>
      <c r="F10" s="955">
        <v>1</v>
      </c>
      <c r="G10" s="1191">
        <v>1</v>
      </c>
      <c r="H10" s="564"/>
      <c r="I10" s="564"/>
      <c r="J10" s="564"/>
      <c r="K10" s="564"/>
      <c r="L10" s="564"/>
      <c r="M10" s="564"/>
    </row>
    <row r="11" spans="1:13">
      <c r="A11" s="524"/>
      <c r="B11" s="1809"/>
      <c r="C11" s="948" t="s">
        <v>828</v>
      </c>
      <c r="D11" s="1192">
        <v>0</v>
      </c>
      <c r="E11" s="954">
        <v>0</v>
      </c>
      <c r="F11" s="955">
        <v>0</v>
      </c>
      <c r="G11" s="1191">
        <v>0</v>
      </c>
      <c r="H11" s="564"/>
      <c r="I11" s="564"/>
      <c r="J11" s="564"/>
      <c r="K11" s="564"/>
      <c r="L11" s="564"/>
      <c r="M11" s="564"/>
    </row>
    <row r="12" spans="1:13">
      <c r="A12" s="524" t="s">
        <v>705</v>
      </c>
      <c r="B12" s="1718"/>
      <c r="C12" s="948" t="s">
        <v>659</v>
      </c>
      <c r="D12" s="1192">
        <v>11</v>
      </c>
      <c r="E12" s="954">
        <v>0</v>
      </c>
      <c r="F12" s="955">
        <v>11</v>
      </c>
      <c r="G12" s="1191">
        <v>2</v>
      </c>
      <c r="H12" s="564"/>
      <c r="I12" s="564"/>
      <c r="J12" s="564"/>
      <c r="K12" s="564"/>
      <c r="L12" s="564"/>
      <c r="M12" s="564"/>
    </row>
    <row r="13" spans="1:13">
      <c r="A13" s="524"/>
      <c r="B13" s="527" t="s">
        <v>660</v>
      </c>
      <c r="C13" s="530"/>
      <c r="D13" s="1193">
        <v>0</v>
      </c>
      <c r="E13" s="880">
        <v>0</v>
      </c>
      <c r="F13" s="881">
        <v>0</v>
      </c>
      <c r="G13" s="1156">
        <v>0</v>
      </c>
    </row>
    <row r="14" spans="1:13">
      <c r="A14" s="524" t="s">
        <v>710</v>
      </c>
      <c r="B14" s="527" t="s">
        <v>661</v>
      </c>
      <c r="C14" s="530"/>
      <c r="D14" s="898">
        <v>1</v>
      </c>
      <c r="E14" s="880">
        <v>0</v>
      </c>
      <c r="F14" s="881">
        <v>1</v>
      </c>
      <c r="G14" s="1156">
        <v>0</v>
      </c>
    </row>
    <row r="15" spans="1:13">
      <c r="A15" s="524"/>
      <c r="B15" s="527" t="s">
        <v>829</v>
      </c>
      <c r="C15" s="530"/>
      <c r="D15" s="898">
        <v>1</v>
      </c>
      <c r="E15" s="880">
        <v>0</v>
      </c>
      <c r="F15" s="881">
        <v>1</v>
      </c>
      <c r="G15" s="1156">
        <v>0</v>
      </c>
    </row>
    <row r="16" spans="1:13" ht="14.4" thickBot="1">
      <c r="A16" s="524"/>
      <c r="B16" s="532" t="s">
        <v>659</v>
      </c>
      <c r="C16" s="505"/>
      <c r="D16" s="910">
        <v>2</v>
      </c>
      <c r="E16" s="1152">
        <v>0</v>
      </c>
      <c r="F16" s="1162">
        <v>2</v>
      </c>
      <c r="G16" s="1163">
        <v>0</v>
      </c>
    </row>
    <row r="17" spans="1:7">
      <c r="A17" s="652"/>
      <c r="B17" s="544" t="s">
        <v>663</v>
      </c>
      <c r="C17" s="545"/>
      <c r="D17" s="896">
        <v>1</v>
      </c>
      <c r="E17" s="1151">
        <v>0</v>
      </c>
      <c r="F17" s="1154">
        <v>1</v>
      </c>
      <c r="G17" s="1155">
        <v>1</v>
      </c>
    </row>
    <row r="18" spans="1:7">
      <c r="A18" s="546" t="s">
        <v>705</v>
      </c>
      <c r="B18" s="1530" t="s">
        <v>664</v>
      </c>
      <c r="C18" s="527" t="s">
        <v>665</v>
      </c>
      <c r="D18" s="898">
        <v>28</v>
      </c>
      <c r="E18" s="880">
        <v>1</v>
      </c>
      <c r="F18" s="881">
        <v>34</v>
      </c>
      <c r="G18" s="1156">
        <v>5</v>
      </c>
    </row>
    <row r="19" spans="1:7">
      <c r="A19" s="546" t="s">
        <v>699</v>
      </c>
      <c r="B19" s="1531"/>
      <c r="C19" s="527" t="s">
        <v>659</v>
      </c>
      <c r="D19" s="898">
        <v>175</v>
      </c>
      <c r="E19" s="880">
        <v>0</v>
      </c>
      <c r="F19" s="881">
        <v>190</v>
      </c>
      <c r="G19" s="1156">
        <v>4</v>
      </c>
    </row>
    <row r="20" spans="1:7">
      <c r="A20" s="546" t="s">
        <v>710</v>
      </c>
      <c r="B20" s="527" t="s">
        <v>693</v>
      </c>
      <c r="C20" s="530"/>
      <c r="D20" s="888">
        <v>188</v>
      </c>
      <c r="E20" s="880">
        <v>2</v>
      </c>
      <c r="F20" s="1194">
        <v>205</v>
      </c>
      <c r="G20" s="890">
        <v>41</v>
      </c>
    </row>
    <row r="21" spans="1:7">
      <c r="A21" s="546"/>
      <c r="B21" s="527" t="s">
        <v>845</v>
      </c>
      <c r="C21" s="530"/>
      <c r="D21" s="898">
        <v>77</v>
      </c>
      <c r="E21" s="880">
        <v>0</v>
      </c>
      <c r="F21" s="881">
        <v>83</v>
      </c>
      <c r="G21" s="1156">
        <v>16</v>
      </c>
    </row>
    <row r="22" spans="1:7">
      <c r="A22" s="546" t="s">
        <v>846</v>
      </c>
      <c r="B22" s="527" t="s">
        <v>667</v>
      </c>
      <c r="C22" s="530"/>
      <c r="D22" s="898">
        <v>8</v>
      </c>
      <c r="E22" s="880">
        <v>0</v>
      </c>
      <c r="F22" s="881">
        <v>8</v>
      </c>
      <c r="G22" s="1156">
        <v>0</v>
      </c>
    </row>
    <row r="23" spans="1:7">
      <c r="A23" s="546" t="s">
        <v>699</v>
      </c>
      <c r="B23" s="527" t="s">
        <v>668</v>
      </c>
      <c r="C23" s="530"/>
      <c r="D23" s="898">
        <v>56</v>
      </c>
      <c r="E23" s="880">
        <v>0</v>
      </c>
      <c r="F23" s="881">
        <v>58</v>
      </c>
      <c r="G23" s="1156">
        <v>13</v>
      </c>
    </row>
    <row r="24" spans="1:7">
      <c r="A24" s="546" t="s">
        <v>847</v>
      </c>
      <c r="B24" s="527" t="s">
        <v>669</v>
      </c>
      <c r="C24" s="530"/>
      <c r="D24" s="898">
        <v>227</v>
      </c>
      <c r="E24" s="880">
        <v>4</v>
      </c>
      <c r="F24" s="881">
        <v>243</v>
      </c>
      <c r="G24" s="1156">
        <v>78</v>
      </c>
    </row>
    <row r="25" spans="1:7" ht="14.4" thickBot="1">
      <c r="A25" s="937"/>
      <c r="B25" s="547" t="s">
        <v>659</v>
      </c>
      <c r="C25" s="848"/>
      <c r="D25" s="892">
        <v>183</v>
      </c>
      <c r="E25" s="1153">
        <v>3</v>
      </c>
      <c r="F25" s="1195">
        <v>193</v>
      </c>
      <c r="G25" s="894">
        <v>30</v>
      </c>
    </row>
    <row r="26" spans="1:7" ht="14.4" thickBot="1">
      <c r="A26" s="516" t="s">
        <v>639</v>
      </c>
      <c r="B26" s="500"/>
      <c r="C26" s="548"/>
      <c r="D26" s="882">
        <v>9</v>
      </c>
      <c r="E26" s="1196">
        <v>2</v>
      </c>
      <c r="F26" s="1197">
        <v>9</v>
      </c>
      <c r="G26" s="1198">
        <v>3</v>
      </c>
    </row>
    <row r="27" spans="1:7" ht="14.4" thickBot="1">
      <c r="A27" s="549" t="s">
        <v>640</v>
      </c>
      <c r="B27" s="550"/>
      <c r="C27" s="550"/>
      <c r="D27" s="1199">
        <v>0</v>
      </c>
      <c r="E27" s="1200">
        <v>0</v>
      </c>
      <c r="F27" s="1201">
        <v>0</v>
      </c>
      <c r="G27" s="1202">
        <v>0</v>
      </c>
    </row>
    <row r="28" spans="1:7" s="1986" customFormat="1" ht="13.2">
      <c r="A28" s="1985" t="s">
        <v>953</v>
      </c>
      <c r="B28" s="1985"/>
      <c r="C28" s="1985"/>
      <c r="D28" s="1985"/>
      <c r="E28" s="1985"/>
      <c r="F28" s="1985"/>
      <c r="G28" s="1985"/>
    </row>
    <row r="29" spans="1:7" s="1986" customFormat="1" ht="13.2">
      <c r="A29" s="1986" t="s">
        <v>954</v>
      </c>
    </row>
  </sheetData>
  <mergeCells count="8">
    <mergeCell ref="B18:B19"/>
    <mergeCell ref="A28:G28"/>
    <mergeCell ref="C3:C4"/>
    <mergeCell ref="D3:D5"/>
    <mergeCell ref="E3:E5"/>
    <mergeCell ref="F3:F5"/>
    <mergeCell ref="G4:G5"/>
    <mergeCell ref="B9:B12"/>
  </mergeCells>
  <phoneticPr fontId="4"/>
  <printOptions horizontalCentered="1"/>
  <pageMargins left="0.78740157480314965" right="0.39370078740157483" top="0.98425196850393704" bottom="0.98425196850393704" header="0.31496062992125984" footer="0.51181102362204722"/>
  <pageSetup paperSize="9" orientation="portrait" r:id="rId1"/>
  <headerFooter scaleWithDoc="0" alignWithMargins="0">
    <oddFooter>&amp;C- &amp;P -</oddFooter>
  </headerFooter>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6F1B7-2F0F-49E4-BF8D-A576405D1896}">
  <sheetPr>
    <pageSetUpPr fitToPage="1"/>
  </sheetPr>
  <dimension ref="A1:Q34"/>
  <sheetViews>
    <sheetView view="pageBreakPreview" topLeftCell="A15" zoomScale="70" zoomScaleNormal="100" zoomScaleSheetLayoutView="70" workbookViewId="0">
      <selection activeCell="L76" sqref="L76"/>
    </sheetView>
  </sheetViews>
  <sheetFormatPr defaultColWidth="9" defaultRowHeight="13.8"/>
  <cols>
    <col min="1" max="1" width="8.21875" style="497" customWidth="1"/>
    <col min="2" max="2" width="7.109375" style="497" customWidth="1"/>
    <col min="3" max="5" width="8.33203125" style="497" customWidth="1"/>
    <col min="6" max="6" width="7.109375" style="497" customWidth="1"/>
    <col min="7" max="9" width="8.33203125" style="497" customWidth="1"/>
    <col min="10" max="10" width="7.109375" style="497" customWidth="1"/>
    <col min="11" max="13" width="8.33203125" style="497" customWidth="1"/>
    <col min="14" max="14" width="7.88671875" style="497" customWidth="1"/>
    <col min="15" max="17" width="8.33203125" style="497" customWidth="1"/>
    <col min="18" max="16384" width="9" style="497"/>
  </cols>
  <sheetData>
    <row r="1" spans="1:17" ht="15">
      <c r="A1" s="1765" t="s">
        <v>475</v>
      </c>
      <c r="B1" s="1765"/>
      <c r="C1" s="1765"/>
      <c r="D1" s="1765"/>
      <c r="E1" s="1765"/>
      <c r="F1" s="1765"/>
      <c r="G1" s="1765"/>
      <c r="H1" s="1765"/>
      <c r="I1" s="1765"/>
      <c r="J1" s="1765"/>
      <c r="K1" s="1765"/>
      <c r="L1" s="1765"/>
      <c r="M1" s="1765"/>
    </row>
    <row r="2" spans="1:17" ht="15.6" thickBot="1">
      <c r="A2" s="1810" t="s">
        <v>463</v>
      </c>
      <c r="B2" s="1810"/>
      <c r="C2" s="1810"/>
      <c r="D2" s="1810"/>
      <c r="E2" s="1810"/>
      <c r="F2" s="1810"/>
      <c r="G2" s="1810"/>
      <c r="H2" s="1810"/>
      <c r="I2" s="1810"/>
      <c r="J2" s="1810"/>
      <c r="K2" s="1810"/>
      <c r="L2" s="1810"/>
      <c r="M2" s="1810"/>
    </row>
    <row r="3" spans="1:17" ht="6" customHeight="1" thickBot="1">
      <c r="A3" s="1811" t="s">
        <v>491</v>
      </c>
      <c r="B3" s="1291" t="s">
        <v>603</v>
      </c>
      <c r="C3" s="1314"/>
      <c r="D3" s="1314"/>
      <c r="E3" s="1761" t="s">
        <v>641</v>
      </c>
      <c r="F3" s="1291" t="s">
        <v>836</v>
      </c>
      <c r="G3" s="1314"/>
      <c r="H3" s="1314"/>
      <c r="I3" s="1761" t="s">
        <v>644</v>
      </c>
      <c r="J3" s="1291" t="s">
        <v>605</v>
      </c>
      <c r="K3" s="1314"/>
      <c r="L3" s="1314"/>
      <c r="M3" s="1764" t="s">
        <v>644</v>
      </c>
      <c r="N3" s="1512"/>
      <c r="O3" s="1262"/>
      <c r="P3" s="1262"/>
      <c r="Q3" s="515"/>
    </row>
    <row r="4" spans="1:17">
      <c r="A4" s="1812"/>
      <c r="B4" s="1434"/>
      <c r="C4" s="1487"/>
      <c r="D4" s="1487"/>
      <c r="E4" s="1762"/>
      <c r="F4" s="1434"/>
      <c r="G4" s="1487"/>
      <c r="H4" s="1487"/>
      <c r="I4" s="1762"/>
      <c r="J4" s="1434"/>
      <c r="K4" s="1487"/>
      <c r="L4" s="1487"/>
      <c r="M4" s="1762"/>
      <c r="N4" s="1435" t="s">
        <v>606</v>
      </c>
      <c r="O4" s="1270"/>
      <c r="P4" s="1270"/>
      <c r="Q4" s="518" t="s">
        <v>644</v>
      </c>
    </row>
    <row r="5" spans="1:17">
      <c r="A5" s="956"/>
      <c r="B5" s="503" t="s">
        <v>752</v>
      </c>
      <c r="C5" s="505"/>
      <c r="D5" s="505"/>
      <c r="E5" s="505"/>
      <c r="F5" s="503" t="s">
        <v>752</v>
      </c>
      <c r="G5" s="505"/>
      <c r="H5" s="505"/>
      <c r="I5" s="505"/>
      <c r="J5" s="503" t="s">
        <v>752</v>
      </c>
      <c r="K5" s="505"/>
      <c r="L5" s="505"/>
      <c r="M5" s="506"/>
      <c r="N5" s="503" t="s">
        <v>752</v>
      </c>
      <c r="O5" s="505"/>
      <c r="P5" s="505"/>
      <c r="Q5" s="506"/>
    </row>
    <row r="6" spans="1:17" ht="14.4" thickBot="1">
      <c r="A6" s="942" t="s">
        <v>476</v>
      </c>
      <c r="B6" s="508"/>
      <c r="C6" s="511" t="s">
        <v>465</v>
      </c>
      <c r="D6" s="868" t="s">
        <v>466</v>
      </c>
      <c r="E6" s="868" t="s">
        <v>325</v>
      </c>
      <c r="F6" s="508"/>
      <c r="G6" s="511" t="s">
        <v>465</v>
      </c>
      <c r="H6" s="868" t="s">
        <v>466</v>
      </c>
      <c r="I6" s="868" t="s">
        <v>325</v>
      </c>
      <c r="J6" s="508"/>
      <c r="K6" s="511" t="s">
        <v>465</v>
      </c>
      <c r="L6" s="868" t="s">
        <v>466</v>
      </c>
      <c r="M6" s="869" t="s">
        <v>325</v>
      </c>
      <c r="N6" s="508"/>
      <c r="O6" s="511" t="s">
        <v>465</v>
      </c>
      <c r="P6" s="868" t="s">
        <v>466</v>
      </c>
      <c r="Q6" s="869" t="s">
        <v>325</v>
      </c>
    </row>
    <row r="7" spans="1:17" ht="24.9" customHeight="1">
      <c r="A7" s="870" t="s">
        <v>576</v>
      </c>
      <c r="B7" s="896">
        <f t="shared" ref="B7:B30" si="0">SUM(C7:E7)</f>
        <v>104</v>
      </c>
      <c r="C7" s="1151">
        <v>3</v>
      </c>
      <c r="D7" s="1151">
        <v>100</v>
      </c>
      <c r="E7" s="1154">
        <v>1</v>
      </c>
      <c r="F7" s="896">
        <f t="shared" ref="F7:F30" si="1">SUM(G7:I7)</f>
        <v>0</v>
      </c>
      <c r="G7" s="1151">
        <v>0</v>
      </c>
      <c r="H7" s="1151">
        <v>0</v>
      </c>
      <c r="I7" s="1155">
        <v>0</v>
      </c>
      <c r="J7" s="897">
        <f t="shared" ref="J7:J30" si="2">SUM(K7:M7)</f>
        <v>109</v>
      </c>
      <c r="K7" s="1151">
        <v>3</v>
      </c>
      <c r="L7" s="1151">
        <v>105</v>
      </c>
      <c r="M7" s="1155">
        <v>1</v>
      </c>
      <c r="N7" s="897">
        <f t="shared" ref="N7:N30" si="3">SUM(O7:Q7)</f>
        <v>17</v>
      </c>
      <c r="O7" s="1151">
        <v>0</v>
      </c>
      <c r="P7" s="1151">
        <v>16</v>
      </c>
      <c r="Q7" s="1155">
        <v>1</v>
      </c>
    </row>
    <row r="8" spans="1:17" ht="24.9" customHeight="1">
      <c r="A8" s="787" t="s">
        <v>577</v>
      </c>
      <c r="B8" s="953">
        <f t="shared" si="0"/>
        <v>23</v>
      </c>
      <c r="C8" s="954">
        <v>2</v>
      </c>
      <c r="D8" s="954">
        <v>20</v>
      </c>
      <c r="E8" s="955">
        <v>1</v>
      </c>
      <c r="F8" s="953">
        <f t="shared" si="1"/>
        <v>0</v>
      </c>
      <c r="G8" s="954">
        <v>0</v>
      </c>
      <c r="H8" s="954">
        <v>0</v>
      </c>
      <c r="I8" s="1191">
        <v>0</v>
      </c>
      <c r="J8" s="957">
        <f t="shared" si="2"/>
        <v>24</v>
      </c>
      <c r="K8" s="954">
        <v>2</v>
      </c>
      <c r="L8" s="954">
        <v>21</v>
      </c>
      <c r="M8" s="1191">
        <v>1</v>
      </c>
      <c r="N8" s="957">
        <f t="shared" si="3"/>
        <v>4</v>
      </c>
      <c r="O8" s="954">
        <v>1</v>
      </c>
      <c r="P8" s="954">
        <v>3</v>
      </c>
      <c r="Q8" s="1191">
        <v>0</v>
      </c>
    </row>
    <row r="9" spans="1:17" ht="24.9" customHeight="1">
      <c r="A9" s="787" t="s">
        <v>578</v>
      </c>
      <c r="B9" s="953">
        <f t="shared" si="0"/>
        <v>28</v>
      </c>
      <c r="C9" s="954">
        <v>2</v>
      </c>
      <c r="D9" s="954">
        <v>25</v>
      </c>
      <c r="E9" s="955">
        <v>1</v>
      </c>
      <c r="F9" s="953">
        <f t="shared" si="1"/>
        <v>1</v>
      </c>
      <c r="G9" s="954">
        <v>0</v>
      </c>
      <c r="H9" s="954">
        <v>0</v>
      </c>
      <c r="I9" s="1191">
        <v>1</v>
      </c>
      <c r="J9" s="957">
        <f t="shared" si="2"/>
        <v>28</v>
      </c>
      <c r="K9" s="954">
        <v>2</v>
      </c>
      <c r="L9" s="954">
        <v>26</v>
      </c>
      <c r="M9" s="1191">
        <v>0</v>
      </c>
      <c r="N9" s="957">
        <f t="shared" si="3"/>
        <v>7</v>
      </c>
      <c r="O9" s="954">
        <v>1</v>
      </c>
      <c r="P9" s="954">
        <v>6</v>
      </c>
      <c r="Q9" s="1191">
        <v>0</v>
      </c>
    </row>
    <row r="10" spans="1:17" ht="24.9" customHeight="1">
      <c r="A10" s="787" t="s">
        <v>580</v>
      </c>
      <c r="B10" s="953">
        <f t="shared" si="0"/>
        <v>19</v>
      </c>
      <c r="C10" s="954">
        <v>0</v>
      </c>
      <c r="D10" s="954">
        <v>17</v>
      </c>
      <c r="E10" s="955">
        <v>2</v>
      </c>
      <c r="F10" s="953">
        <f t="shared" si="1"/>
        <v>2</v>
      </c>
      <c r="G10" s="954">
        <v>0</v>
      </c>
      <c r="H10" s="954">
        <v>1</v>
      </c>
      <c r="I10" s="1191">
        <v>1</v>
      </c>
      <c r="J10" s="957">
        <f t="shared" si="2"/>
        <v>18</v>
      </c>
      <c r="K10" s="954">
        <v>0</v>
      </c>
      <c r="L10" s="954">
        <v>17</v>
      </c>
      <c r="M10" s="1191">
        <v>1</v>
      </c>
      <c r="N10" s="957">
        <f t="shared" si="3"/>
        <v>6</v>
      </c>
      <c r="O10" s="954">
        <v>0</v>
      </c>
      <c r="P10" s="954">
        <v>5</v>
      </c>
      <c r="Q10" s="1191">
        <v>1</v>
      </c>
    </row>
    <row r="11" spans="1:17" ht="24.9" customHeight="1">
      <c r="A11" s="787" t="s">
        <v>581</v>
      </c>
      <c r="B11" s="953">
        <f t="shared" si="0"/>
        <v>76</v>
      </c>
      <c r="C11" s="954">
        <v>4</v>
      </c>
      <c r="D11" s="954">
        <v>72</v>
      </c>
      <c r="E11" s="955">
        <v>0</v>
      </c>
      <c r="F11" s="953">
        <f t="shared" si="1"/>
        <v>0</v>
      </c>
      <c r="G11" s="954">
        <v>0</v>
      </c>
      <c r="H11" s="954">
        <v>0</v>
      </c>
      <c r="I11" s="1191">
        <v>0</v>
      </c>
      <c r="J11" s="957">
        <f t="shared" si="2"/>
        <v>82</v>
      </c>
      <c r="K11" s="954">
        <v>4</v>
      </c>
      <c r="L11" s="954">
        <v>78</v>
      </c>
      <c r="M11" s="1191">
        <v>0</v>
      </c>
      <c r="N11" s="957">
        <f t="shared" si="3"/>
        <v>21</v>
      </c>
      <c r="O11" s="954">
        <v>0</v>
      </c>
      <c r="P11" s="954">
        <v>21</v>
      </c>
      <c r="Q11" s="1191">
        <v>0</v>
      </c>
    </row>
    <row r="12" spans="1:17" ht="24.9" customHeight="1">
      <c r="A12" s="787" t="s">
        <v>582</v>
      </c>
      <c r="B12" s="953">
        <f t="shared" si="0"/>
        <v>32</v>
      </c>
      <c r="C12" s="954">
        <v>0</v>
      </c>
      <c r="D12" s="954">
        <v>32</v>
      </c>
      <c r="E12" s="955">
        <v>0</v>
      </c>
      <c r="F12" s="953">
        <f t="shared" si="1"/>
        <v>0</v>
      </c>
      <c r="G12" s="954">
        <v>0</v>
      </c>
      <c r="H12" s="954">
        <v>0</v>
      </c>
      <c r="I12" s="1191">
        <v>0</v>
      </c>
      <c r="J12" s="957">
        <f t="shared" si="2"/>
        <v>33</v>
      </c>
      <c r="K12" s="954">
        <v>0</v>
      </c>
      <c r="L12" s="954">
        <v>33</v>
      </c>
      <c r="M12" s="1191">
        <v>0</v>
      </c>
      <c r="N12" s="957">
        <f t="shared" si="3"/>
        <v>6</v>
      </c>
      <c r="O12" s="954">
        <v>0</v>
      </c>
      <c r="P12" s="954">
        <v>6</v>
      </c>
      <c r="Q12" s="1191">
        <v>0</v>
      </c>
    </row>
    <row r="13" spans="1:17" ht="24.9" customHeight="1">
      <c r="A13" s="787" t="s">
        <v>583</v>
      </c>
      <c r="B13" s="898">
        <f t="shared" si="0"/>
        <v>25</v>
      </c>
      <c r="C13" s="880">
        <v>1</v>
      </c>
      <c r="D13" s="880">
        <v>24</v>
      </c>
      <c r="E13" s="881">
        <v>0</v>
      </c>
      <c r="F13" s="898">
        <f t="shared" si="1"/>
        <v>0</v>
      </c>
      <c r="G13" s="880">
        <v>0</v>
      </c>
      <c r="H13" s="880">
        <v>0</v>
      </c>
      <c r="I13" s="1156">
        <v>0</v>
      </c>
      <c r="J13" s="899">
        <f t="shared" si="2"/>
        <v>27</v>
      </c>
      <c r="K13" s="880">
        <v>1</v>
      </c>
      <c r="L13" s="880">
        <v>26</v>
      </c>
      <c r="M13" s="1156">
        <v>0</v>
      </c>
      <c r="N13" s="899">
        <f t="shared" si="3"/>
        <v>5</v>
      </c>
      <c r="O13" s="880">
        <v>0</v>
      </c>
      <c r="P13" s="880">
        <v>5</v>
      </c>
      <c r="Q13" s="1156">
        <v>0</v>
      </c>
    </row>
    <row r="14" spans="1:17" ht="24.9" customHeight="1">
      <c r="A14" s="787" t="s">
        <v>584</v>
      </c>
      <c r="B14" s="898">
        <f t="shared" si="0"/>
        <v>16</v>
      </c>
      <c r="C14" s="880">
        <v>0</v>
      </c>
      <c r="D14" s="880">
        <v>16</v>
      </c>
      <c r="E14" s="881">
        <v>0</v>
      </c>
      <c r="F14" s="898">
        <f t="shared" si="1"/>
        <v>0</v>
      </c>
      <c r="G14" s="880">
        <v>0</v>
      </c>
      <c r="H14" s="880">
        <v>0</v>
      </c>
      <c r="I14" s="1156">
        <v>0</v>
      </c>
      <c r="J14" s="899">
        <f t="shared" si="2"/>
        <v>17</v>
      </c>
      <c r="K14" s="880">
        <v>0</v>
      </c>
      <c r="L14" s="880">
        <v>17</v>
      </c>
      <c r="M14" s="1156">
        <v>0</v>
      </c>
      <c r="N14" s="899">
        <f t="shared" si="3"/>
        <v>4</v>
      </c>
      <c r="O14" s="880">
        <v>0</v>
      </c>
      <c r="P14" s="880">
        <v>4</v>
      </c>
      <c r="Q14" s="1156">
        <v>0</v>
      </c>
    </row>
    <row r="15" spans="1:17" ht="24.9" customHeight="1">
      <c r="A15" s="787" t="s">
        <v>585</v>
      </c>
      <c r="B15" s="898">
        <f t="shared" si="0"/>
        <v>20</v>
      </c>
      <c r="C15" s="880">
        <v>0</v>
      </c>
      <c r="D15" s="880">
        <v>20</v>
      </c>
      <c r="E15" s="881">
        <v>0</v>
      </c>
      <c r="F15" s="898">
        <f t="shared" si="1"/>
        <v>0</v>
      </c>
      <c r="G15" s="880">
        <v>0</v>
      </c>
      <c r="H15" s="880">
        <v>0</v>
      </c>
      <c r="I15" s="1156">
        <v>0</v>
      </c>
      <c r="J15" s="899">
        <f t="shared" si="2"/>
        <v>23</v>
      </c>
      <c r="K15" s="880">
        <v>0</v>
      </c>
      <c r="L15" s="880">
        <v>23</v>
      </c>
      <c r="M15" s="1156">
        <v>0</v>
      </c>
      <c r="N15" s="899">
        <f t="shared" si="3"/>
        <v>1</v>
      </c>
      <c r="O15" s="880">
        <v>0</v>
      </c>
      <c r="P15" s="880">
        <v>1</v>
      </c>
      <c r="Q15" s="1156">
        <v>0</v>
      </c>
    </row>
    <row r="16" spans="1:17" ht="24.9" customHeight="1">
      <c r="A16" s="787" t="s">
        <v>586</v>
      </c>
      <c r="B16" s="898">
        <f t="shared" si="0"/>
        <v>37</v>
      </c>
      <c r="C16" s="880">
        <v>1</v>
      </c>
      <c r="D16" s="880">
        <v>36</v>
      </c>
      <c r="E16" s="881">
        <v>0</v>
      </c>
      <c r="F16" s="898">
        <f t="shared" si="1"/>
        <v>0</v>
      </c>
      <c r="G16" s="880">
        <v>0</v>
      </c>
      <c r="H16" s="880">
        <v>0</v>
      </c>
      <c r="I16" s="1156">
        <v>0</v>
      </c>
      <c r="J16" s="899">
        <f t="shared" si="2"/>
        <v>39</v>
      </c>
      <c r="K16" s="880">
        <v>1</v>
      </c>
      <c r="L16" s="880">
        <v>38</v>
      </c>
      <c r="M16" s="1156">
        <v>0</v>
      </c>
      <c r="N16" s="899">
        <f t="shared" si="3"/>
        <v>7</v>
      </c>
      <c r="O16" s="880">
        <v>0</v>
      </c>
      <c r="P16" s="880">
        <v>7</v>
      </c>
      <c r="Q16" s="1156">
        <v>0</v>
      </c>
    </row>
    <row r="17" spans="1:17" ht="24.9" customHeight="1">
      <c r="A17" s="787" t="s">
        <v>749</v>
      </c>
      <c r="B17" s="898">
        <f t="shared" si="0"/>
        <v>39</v>
      </c>
      <c r="C17" s="880">
        <v>2</v>
      </c>
      <c r="D17" s="880">
        <v>37</v>
      </c>
      <c r="E17" s="881">
        <v>0</v>
      </c>
      <c r="F17" s="898">
        <f t="shared" si="1"/>
        <v>2</v>
      </c>
      <c r="G17" s="880">
        <v>0</v>
      </c>
      <c r="H17" s="880">
        <v>2</v>
      </c>
      <c r="I17" s="1156">
        <v>0</v>
      </c>
      <c r="J17" s="899">
        <f t="shared" si="2"/>
        <v>37</v>
      </c>
      <c r="K17" s="880">
        <v>2</v>
      </c>
      <c r="L17" s="880">
        <v>35</v>
      </c>
      <c r="M17" s="1156">
        <v>0</v>
      </c>
      <c r="N17" s="899">
        <f t="shared" si="3"/>
        <v>5</v>
      </c>
      <c r="O17" s="880">
        <v>1</v>
      </c>
      <c r="P17" s="880">
        <v>4</v>
      </c>
      <c r="Q17" s="1156">
        <v>0</v>
      </c>
    </row>
    <row r="18" spans="1:17" ht="24.9" customHeight="1">
      <c r="A18" s="787" t="s">
        <v>588</v>
      </c>
      <c r="B18" s="898">
        <f t="shared" si="0"/>
        <v>79</v>
      </c>
      <c r="C18" s="880">
        <v>2</v>
      </c>
      <c r="D18" s="880">
        <v>76</v>
      </c>
      <c r="E18" s="881">
        <v>1</v>
      </c>
      <c r="F18" s="898">
        <f t="shared" si="1"/>
        <v>2</v>
      </c>
      <c r="G18" s="880">
        <v>0</v>
      </c>
      <c r="H18" s="880">
        <v>2</v>
      </c>
      <c r="I18" s="1156">
        <v>0</v>
      </c>
      <c r="J18" s="899">
        <f t="shared" si="2"/>
        <v>85</v>
      </c>
      <c r="K18" s="880">
        <v>2</v>
      </c>
      <c r="L18" s="880">
        <v>81</v>
      </c>
      <c r="M18" s="1156">
        <v>2</v>
      </c>
      <c r="N18" s="899">
        <f t="shared" si="3"/>
        <v>25</v>
      </c>
      <c r="O18" s="880">
        <v>1</v>
      </c>
      <c r="P18" s="880">
        <v>24</v>
      </c>
      <c r="Q18" s="1156">
        <v>0</v>
      </c>
    </row>
    <row r="19" spans="1:17" ht="24.9" customHeight="1">
      <c r="A19" s="787" t="s">
        <v>750</v>
      </c>
      <c r="B19" s="898">
        <f t="shared" si="0"/>
        <v>73</v>
      </c>
      <c r="C19" s="880">
        <v>1</v>
      </c>
      <c r="D19" s="880">
        <v>72</v>
      </c>
      <c r="E19" s="881">
        <v>0</v>
      </c>
      <c r="F19" s="898">
        <f t="shared" si="1"/>
        <v>0</v>
      </c>
      <c r="G19" s="880">
        <v>0</v>
      </c>
      <c r="H19" s="880">
        <v>0</v>
      </c>
      <c r="I19" s="1156">
        <v>0</v>
      </c>
      <c r="J19" s="899">
        <f t="shared" si="2"/>
        <v>87</v>
      </c>
      <c r="K19" s="880">
        <v>1</v>
      </c>
      <c r="L19" s="880">
        <v>86</v>
      </c>
      <c r="M19" s="1156">
        <v>0</v>
      </c>
      <c r="N19" s="899">
        <f t="shared" si="3"/>
        <v>15</v>
      </c>
      <c r="O19" s="880">
        <v>0</v>
      </c>
      <c r="P19" s="880">
        <v>15</v>
      </c>
      <c r="Q19" s="1156">
        <v>0</v>
      </c>
    </row>
    <row r="20" spans="1:17" ht="24.9" customHeight="1">
      <c r="A20" s="787" t="s">
        <v>590</v>
      </c>
      <c r="B20" s="898">
        <f t="shared" si="0"/>
        <v>30</v>
      </c>
      <c r="C20" s="880">
        <v>1</v>
      </c>
      <c r="D20" s="880">
        <v>28</v>
      </c>
      <c r="E20" s="881">
        <v>1</v>
      </c>
      <c r="F20" s="898">
        <f t="shared" si="1"/>
        <v>0</v>
      </c>
      <c r="G20" s="880">
        <v>0</v>
      </c>
      <c r="H20" s="880">
        <v>0</v>
      </c>
      <c r="I20" s="1156">
        <v>0</v>
      </c>
      <c r="J20" s="899">
        <f t="shared" si="2"/>
        <v>38</v>
      </c>
      <c r="K20" s="880">
        <v>1</v>
      </c>
      <c r="L20" s="880">
        <v>35</v>
      </c>
      <c r="M20" s="1156">
        <v>2</v>
      </c>
      <c r="N20" s="899">
        <f t="shared" si="3"/>
        <v>4</v>
      </c>
      <c r="O20" s="880">
        <v>0</v>
      </c>
      <c r="P20" s="880">
        <v>4</v>
      </c>
      <c r="Q20" s="1156">
        <v>0</v>
      </c>
    </row>
    <row r="21" spans="1:17" ht="24.9" customHeight="1">
      <c r="A21" s="787" t="s">
        <v>591</v>
      </c>
      <c r="B21" s="898">
        <f t="shared" si="0"/>
        <v>41</v>
      </c>
      <c r="C21" s="880">
        <v>1</v>
      </c>
      <c r="D21" s="880">
        <v>40</v>
      </c>
      <c r="E21" s="881">
        <v>0</v>
      </c>
      <c r="F21" s="898">
        <f t="shared" si="1"/>
        <v>0</v>
      </c>
      <c r="G21" s="880">
        <v>0</v>
      </c>
      <c r="H21" s="880">
        <v>0</v>
      </c>
      <c r="I21" s="1156">
        <v>0</v>
      </c>
      <c r="J21" s="899">
        <f t="shared" si="2"/>
        <v>45</v>
      </c>
      <c r="K21" s="880">
        <v>1</v>
      </c>
      <c r="L21" s="880">
        <v>44</v>
      </c>
      <c r="M21" s="1156">
        <v>0</v>
      </c>
      <c r="N21" s="899">
        <f t="shared" si="3"/>
        <v>13</v>
      </c>
      <c r="O21" s="880">
        <v>0</v>
      </c>
      <c r="P21" s="880">
        <v>13</v>
      </c>
      <c r="Q21" s="1156">
        <v>0</v>
      </c>
    </row>
    <row r="22" spans="1:17" ht="24.9" customHeight="1">
      <c r="A22" s="787" t="s">
        <v>592</v>
      </c>
      <c r="B22" s="898">
        <f t="shared" si="0"/>
        <v>17</v>
      </c>
      <c r="C22" s="880">
        <v>2</v>
      </c>
      <c r="D22" s="880">
        <v>15</v>
      </c>
      <c r="E22" s="881">
        <v>0</v>
      </c>
      <c r="F22" s="898">
        <f t="shared" si="1"/>
        <v>0</v>
      </c>
      <c r="G22" s="880">
        <v>0</v>
      </c>
      <c r="H22" s="880">
        <v>0</v>
      </c>
      <c r="I22" s="1156">
        <v>0</v>
      </c>
      <c r="J22" s="899">
        <f t="shared" si="2"/>
        <v>19</v>
      </c>
      <c r="K22" s="880">
        <v>2</v>
      </c>
      <c r="L22" s="880">
        <v>17</v>
      </c>
      <c r="M22" s="1156">
        <v>0</v>
      </c>
      <c r="N22" s="899">
        <f t="shared" si="3"/>
        <v>2</v>
      </c>
      <c r="O22" s="880">
        <v>1</v>
      </c>
      <c r="P22" s="880">
        <v>1</v>
      </c>
      <c r="Q22" s="1156">
        <v>0</v>
      </c>
    </row>
    <row r="23" spans="1:17" ht="24.9" customHeight="1">
      <c r="A23" s="787" t="s">
        <v>593</v>
      </c>
      <c r="B23" s="898">
        <f t="shared" si="0"/>
        <v>61</v>
      </c>
      <c r="C23" s="880">
        <v>2</v>
      </c>
      <c r="D23" s="880">
        <v>59</v>
      </c>
      <c r="E23" s="881">
        <v>0</v>
      </c>
      <c r="F23" s="898">
        <f t="shared" si="1"/>
        <v>1</v>
      </c>
      <c r="G23" s="880">
        <v>0</v>
      </c>
      <c r="H23" s="880">
        <v>1</v>
      </c>
      <c r="I23" s="1156">
        <v>0</v>
      </c>
      <c r="J23" s="899">
        <f t="shared" si="2"/>
        <v>63</v>
      </c>
      <c r="K23" s="880">
        <v>2</v>
      </c>
      <c r="L23" s="880">
        <v>61</v>
      </c>
      <c r="M23" s="1156">
        <v>0</v>
      </c>
      <c r="N23" s="899">
        <f t="shared" si="3"/>
        <v>6</v>
      </c>
      <c r="O23" s="880">
        <v>0</v>
      </c>
      <c r="P23" s="880">
        <v>6</v>
      </c>
      <c r="Q23" s="1156">
        <v>0</v>
      </c>
    </row>
    <row r="24" spans="1:17" ht="24.9" customHeight="1">
      <c r="A24" s="787" t="s">
        <v>594</v>
      </c>
      <c r="B24" s="898">
        <f t="shared" si="0"/>
        <v>45</v>
      </c>
      <c r="C24" s="880">
        <v>0</v>
      </c>
      <c r="D24" s="880">
        <v>44</v>
      </c>
      <c r="E24" s="881">
        <v>1</v>
      </c>
      <c r="F24" s="898">
        <f t="shared" si="1"/>
        <v>1</v>
      </c>
      <c r="G24" s="880">
        <v>0</v>
      </c>
      <c r="H24" s="880">
        <v>1</v>
      </c>
      <c r="I24" s="1156">
        <v>0</v>
      </c>
      <c r="J24" s="899">
        <f t="shared" si="2"/>
        <v>46</v>
      </c>
      <c r="K24" s="880">
        <v>0</v>
      </c>
      <c r="L24" s="880">
        <v>45</v>
      </c>
      <c r="M24" s="1156">
        <v>1</v>
      </c>
      <c r="N24" s="899">
        <f t="shared" si="3"/>
        <v>8</v>
      </c>
      <c r="O24" s="880">
        <v>0</v>
      </c>
      <c r="P24" s="880">
        <v>7</v>
      </c>
      <c r="Q24" s="1156">
        <v>1</v>
      </c>
    </row>
    <row r="25" spans="1:17" ht="24.9" customHeight="1">
      <c r="A25" s="787" t="s">
        <v>595</v>
      </c>
      <c r="B25" s="898">
        <f t="shared" si="0"/>
        <v>37</v>
      </c>
      <c r="C25" s="880">
        <v>0</v>
      </c>
      <c r="D25" s="880">
        <v>37</v>
      </c>
      <c r="E25" s="881">
        <v>0</v>
      </c>
      <c r="F25" s="898">
        <f t="shared" si="1"/>
        <v>0</v>
      </c>
      <c r="G25" s="880">
        <v>0</v>
      </c>
      <c r="H25" s="880">
        <v>0</v>
      </c>
      <c r="I25" s="1156">
        <v>0</v>
      </c>
      <c r="J25" s="899">
        <f t="shared" si="2"/>
        <v>42</v>
      </c>
      <c r="K25" s="880">
        <v>0</v>
      </c>
      <c r="L25" s="880">
        <v>42</v>
      </c>
      <c r="M25" s="1156">
        <v>0</v>
      </c>
      <c r="N25" s="899">
        <f t="shared" si="3"/>
        <v>5</v>
      </c>
      <c r="O25" s="880">
        <v>0</v>
      </c>
      <c r="P25" s="880">
        <v>5</v>
      </c>
      <c r="Q25" s="1156">
        <v>0</v>
      </c>
    </row>
    <row r="26" spans="1:17" ht="24.9" customHeight="1">
      <c r="A26" s="787" t="s">
        <v>596</v>
      </c>
      <c r="B26" s="898">
        <f t="shared" si="0"/>
        <v>36</v>
      </c>
      <c r="C26" s="880">
        <v>1</v>
      </c>
      <c r="D26" s="880">
        <v>34</v>
      </c>
      <c r="E26" s="881">
        <v>1</v>
      </c>
      <c r="F26" s="898">
        <f t="shared" si="1"/>
        <v>3</v>
      </c>
      <c r="G26" s="880">
        <v>0</v>
      </c>
      <c r="H26" s="880">
        <v>3</v>
      </c>
      <c r="I26" s="1156">
        <v>0</v>
      </c>
      <c r="J26" s="899">
        <f t="shared" si="2"/>
        <v>38</v>
      </c>
      <c r="K26" s="880">
        <v>1</v>
      </c>
      <c r="L26" s="880">
        <v>36</v>
      </c>
      <c r="M26" s="1156">
        <v>1</v>
      </c>
      <c r="N26" s="899">
        <f t="shared" si="3"/>
        <v>10</v>
      </c>
      <c r="O26" s="880">
        <v>0</v>
      </c>
      <c r="P26" s="880">
        <v>10</v>
      </c>
      <c r="Q26" s="1156">
        <v>0</v>
      </c>
    </row>
    <row r="27" spans="1:17" ht="24.9" customHeight="1">
      <c r="A27" s="787" t="s">
        <v>597</v>
      </c>
      <c r="B27" s="898">
        <f t="shared" si="0"/>
        <v>29</v>
      </c>
      <c r="C27" s="880">
        <v>1</v>
      </c>
      <c r="D27" s="880">
        <v>28</v>
      </c>
      <c r="E27" s="881">
        <v>0</v>
      </c>
      <c r="F27" s="898">
        <f t="shared" si="1"/>
        <v>0</v>
      </c>
      <c r="G27" s="880">
        <v>0</v>
      </c>
      <c r="H27" s="880">
        <v>0</v>
      </c>
      <c r="I27" s="1156">
        <v>0</v>
      </c>
      <c r="J27" s="899">
        <f t="shared" si="2"/>
        <v>29</v>
      </c>
      <c r="K27" s="880">
        <v>1</v>
      </c>
      <c r="L27" s="880">
        <v>28</v>
      </c>
      <c r="M27" s="1156">
        <v>0</v>
      </c>
      <c r="N27" s="899">
        <f t="shared" si="3"/>
        <v>6</v>
      </c>
      <c r="O27" s="880">
        <v>0</v>
      </c>
      <c r="P27" s="880">
        <v>6</v>
      </c>
      <c r="Q27" s="1156">
        <v>0</v>
      </c>
    </row>
    <row r="28" spans="1:17" ht="24.9" customHeight="1">
      <c r="A28" s="787" t="s">
        <v>751</v>
      </c>
      <c r="B28" s="898">
        <f t="shared" si="0"/>
        <v>36</v>
      </c>
      <c r="C28" s="880">
        <v>1</v>
      </c>
      <c r="D28" s="880">
        <v>35</v>
      </c>
      <c r="E28" s="881">
        <v>0</v>
      </c>
      <c r="F28" s="898">
        <f t="shared" si="1"/>
        <v>0</v>
      </c>
      <c r="G28" s="880">
        <v>0</v>
      </c>
      <c r="H28" s="880">
        <v>0</v>
      </c>
      <c r="I28" s="1156">
        <v>0</v>
      </c>
      <c r="J28" s="899">
        <f t="shared" si="2"/>
        <v>41</v>
      </c>
      <c r="K28" s="880">
        <v>1</v>
      </c>
      <c r="L28" s="880">
        <v>40</v>
      </c>
      <c r="M28" s="1156">
        <v>0</v>
      </c>
      <c r="N28" s="899">
        <f t="shared" si="3"/>
        <v>9</v>
      </c>
      <c r="O28" s="880">
        <v>1</v>
      </c>
      <c r="P28" s="880">
        <v>8</v>
      </c>
      <c r="Q28" s="1156">
        <v>0</v>
      </c>
    </row>
    <row r="29" spans="1:17" ht="24.9" customHeight="1">
      <c r="A29" s="787" t="s">
        <v>599</v>
      </c>
      <c r="B29" s="898">
        <f t="shared" si="0"/>
        <v>50</v>
      </c>
      <c r="C29" s="880">
        <v>1</v>
      </c>
      <c r="D29" s="880">
        <v>49</v>
      </c>
      <c r="E29" s="881">
        <v>0</v>
      </c>
      <c r="F29" s="898">
        <f t="shared" si="1"/>
        <v>0</v>
      </c>
      <c r="G29" s="880">
        <v>0</v>
      </c>
      <c r="H29" s="880">
        <v>0</v>
      </c>
      <c r="I29" s="1156">
        <v>0</v>
      </c>
      <c r="J29" s="899">
        <f t="shared" si="2"/>
        <v>54</v>
      </c>
      <c r="K29" s="880">
        <v>1</v>
      </c>
      <c r="L29" s="880">
        <v>53</v>
      </c>
      <c r="M29" s="1156">
        <v>0</v>
      </c>
      <c r="N29" s="899">
        <f t="shared" si="3"/>
        <v>10</v>
      </c>
      <c r="O29" s="880">
        <v>0</v>
      </c>
      <c r="P29" s="880">
        <v>10</v>
      </c>
      <c r="Q29" s="1156">
        <v>0</v>
      </c>
    </row>
    <row r="30" spans="1:17" ht="24.9" customHeight="1" thickBot="1">
      <c r="A30" s="503" t="s">
        <v>600</v>
      </c>
      <c r="B30" s="900">
        <f t="shared" si="0"/>
        <v>29</v>
      </c>
      <c r="C30" s="1153">
        <v>2</v>
      </c>
      <c r="D30" s="1153">
        <v>27</v>
      </c>
      <c r="E30" s="1157">
        <v>0</v>
      </c>
      <c r="F30" s="900">
        <f t="shared" si="1"/>
        <v>0</v>
      </c>
      <c r="G30" s="1153">
        <v>0</v>
      </c>
      <c r="H30" s="1153">
        <v>0</v>
      </c>
      <c r="I30" s="1158">
        <v>0</v>
      </c>
      <c r="J30" s="901">
        <f t="shared" si="2"/>
        <v>30</v>
      </c>
      <c r="K30" s="1153">
        <v>2</v>
      </c>
      <c r="L30" s="1153">
        <v>28</v>
      </c>
      <c r="M30" s="1158">
        <v>0</v>
      </c>
      <c r="N30" s="901">
        <f t="shared" si="3"/>
        <v>1</v>
      </c>
      <c r="O30" s="1153">
        <v>0</v>
      </c>
      <c r="P30" s="1153">
        <v>1</v>
      </c>
      <c r="Q30" s="1158">
        <v>0</v>
      </c>
    </row>
    <row r="31" spans="1:17" ht="24.9" customHeight="1" thickBot="1">
      <c r="A31" s="788" t="s">
        <v>635</v>
      </c>
      <c r="B31" s="906">
        <f t="shared" ref="B31:Q31" si="4">SUM(B7:B30)</f>
        <v>982</v>
      </c>
      <c r="C31" s="958">
        <f t="shared" si="4"/>
        <v>30</v>
      </c>
      <c r="D31" s="958">
        <f t="shared" si="4"/>
        <v>943</v>
      </c>
      <c r="E31" s="959">
        <f t="shared" si="4"/>
        <v>9</v>
      </c>
      <c r="F31" s="906">
        <f t="shared" si="4"/>
        <v>12</v>
      </c>
      <c r="G31" s="958">
        <f t="shared" si="4"/>
        <v>0</v>
      </c>
      <c r="H31" s="958">
        <f t="shared" si="4"/>
        <v>10</v>
      </c>
      <c r="I31" s="960">
        <f t="shared" si="4"/>
        <v>2</v>
      </c>
      <c r="J31" s="907">
        <f t="shared" si="4"/>
        <v>1054</v>
      </c>
      <c r="K31" s="958">
        <f t="shared" si="4"/>
        <v>30</v>
      </c>
      <c r="L31" s="958">
        <f t="shared" si="4"/>
        <v>1015</v>
      </c>
      <c r="M31" s="960">
        <f t="shared" si="4"/>
        <v>9</v>
      </c>
      <c r="N31" s="907">
        <f t="shared" si="4"/>
        <v>197</v>
      </c>
      <c r="O31" s="958">
        <f t="shared" si="4"/>
        <v>6</v>
      </c>
      <c r="P31" s="958">
        <f t="shared" si="4"/>
        <v>188</v>
      </c>
      <c r="Q31" s="960">
        <f t="shared" si="4"/>
        <v>3</v>
      </c>
    </row>
    <row r="32" spans="1:17" s="1887" customFormat="1" ht="21" customHeight="1">
      <c r="A32" s="1885" t="s">
        <v>949</v>
      </c>
    </row>
    <row r="33" spans="1:13" s="1887" customFormat="1" ht="21" customHeight="1">
      <c r="A33" s="1887" t="s">
        <v>916</v>
      </c>
    </row>
    <row r="34" spans="1:13">
      <c r="A34" s="502"/>
      <c r="B34" s="502"/>
      <c r="C34" s="502"/>
      <c r="D34" s="502"/>
      <c r="E34" s="502"/>
      <c r="F34" s="502"/>
      <c r="G34" s="502"/>
      <c r="H34" s="502"/>
      <c r="I34" s="502"/>
      <c r="J34" s="502"/>
      <c r="K34" s="502"/>
      <c r="L34" s="502"/>
      <c r="M34" s="502"/>
    </row>
  </sheetData>
  <mergeCells count="11">
    <mergeCell ref="N3:P3"/>
    <mergeCell ref="N4:P4"/>
    <mergeCell ref="A1:M1"/>
    <mergeCell ref="A2:M2"/>
    <mergeCell ref="A3:A4"/>
    <mergeCell ref="B3:D4"/>
    <mergeCell ref="E3:E4"/>
    <mergeCell ref="F3:H4"/>
    <mergeCell ref="I3:I4"/>
    <mergeCell ref="J3:L4"/>
    <mergeCell ref="M3:M4"/>
  </mergeCells>
  <phoneticPr fontId="4"/>
  <printOptions horizontalCentered="1"/>
  <pageMargins left="0.78740157480314965" right="0.39370078740157483" top="0.98425196850393704" bottom="0.98425196850393704" header="0.31496062992125984" footer="0.51181102362204722"/>
  <pageSetup paperSize="9" scale="65" orientation="portrait" r:id="rId1"/>
  <headerFooter scaleWithDoc="0" alignWithMargins="0">
    <oddFooter>&amp;C- &amp;P -</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0388C1-C58A-426D-90AD-8279EB2C2ECD}">
  <sheetPr>
    <pageSetUpPr fitToPage="1"/>
  </sheetPr>
  <dimension ref="A1:I65"/>
  <sheetViews>
    <sheetView view="pageBreakPreview" zoomScaleNormal="100" zoomScaleSheetLayoutView="100" workbookViewId="0">
      <pane ySplit="6" topLeftCell="A49" activePane="bottomLeft" state="frozen"/>
      <selection activeCell="L76" sqref="L76"/>
      <selection pane="bottomLeft" activeCell="D65" sqref="D65"/>
    </sheetView>
  </sheetViews>
  <sheetFormatPr defaultColWidth="9" defaultRowHeight="13.8"/>
  <cols>
    <col min="1" max="1" width="9.77734375" style="445" customWidth="1"/>
    <col min="2" max="2" width="16.44140625" style="445" customWidth="1"/>
    <col min="3" max="3" width="10.21875" style="445" customWidth="1"/>
    <col min="4" max="6" width="14.109375" style="445" customWidth="1"/>
    <col min="7" max="16384" width="9" style="445"/>
  </cols>
  <sheetData>
    <row r="1" spans="1:6" ht="16.8">
      <c r="A1" s="450" t="s">
        <v>132</v>
      </c>
      <c r="B1" s="468"/>
      <c r="C1" s="468"/>
      <c r="D1" s="468"/>
      <c r="E1" s="468"/>
    </row>
    <row r="3" spans="1:6" s="468" customFormat="1" ht="17.399999999999999" thickBot="1">
      <c r="A3" s="469" t="s">
        <v>133</v>
      </c>
    </row>
    <row r="4" spans="1:6">
      <c r="A4" s="470" t="s">
        <v>45</v>
      </c>
      <c r="B4" s="1262" t="s">
        <v>134</v>
      </c>
      <c r="C4" s="1266"/>
      <c r="D4" s="1269" t="s">
        <v>135</v>
      </c>
      <c r="E4" s="1270"/>
      <c r="F4" s="1364"/>
    </row>
    <row r="5" spans="1:6" ht="5.25" customHeight="1">
      <c r="A5" s="471"/>
      <c r="B5" s="454"/>
      <c r="C5" s="1323" t="s">
        <v>136</v>
      </c>
      <c r="D5" s="1323" t="s">
        <v>50</v>
      </c>
      <c r="E5" s="1325" t="s">
        <v>137</v>
      </c>
      <c r="F5" s="456"/>
    </row>
    <row r="6" spans="1:6" ht="14.4" thickBot="1">
      <c r="A6" s="453" t="s">
        <v>52</v>
      </c>
      <c r="B6" s="455" t="s">
        <v>138</v>
      </c>
      <c r="C6" s="1324"/>
      <c r="D6" s="1324"/>
      <c r="E6" s="1328"/>
      <c r="F6" s="446" t="s">
        <v>139</v>
      </c>
    </row>
    <row r="7" spans="1:6">
      <c r="A7" s="452" t="s">
        <v>54</v>
      </c>
      <c r="B7" s="449">
        <v>2980487</v>
      </c>
      <c r="C7" s="451">
        <v>100</v>
      </c>
      <c r="D7" s="472">
        <f>100000*280/B7</f>
        <v>9.3944378888416562</v>
      </c>
      <c r="E7" s="457">
        <f>100000*34642/B7</f>
        <v>1162.2932762330452</v>
      </c>
      <c r="F7" s="458">
        <f>100000*2904/B7</f>
        <v>97.433741532843456</v>
      </c>
    </row>
    <row r="8" spans="1:6">
      <c r="A8" s="473" t="s">
        <v>54</v>
      </c>
      <c r="B8" s="447">
        <v>2942404</v>
      </c>
      <c r="C8" s="465">
        <f>B8*100/B7</f>
        <v>98.722255792425869</v>
      </c>
      <c r="D8" s="465">
        <f>100000*222/B8</f>
        <v>7.5448510809528537</v>
      </c>
      <c r="E8" s="459">
        <f>100000*31519/B8</f>
        <v>1071.1989244169054</v>
      </c>
      <c r="F8" s="460">
        <f>100000*2744/B8</f>
        <v>93.257078225831663</v>
      </c>
    </row>
    <row r="9" spans="1:6">
      <c r="A9" s="452" t="s">
        <v>57</v>
      </c>
      <c r="B9" s="449">
        <v>2894509</v>
      </c>
      <c r="C9" s="465">
        <f>B9*100/B7</f>
        <v>97.115303639975622</v>
      </c>
      <c r="D9" s="465">
        <f>100000*228/B9</f>
        <v>7.876983626583991</v>
      </c>
      <c r="E9" s="474">
        <f>100000*27240/B9</f>
        <v>941.09225433398205</v>
      </c>
      <c r="F9" s="475">
        <f>100000*2392/B9</f>
        <v>82.639231731530288</v>
      </c>
    </row>
    <row r="10" spans="1:6">
      <c r="A10" s="473" t="s">
        <v>58</v>
      </c>
      <c r="B10" s="447">
        <v>2849102</v>
      </c>
      <c r="C10" s="465">
        <f>B10*100/B7</f>
        <v>95.591827778480493</v>
      </c>
      <c r="D10" s="465">
        <f>100000*244/B10</f>
        <v>8.5641019521238615</v>
      </c>
      <c r="E10" s="474">
        <f>100000*21997/B10</f>
        <v>772.06783049536307</v>
      </c>
      <c r="F10" s="475">
        <f>100000*2135/B10</f>
        <v>74.935892081083793</v>
      </c>
    </row>
    <row r="11" spans="1:6">
      <c r="A11" s="452" t="s">
        <v>59</v>
      </c>
      <c r="B11" s="449">
        <v>2810322</v>
      </c>
      <c r="C11" s="465">
        <f>B11*100/B7</f>
        <v>94.290698130875924</v>
      </c>
      <c r="D11" s="465">
        <f>100000*147/B11</f>
        <v>5.2307173341702482</v>
      </c>
      <c r="E11" s="474">
        <f>100000*17500/B11</f>
        <v>622.70444454407721</v>
      </c>
      <c r="F11" s="475">
        <f>100000*1743/B11</f>
        <v>62.021362676590087</v>
      </c>
    </row>
    <row r="12" spans="1:6">
      <c r="A12" s="473" t="s">
        <v>60</v>
      </c>
      <c r="B12" s="447">
        <v>2778987</v>
      </c>
      <c r="C12" s="465">
        <f>B12*100/B7</f>
        <v>93.239359876422881</v>
      </c>
      <c r="D12" s="472">
        <f>100000*130/B12</f>
        <v>4.677963588890484</v>
      </c>
      <c r="E12" s="476">
        <f>100000*16029/B12</f>
        <v>576.79291051019675</v>
      </c>
      <c r="F12" s="477">
        <f>100000*1466/B12</f>
        <v>52.753035548565002</v>
      </c>
    </row>
    <row r="13" spans="1:6">
      <c r="A13" s="452" t="s">
        <v>62</v>
      </c>
      <c r="B13" s="449">
        <v>2748781</v>
      </c>
      <c r="C13" s="465">
        <f>B13*100/B7</f>
        <v>92.225901337600192</v>
      </c>
      <c r="D13" s="465">
        <f>100000*110/B13</f>
        <v>4.0017738772204847</v>
      </c>
      <c r="E13" s="474">
        <f>100000*16367/B13</f>
        <v>595.42757316788789</v>
      </c>
      <c r="F13" s="478" t="s">
        <v>11</v>
      </c>
    </row>
    <row r="14" spans="1:6">
      <c r="A14" s="473" t="s">
        <v>64</v>
      </c>
      <c r="B14" s="447">
        <v>2720651</v>
      </c>
      <c r="C14" s="465">
        <f>B14*100/B7</f>
        <v>91.282095845410495</v>
      </c>
      <c r="D14" s="465">
        <f>100000*98/B14</f>
        <v>3.6020790612246847</v>
      </c>
      <c r="E14" s="474">
        <f>100000*16017/B14</f>
        <v>588.71939105750789</v>
      </c>
      <c r="F14" s="475">
        <f>100000*1304/B14</f>
        <v>47.929705059561115</v>
      </c>
    </row>
    <row r="15" spans="1:6">
      <c r="A15" s="452" t="s">
        <v>65</v>
      </c>
      <c r="B15" s="449">
        <v>2694091</v>
      </c>
      <c r="C15" s="465">
        <f>B15*100/B7</f>
        <v>90.390966308526089</v>
      </c>
      <c r="D15" s="465">
        <f>100000*118/B15</f>
        <v>4.3799559851541767</v>
      </c>
      <c r="E15" s="474">
        <f>100000*15854/B15</f>
        <v>588.47306939520604</v>
      </c>
      <c r="F15" s="475">
        <f>100000*1236/B15</f>
        <v>45.878183030936967</v>
      </c>
    </row>
    <row r="16" spans="1:6">
      <c r="A16" s="473" t="s">
        <v>66</v>
      </c>
      <c r="B16" s="447">
        <v>2671163</v>
      </c>
      <c r="C16" s="465">
        <f>B16*100/B7</f>
        <v>89.621696051685518</v>
      </c>
      <c r="D16" s="465">
        <f>100000*99/B16</f>
        <v>3.7062507978734356</v>
      </c>
      <c r="E16" s="474">
        <f>100000*15423/B16</f>
        <v>577.38895005658583</v>
      </c>
      <c r="F16" s="475">
        <f>100000*1111/B16</f>
        <v>41.592370065024113</v>
      </c>
    </row>
    <row r="17" spans="1:9">
      <c r="A17" s="452" t="s">
        <v>67</v>
      </c>
      <c r="B17" s="449">
        <v>2648180</v>
      </c>
      <c r="C17" s="465">
        <f>B17*100/B7</f>
        <v>88.850580458831061</v>
      </c>
      <c r="D17" s="472">
        <f>100000*104/B17</f>
        <v>3.9272254907143775</v>
      </c>
      <c r="E17" s="476">
        <f>100000*16163/B17</f>
        <v>610.34370775400464</v>
      </c>
      <c r="F17" s="477">
        <f>100000*1586/B17</f>
        <v>59.890188733394254</v>
      </c>
    </row>
    <row r="18" spans="1:9">
      <c r="A18" s="473" t="s">
        <v>69</v>
      </c>
      <c r="B18" s="447">
        <v>2635211</v>
      </c>
      <c r="C18" s="465">
        <f>B18*100/B7</f>
        <v>88.415450226758239</v>
      </c>
      <c r="D18" s="465">
        <f>100000*128/B18</f>
        <v>4.8572960571278729</v>
      </c>
      <c r="E18" s="474">
        <f>100000*17476/B18</f>
        <v>663.17270229973997</v>
      </c>
      <c r="F18" s="475">
        <f>100000*1620/B18</f>
        <v>61.475153223024648</v>
      </c>
    </row>
    <row r="19" spans="1:9">
      <c r="A19" s="452" t="s">
        <v>70</v>
      </c>
      <c r="B19" s="449">
        <v>2623124</v>
      </c>
      <c r="C19" s="465">
        <f>B19*100/B7</f>
        <v>88.009912474035289</v>
      </c>
      <c r="D19" s="465">
        <f>100000*131/B19</f>
        <v>4.9940452681611696</v>
      </c>
      <c r="E19" s="474">
        <f>100000*18448/B19</f>
        <v>703.28356570257449</v>
      </c>
      <c r="F19" s="475">
        <f>100000*1718/B19</f>
        <v>65.494425730541138</v>
      </c>
    </row>
    <row r="20" spans="1:9">
      <c r="A20" s="473" t="s">
        <v>71</v>
      </c>
      <c r="B20" s="447">
        <v>2624911</v>
      </c>
      <c r="C20" s="465">
        <f>B20*100/B7</f>
        <v>88.069869118704432</v>
      </c>
      <c r="D20" s="465">
        <v>4.5</v>
      </c>
      <c r="E20" s="474">
        <f>100000*19220/B20</f>
        <v>732.21530177594593</v>
      </c>
      <c r="F20" s="475">
        <f>100000*1829/B20</f>
        <v>69.678552910936787</v>
      </c>
    </row>
    <row r="21" spans="1:9">
      <c r="A21" s="452" t="s">
        <v>72</v>
      </c>
      <c r="B21" s="449">
        <v>2631317</v>
      </c>
      <c r="C21" s="465">
        <f>B21*100/B7</f>
        <v>88.284800436975573</v>
      </c>
      <c r="D21" s="465">
        <f>100000*138/B21</f>
        <v>5.2445220397238339</v>
      </c>
      <c r="E21" s="474">
        <f>100000*18863/B21</f>
        <v>716.86535677761367</v>
      </c>
      <c r="F21" s="475">
        <f>100000*1667/B21</f>
        <v>63.352306088548055</v>
      </c>
    </row>
    <row r="22" spans="1:9">
      <c r="A22" s="473" t="s">
        <v>73</v>
      </c>
      <c r="B22" s="447">
        <v>2636249</v>
      </c>
      <c r="C22" s="465">
        <f>B22*100/B7</f>
        <v>88.450276750074735</v>
      </c>
      <c r="D22" s="472">
        <f>100000*121/B22</f>
        <v>4.5898547519600763</v>
      </c>
      <c r="E22" s="476">
        <f>100000*19750/B22</f>
        <v>749.17050703480584</v>
      </c>
      <c r="F22" s="477">
        <f>100000*1775/B22</f>
        <v>67.330513923381289</v>
      </c>
    </row>
    <row r="23" spans="1:9">
      <c r="A23" s="452" t="s">
        <v>75</v>
      </c>
      <c r="B23" s="449">
        <v>2643780</v>
      </c>
      <c r="C23" s="465">
        <f>B23*100/B7</f>
        <v>88.702953577720692</v>
      </c>
      <c r="D23" s="465">
        <f>100000*134/B23</f>
        <v>5.0685004047235394</v>
      </c>
      <c r="E23" s="474">
        <f>100000*19970/B23</f>
        <v>755.35785882335142</v>
      </c>
      <c r="F23" s="475">
        <f>100000*1645/B23</f>
        <v>62.221516162464347</v>
      </c>
    </row>
    <row r="24" spans="1:9">
      <c r="A24" s="473" t="s">
        <v>76</v>
      </c>
      <c r="B24" s="447">
        <v>2649758</v>
      </c>
      <c r="C24" s="465">
        <f>B24*100/B7</f>
        <v>88.903524826647455</v>
      </c>
      <c r="D24" s="465">
        <f>100000*139/B24</f>
        <v>5.2457620658188411</v>
      </c>
      <c r="E24" s="474">
        <f>100000*20120/B24</f>
        <v>759.31462420341779</v>
      </c>
      <c r="F24" s="475">
        <f>100000*1660/B24</f>
        <v>62.647230426325727</v>
      </c>
    </row>
    <row r="25" spans="1:9">
      <c r="A25" s="452" t="s">
        <v>77</v>
      </c>
      <c r="B25" s="449">
        <v>2646399</v>
      </c>
      <c r="C25" s="465">
        <f>B25*100/B7</f>
        <v>88.790825123545247</v>
      </c>
      <c r="D25" s="465">
        <f>100000*145/B25</f>
        <v>5.4791435456255844</v>
      </c>
      <c r="E25" s="474">
        <f>100000*19807/B25</f>
        <v>748.45100833245476</v>
      </c>
      <c r="F25" s="475">
        <f>100000*1636/B25</f>
        <v>61.819854073403143</v>
      </c>
      <c r="H25" s="454"/>
      <c r="I25" s="454"/>
    </row>
    <row r="26" spans="1:9">
      <c r="A26" s="473" t="s">
        <v>140</v>
      </c>
      <c r="B26" s="447">
        <v>2637434</v>
      </c>
      <c r="C26" s="465">
        <f>B26*100/B7</f>
        <v>88.490035353282863</v>
      </c>
      <c r="D26" s="465">
        <f>100000*148/B26</f>
        <v>5.6115148284279339</v>
      </c>
      <c r="E26" s="474">
        <f>100000*20524/B26</f>
        <v>778.18061039631698</v>
      </c>
      <c r="F26" s="475">
        <f>100000*1587/B26</f>
        <v>60.17212184266981</v>
      </c>
    </row>
    <row r="27" spans="1:9">
      <c r="A27" s="452" t="s">
        <v>79</v>
      </c>
      <c r="B27" s="449">
        <v>2623801</v>
      </c>
      <c r="C27" s="465">
        <f>B27*100/B7</f>
        <v>88.032626882787952</v>
      </c>
      <c r="D27" s="472">
        <f>100000*164/B27</f>
        <v>6.2504740260408465</v>
      </c>
      <c r="E27" s="476">
        <f>100000*19896/B27</f>
        <v>758.28921476895539</v>
      </c>
      <c r="F27" s="477">
        <f>100000*1584/B27</f>
        <v>60.37043205639452</v>
      </c>
    </row>
    <row r="28" spans="1:9">
      <c r="A28" s="473" t="s">
        <v>81</v>
      </c>
      <c r="B28" s="447">
        <v>2613199</v>
      </c>
      <c r="C28" s="465">
        <f>B28*100/B7</f>
        <v>87.676913202439735</v>
      </c>
      <c r="D28" s="465">
        <f>100000*147/B28</f>
        <v>5.6252891570829471</v>
      </c>
      <c r="E28" s="474">
        <f>100000*19590/B28</f>
        <v>749.65588154595196</v>
      </c>
      <c r="F28" s="475">
        <f>100000*1686/B28</f>
        <v>64.518622577155426</v>
      </c>
    </row>
    <row r="29" spans="1:9">
      <c r="A29" s="452" t="s">
        <v>82</v>
      </c>
      <c r="B29" s="449">
        <v>2603272</v>
      </c>
      <c r="C29" s="465">
        <f>B29*100/B7</f>
        <v>87.343846827716405</v>
      </c>
      <c r="D29" s="465">
        <f>100000*157/B29</f>
        <v>6.0308719181092103</v>
      </c>
      <c r="E29" s="474">
        <f>100000*20232/B29</f>
        <v>777.17580030054489</v>
      </c>
      <c r="F29" s="475">
        <f>100000*1707/B29</f>
        <v>65.57132716058868</v>
      </c>
    </row>
    <row r="30" spans="1:9">
      <c r="A30" s="473" t="s">
        <v>83</v>
      </c>
      <c r="B30" s="447">
        <v>2595584</v>
      </c>
      <c r="C30" s="465">
        <f>B30*100/B7</f>
        <v>87.085902404539922</v>
      </c>
      <c r="D30" s="465">
        <f>100000*167/B30</f>
        <v>6.4340048328237502</v>
      </c>
      <c r="E30" s="474">
        <f>100000*19840/B30</f>
        <v>764.37518492948027</v>
      </c>
      <c r="F30" s="475">
        <f>100000*1636/B30</f>
        <v>63.030131176644637</v>
      </c>
    </row>
    <row r="31" spans="1:9">
      <c r="A31" s="452" t="s">
        <v>84</v>
      </c>
      <c r="B31" s="449">
        <v>2590270</v>
      </c>
      <c r="C31" s="465">
        <f>B31*100/B7</f>
        <v>86.907609394035276</v>
      </c>
      <c r="D31" s="465">
        <f>100000*156/B31</f>
        <v>6.022538190999394</v>
      </c>
      <c r="E31" s="474">
        <f>100000*19748/B31</f>
        <v>762.39156535805148</v>
      </c>
      <c r="F31" s="475">
        <f>100000*1700/B31</f>
        <v>65.630223876275451</v>
      </c>
    </row>
    <row r="32" spans="1:9">
      <c r="A32" s="473" t="s">
        <v>85</v>
      </c>
      <c r="B32" s="447">
        <v>2602421</v>
      </c>
      <c r="C32" s="465">
        <f>B32*100/B7</f>
        <v>87.315294446847105</v>
      </c>
      <c r="D32" s="465">
        <f>100000*159/B32</f>
        <v>6.1096955488754512</v>
      </c>
      <c r="E32" s="474">
        <f>100000*20621/B32</f>
        <v>792.37755920352629</v>
      </c>
      <c r="F32" s="475">
        <f>100000*1767/B32</f>
        <v>67.898314684672471</v>
      </c>
    </row>
    <row r="33" spans="1:9">
      <c r="A33" s="452" t="s">
        <v>87</v>
      </c>
      <c r="B33" s="449">
        <v>2600058</v>
      </c>
      <c r="C33" s="465">
        <f>B33*100/B7</f>
        <v>87.236012101378066</v>
      </c>
      <c r="D33" s="465">
        <f>100000*122/B33</f>
        <v>4.6922030200864748</v>
      </c>
      <c r="E33" s="474">
        <f>100000*20667/B33</f>
        <v>794.86688373874733</v>
      </c>
      <c r="F33" s="475">
        <f>100000*1676/B33</f>
        <v>64.460100505450256</v>
      </c>
      <c r="H33" s="454"/>
      <c r="I33" s="454"/>
    </row>
    <row r="34" spans="1:9">
      <c r="A34" s="473" t="s">
        <v>88</v>
      </c>
      <c r="B34" s="447">
        <v>2596502</v>
      </c>
      <c r="C34" s="465">
        <f>B34*100/B7</f>
        <v>87.11670274018978</v>
      </c>
      <c r="D34" s="465">
        <f>100000*132/B34</f>
        <v>5.0837626930385573</v>
      </c>
      <c r="E34" s="474">
        <f>100000*19764/B34</f>
        <v>761.17792322131857</v>
      </c>
      <c r="F34" s="475">
        <f>100000*1491/B34</f>
        <v>57.423410419094616</v>
      </c>
    </row>
    <row r="35" spans="1:9">
      <c r="A35" s="452" t="s">
        <v>89</v>
      </c>
      <c r="B35" s="449">
        <v>2596276</v>
      </c>
      <c r="C35" s="465">
        <f>B35*100/B7</f>
        <v>87.10912008675092</v>
      </c>
      <c r="D35" s="465">
        <f>100000*129/B35</f>
        <v>4.9686551044650109</v>
      </c>
      <c r="E35" s="474">
        <f>100000*20434/B35</f>
        <v>787.05037522975215</v>
      </c>
      <c r="F35" s="475">
        <f>100000*1617/B35</f>
        <v>62.281513983875364</v>
      </c>
    </row>
    <row r="36" spans="1:9">
      <c r="A36" s="473" t="s">
        <v>90</v>
      </c>
      <c r="B36" s="447">
        <v>2595155</v>
      </c>
      <c r="C36" s="465">
        <f>B36*100/B7</f>
        <v>87.071508783631671</v>
      </c>
      <c r="D36" s="465">
        <f>100000*117/B36</f>
        <v>4.5084012322963369</v>
      </c>
      <c r="E36" s="474">
        <f>100000*21146/B36</f>
        <v>814.82608938579779</v>
      </c>
      <c r="F36" s="475">
        <f>100000*1550/B36</f>
        <v>59.726682991960018</v>
      </c>
    </row>
    <row r="37" spans="1:9">
      <c r="A37" s="452" t="s">
        <v>91</v>
      </c>
      <c r="B37" s="449">
        <v>2598774</v>
      </c>
      <c r="C37" s="465">
        <f>B37*100/B7</f>
        <v>87.192931893344948</v>
      </c>
      <c r="D37" s="472">
        <f>100000*100/B37</f>
        <v>3.8479683112113636</v>
      </c>
      <c r="E37" s="476">
        <f>100000*23167/B37</f>
        <v>891.45881865833655</v>
      </c>
      <c r="F37" s="477">
        <f>100000*1630/B37</f>
        <v>62.721883472745226</v>
      </c>
    </row>
    <row r="38" spans="1:9">
      <c r="A38" s="473" t="s">
        <v>93</v>
      </c>
      <c r="B38" s="447">
        <v>2607059</v>
      </c>
      <c r="C38" s="465">
        <f>B38*100/B7</f>
        <v>87.470906600162991</v>
      </c>
      <c r="D38" s="465">
        <f>100000*101/B38</f>
        <v>3.8740972106883658</v>
      </c>
      <c r="E38" s="474">
        <f>100000*23349/B38</f>
        <v>895.60688883527382</v>
      </c>
      <c r="F38" s="475">
        <f>100000*1735/B38</f>
        <v>66.550085747963507</v>
      </c>
    </row>
    <row r="39" spans="1:9">
      <c r="A39" s="452" t="s">
        <v>94</v>
      </c>
      <c r="B39" s="449">
        <v>2614875</v>
      </c>
      <c r="C39" s="465">
        <f>B39*100/B7</f>
        <v>87.733145623517231</v>
      </c>
      <c r="D39" s="465">
        <f>100000*107/B39</f>
        <v>4.0919738037191067</v>
      </c>
      <c r="E39" s="474">
        <f>100000*23424/B39</f>
        <v>895.79807830202208</v>
      </c>
      <c r="F39" s="475">
        <f>100000*1699/B39</f>
        <v>64.97442516372675</v>
      </c>
    </row>
    <row r="40" spans="1:9">
      <c r="A40" s="473" t="s">
        <v>95</v>
      </c>
      <c r="B40" s="447">
        <v>2619955</v>
      </c>
      <c r="C40" s="465">
        <f>B40*100/B7</f>
        <v>87.903587568071927</v>
      </c>
      <c r="D40" s="465">
        <f>100000*86/B40</f>
        <v>3.2824991268934007</v>
      </c>
      <c r="E40" s="474">
        <f>100000*24161/B40</f>
        <v>922.19141168455178</v>
      </c>
      <c r="F40" s="475">
        <f>100000*1700/B40</f>
        <v>64.886610647892809</v>
      </c>
      <c r="H40" s="454"/>
      <c r="I40" s="454"/>
    </row>
    <row r="41" spans="1:9">
      <c r="A41" s="452" t="s">
        <v>96</v>
      </c>
      <c r="B41" s="448">
        <v>2624775</v>
      </c>
      <c r="C41" s="479">
        <f>B41*100/B7</f>
        <v>88.065306106015555</v>
      </c>
      <c r="D41" s="465">
        <f>100000*91/B41</f>
        <v>3.4669638349953806</v>
      </c>
      <c r="E41" s="474">
        <f>100000*24183/B41</f>
        <v>921.33611452410207</v>
      </c>
      <c r="F41" s="475">
        <f>100000*1525/B41</f>
        <v>58.100218113933572</v>
      </c>
    </row>
    <row r="42" spans="1:9">
      <c r="A42" s="473" t="s">
        <v>97</v>
      </c>
      <c r="B42" s="448">
        <v>2628811</v>
      </c>
      <c r="C42" s="465">
        <f>B42*100/B7</f>
        <v>88.20072021787044</v>
      </c>
      <c r="D42" s="465">
        <f>100000*80/B42</f>
        <v>3.043200899570186</v>
      </c>
      <c r="E42" s="480">
        <f>100000*23353/B42</f>
        <v>888.34838259578191</v>
      </c>
      <c r="F42" s="481">
        <f>100000*1542/B42</f>
        <v>58.657697339215332</v>
      </c>
    </row>
    <row r="43" spans="1:9">
      <c r="A43" s="464" t="s">
        <v>99</v>
      </c>
      <c r="B43" s="448">
        <v>2634944</v>
      </c>
      <c r="C43" s="465">
        <f>B43*100/B7</f>
        <v>88.406491959199954</v>
      </c>
      <c r="D43" s="465">
        <f>100000*75/B43</f>
        <v>2.8463603021544293</v>
      </c>
      <c r="E43" s="480">
        <f>100000*22100/B43</f>
        <v>838.72750236817183</v>
      </c>
      <c r="F43" s="481">
        <f>100000*1454/B43</f>
        <v>55.181438391100535</v>
      </c>
    </row>
    <row r="44" spans="1:9">
      <c r="A44" s="464" t="s">
        <v>100</v>
      </c>
      <c r="B44" s="448">
        <v>2642854</v>
      </c>
      <c r="C44" s="465">
        <f>B44*100/B7</f>
        <v>88.67188482955973</v>
      </c>
      <c r="D44" s="465">
        <f>100000*73/B44</f>
        <v>2.7621654468994503</v>
      </c>
      <c r="E44" s="480">
        <f>100000*20318/B44</f>
        <v>768.79010342606898</v>
      </c>
      <c r="F44" s="481">
        <f>100000*1535/B44</f>
        <v>58.081150150556937</v>
      </c>
    </row>
    <row r="45" spans="1:9">
      <c r="A45" s="464" t="s">
        <v>101</v>
      </c>
      <c r="B45" s="448">
        <v>2650670</v>
      </c>
      <c r="C45" s="465">
        <f>B45*100/B7</f>
        <v>88.93412385291397</v>
      </c>
      <c r="D45" s="465">
        <f>100000*61/B45</f>
        <v>2.3013049530873326</v>
      </c>
      <c r="E45" s="480">
        <f>100000*18741/B45</f>
        <v>707.02878894770004</v>
      </c>
      <c r="F45" s="481">
        <f>100000*1241/B45</f>
        <v>46.818351586579993</v>
      </c>
    </row>
    <row r="46" spans="1:9">
      <c r="A46" s="464" t="s">
        <v>102</v>
      </c>
      <c r="B46" s="448">
        <v>2659796</v>
      </c>
      <c r="C46" s="465">
        <f>B46*100/B7</f>
        <v>89.240315424962432</v>
      </c>
      <c r="D46" s="465">
        <f>100000*64/B46</f>
        <v>2.4061995732003507</v>
      </c>
      <c r="E46" s="480">
        <f>100000*18280/B46</f>
        <v>687.27075309535019</v>
      </c>
      <c r="F46" s="481">
        <f>100000*1094/B46</f>
        <v>41.130973954393497</v>
      </c>
    </row>
    <row r="47" spans="1:9">
      <c r="A47" s="464" t="s">
        <v>103</v>
      </c>
      <c r="B47" s="448">
        <v>2665314</v>
      </c>
      <c r="C47" s="465">
        <f>B47*100/B7</f>
        <v>89.425452954500386</v>
      </c>
      <c r="D47" s="465">
        <f>100000*62/B47</f>
        <v>2.3261799547820634</v>
      </c>
      <c r="E47" s="480">
        <v>675.53360745965404</v>
      </c>
      <c r="F47" s="481">
        <f>100000*1066/B47</f>
        <v>39.995287609639988</v>
      </c>
    </row>
    <row r="48" spans="1:9">
      <c r="A48" s="464" t="s">
        <v>105</v>
      </c>
      <c r="B48" s="448">
        <v>2670579</v>
      </c>
      <c r="C48" s="465">
        <f>B48*100/B7</f>
        <v>89.602101938374503</v>
      </c>
      <c r="D48" s="465">
        <f>100000*65/B48</f>
        <v>2.4339291217372714</v>
      </c>
      <c r="E48" s="480">
        <v>647.1</v>
      </c>
      <c r="F48" s="481">
        <f>100000*1016/B48</f>
        <v>38.044184425924115</v>
      </c>
    </row>
    <row r="49" spans="1:6">
      <c r="A49" s="464" t="s">
        <v>106</v>
      </c>
      <c r="B49" s="448">
        <v>2677375</v>
      </c>
      <c r="C49" s="465">
        <f t="shared" ref="C49:C59" si="0">B49*100/$B$7</f>
        <v>89.830118366562246</v>
      </c>
      <c r="D49" s="465">
        <f>100000*51/B49</f>
        <v>1.9048508333722396</v>
      </c>
      <c r="E49" s="480">
        <v>631.20000000000005</v>
      </c>
      <c r="F49" s="481">
        <f>100000*907/B49</f>
        <v>33.876464820953359</v>
      </c>
    </row>
    <row r="50" spans="1:6">
      <c r="A50" s="464" t="s">
        <v>107</v>
      </c>
      <c r="B50" s="461">
        <v>2683487</v>
      </c>
      <c r="C50" s="465">
        <f t="shared" si="0"/>
        <v>90.035185525050096</v>
      </c>
      <c r="D50" s="465">
        <f>100000*49/B50</f>
        <v>1.8259823878408952</v>
      </c>
      <c r="E50" s="480">
        <v>611.79999999999995</v>
      </c>
      <c r="F50" s="481">
        <f>100000*892/B50</f>
        <v>33.240332448042416</v>
      </c>
    </row>
    <row r="51" spans="1:6">
      <c r="A51" s="464" t="s">
        <v>108</v>
      </c>
      <c r="B51" s="461">
        <v>2686246</v>
      </c>
      <c r="C51" s="465">
        <f t="shared" si="0"/>
        <v>90.12775428981908</v>
      </c>
      <c r="D51" s="465">
        <f>100000*51/B51</f>
        <v>1.8985602956691234</v>
      </c>
      <c r="E51" s="480">
        <f>100000*15221/B51</f>
        <v>566.6271815760731</v>
      </c>
      <c r="F51" s="481">
        <f>100000*793/B51</f>
        <v>29.520751264031663</v>
      </c>
    </row>
    <row r="52" spans="1:6">
      <c r="A52" s="464" t="s">
        <v>109</v>
      </c>
      <c r="B52" s="462">
        <v>2691185</v>
      </c>
      <c r="C52" s="465">
        <f t="shared" si="0"/>
        <v>90.293465463865473</v>
      </c>
      <c r="D52" s="465">
        <f>100000*51/B52</f>
        <v>1.8950759609614352</v>
      </c>
      <c r="E52" s="480">
        <f>100000*14867/B52</f>
        <v>552.43322179634617</v>
      </c>
      <c r="F52" s="481">
        <f>100000*851/B52</f>
        <v>31.621757701532967</v>
      </c>
    </row>
    <row r="53" spans="1:6">
      <c r="A53" s="464" t="s">
        <v>111</v>
      </c>
      <c r="B53" s="462">
        <v>2705961</v>
      </c>
      <c r="C53" s="465">
        <f t="shared" si="0"/>
        <v>90.7892233718852</v>
      </c>
      <c r="D53" s="465">
        <f>100000*49/B53</f>
        <v>1.8108169334295654</v>
      </c>
      <c r="E53" s="480">
        <f>100000*14231/B53</f>
        <v>525.91297509461515</v>
      </c>
      <c r="F53" s="481">
        <f>100000*935/B53</f>
        <v>34.553343525645786</v>
      </c>
    </row>
    <row r="54" spans="1:6">
      <c r="A54" s="464" t="s">
        <v>112</v>
      </c>
      <c r="B54" s="462">
        <v>2713157</v>
      </c>
      <c r="C54" s="465">
        <f>B54*100/$B$7</f>
        <v>91.030660425628426</v>
      </c>
      <c r="D54" s="465">
        <f>100000*44/B54</f>
        <v>1.6217270139545923</v>
      </c>
      <c r="E54" s="480">
        <f>100000*13398/B54</f>
        <v>493.81587574917336</v>
      </c>
      <c r="F54" s="481">
        <f>100000*908/B54</f>
        <v>33.466548378881136</v>
      </c>
    </row>
    <row r="55" spans="1:6">
      <c r="A55" s="464" t="s">
        <v>113</v>
      </c>
      <c r="B55" s="462">
        <v>2725006</v>
      </c>
      <c r="C55" s="465">
        <f t="shared" si="0"/>
        <v>91.428212906145873</v>
      </c>
      <c r="D55" s="465">
        <f>100000*44/B55</f>
        <v>1.6146753438341053</v>
      </c>
      <c r="E55" s="480">
        <f>100000*12723/B55</f>
        <v>466.89805453639366</v>
      </c>
      <c r="F55" s="481">
        <f>100000*1085/B55</f>
        <v>39.816426092272827</v>
      </c>
    </row>
    <row r="56" spans="1:6">
      <c r="A56" s="464" t="s">
        <v>114</v>
      </c>
      <c r="B56" s="462">
        <v>2740202</v>
      </c>
      <c r="C56" s="465">
        <f t="shared" si="0"/>
        <v>91.938062470998872</v>
      </c>
      <c r="D56" s="465">
        <f>100000*34/B56</f>
        <v>1.2407844385194959</v>
      </c>
      <c r="E56" s="480">
        <f>100000*11700/B56</f>
        <v>426.97582149053244</v>
      </c>
      <c r="F56" s="481">
        <f>100000*977/B56</f>
        <v>35.654305777457282</v>
      </c>
    </row>
    <row r="57" spans="1:6">
      <c r="A57" s="464" t="s">
        <v>115</v>
      </c>
      <c r="B57" s="462">
        <v>2750995</v>
      </c>
      <c r="C57" s="465">
        <f t="shared" si="0"/>
        <v>92.300184500049824</v>
      </c>
      <c r="D57" s="465">
        <f>100000*'[1]2ページ（年次推移）'!D58/B57</f>
        <v>1.3449679116101629</v>
      </c>
      <c r="E57" s="480">
        <f>100000*'[1]2ページ（年次推移）'!E58/B57</f>
        <v>345.07514553825069</v>
      </c>
      <c r="F57" s="481">
        <f>100000*878/B57</f>
        <v>31.915725037668189</v>
      </c>
    </row>
    <row r="58" spans="1:6">
      <c r="A58" s="464" t="s">
        <v>116</v>
      </c>
      <c r="B58" s="463">
        <v>2753165</v>
      </c>
      <c r="C58" s="479">
        <f t="shared" si="0"/>
        <v>92.372991393688352</v>
      </c>
      <c r="D58" s="482">
        <f>100000*'[1]2ページ（年次推移）'!D59/B58</f>
        <v>1.5618388291293839</v>
      </c>
      <c r="E58" s="483">
        <f>100000*'[1]2ページ（年次推移）'!E59/B58</f>
        <v>348.10844972967476</v>
      </c>
      <c r="F58" s="467">
        <f>100000*879/B58</f>
        <v>31.926891414063451</v>
      </c>
    </row>
    <row r="59" spans="1:6">
      <c r="A59" s="464" t="s">
        <v>117</v>
      </c>
      <c r="B59" s="462">
        <v>2756807</v>
      </c>
      <c r="C59" s="465">
        <f t="shared" si="0"/>
        <v>92.495186189371069</v>
      </c>
      <c r="D59" s="466">
        <f>100000*40/B59</f>
        <v>1.450953947809912</v>
      </c>
      <c r="E59" s="466">
        <f>100000*9278/B59</f>
        <v>336.54876819450908</v>
      </c>
      <c r="F59" s="467">
        <f>100000*894/B59</f>
        <v>32.428820733551532</v>
      </c>
    </row>
    <row r="60" spans="1:6">
      <c r="A60" s="464" t="s">
        <v>141</v>
      </c>
      <c r="B60" s="462">
        <v>2770520</v>
      </c>
      <c r="C60" s="465">
        <v>92.955278784977082</v>
      </c>
      <c r="D60" s="466">
        <v>1.4437722882346997</v>
      </c>
      <c r="E60" s="466">
        <v>338.99773327750745</v>
      </c>
      <c r="F60" s="467">
        <f>100000*981/B60</f>
        <v>35.40851536895601</v>
      </c>
    </row>
    <row r="61" spans="1:6">
      <c r="A61" s="464" t="s">
        <v>502</v>
      </c>
      <c r="B61" s="462">
        <v>2791907</v>
      </c>
      <c r="C61" s="465">
        <v>93.7</v>
      </c>
      <c r="D61" s="466">
        <v>1.5</v>
      </c>
      <c r="E61" s="466">
        <v>312.39999999999998</v>
      </c>
      <c r="F61" s="467">
        <v>33.200000000000003</v>
      </c>
    </row>
    <row r="62" spans="1:6">
      <c r="A62" s="464" t="s">
        <v>553</v>
      </c>
      <c r="B62" s="462">
        <v>2816247</v>
      </c>
      <c r="C62" s="465">
        <v>94.489491146916592</v>
      </c>
      <c r="D62" s="465">
        <v>1.5268547112522446</v>
      </c>
      <c r="E62" s="480">
        <v>316.59154896569794</v>
      </c>
      <c r="F62" s="481">
        <v>33.271229405659376</v>
      </c>
    </row>
    <row r="63" spans="1:6" ht="15.75" customHeight="1" thickBot="1">
      <c r="A63" s="484"/>
      <c r="B63" s="1362" t="s">
        <v>142</v>
      </c>
      <c r="C63" s="1363"/>
      <c r="D63" s="1363"/>
      <c r="E63" s="1363"/>
      <c r="F63" s="1244"/>
    </row>
    <row r="64" spans="1:6" s="1945" customFormat="1" ht="15">
      <c r="A64" s="1946" t="s">
        <v>902</v>
      </c>
      <c r="C64" s="1955"/>
    </row>
    <row r="65" spans="1:1" s="1945" customFormat="1" ht="15">
      <c r="A65" s="1946" t="s">
        <v>903</v>
      </c>
    </row>
  </sheetData>
  <mergeCells count="6">
    <mergeCell ref="B63:F63"/>
    <mergeCell ref="B4:C4"/>
    <mergeCell ref="D4:F4"/>
    <mergeCell ref="C5:C6"/>
    <mergeCell ref="D5:D6"/>
    <mergeCell ref="E5:E6"/>
  </mergeCells>
  <phoneticPr fontId="4"/>
  <printOptions horizontalCentered="1"/>
  <pageMargins left="0.78740157480314965" right="0.39370078740157483" top="0.98425196850393704" bottom="0.98425196850393704" header="0.31496062992125984" footer="0.51181102362204722"/>
  <pageSetup paperSize="9" scale="83" firstPageNumber="0" orientation="portrait" r:id="rId1"/>
  <headerFooter scaleWithDoc="0" alignWithMargins="0">
    <oddFooter>&amp;C- &amp;P -</oddFooter>
  </headerFooter>
  <colBreaks count="1" manualBreakCount="1">
    <brk id="6"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9911E4-9992-4132-A98C-AD2403EF3FF0}">
  <sheetPr>
    <pageSetUpPr fitToPage="1"/>
  </sheetPr>
  <dimension ref="A1:R35"/>
  <sheetViews>
    <sheetView view="pageBreakPreview" topLeftCell="A22" zoomScale="70" zoomScaleNormal="100" zoomScaleSheetLayoutView="70" workbookViewId="0">
      <selection activeCell="L76" sqref="L76"/>
    </sheetView>
  </sheetViews>
  <sheetFormatPr defaultColWidth="9" defaultRowHeight="13.8"/>
  <cols>
    <col min="1" max="1" width="3" style="497" customWidth="1"/>
    <col min="2" max="2" width="3.88671875" style="497" customWidth="1"/>
    <col min="3" max="3" width="7.109375" style="497" customWidth="1"/>
    <col min="4" max="6" width="8.77734375" style="497" customWidth="1"/>
    <col min="7" max="7" width="7.109375" style="497" customWidth="1"/>
    <col min="8" max="10" width="8.77734375" style="497" customWidth="1"/>
    <col min="11" max="11" width="7" style="497" customWidth="1"/>
    <col min="12" max="14" width="8.77734375" style="497" customWidth="1"/>
    <col min="15" max="15" width="7.6640625" style="497" customWidth="1"/>
    <col min="16" max="18" width="8.77734375" style="497" customWidth="1"/>
    <col min="19" max="16384" width="9" style="497"/>
  </cols>
  <sheetData>
    <row r="1" spans="1:18" ht="15">
      <c r="A1" s="650" t="s">
        <v>475</v>
      </c>
      <c r="B1" s="650"/>
      <c r="C1" s="650"/>
      <c r="D1" s="650"/>
    </row>
    <row r="2" spans="1:18" ht="15.6" thickBot="1">
      <c r="A2" s="650" t="s">
        <v>477</v>
      </c>
      <c r="B2" s="650"/>
      <c r="C2" s="650"/>
      <c r="D2" s="650"/>
    </row>
    <row r="3" spans="1:18" ht="6" customHeight="1" thickBot="1">
      <c r="A3" s="950"/>
      <c r="B3" s="1799" t="s">
        <v>491</v>
      </c>
      <c r="C3" s="1291" t="s">
        <v>603</v>
      </c>
      <c r="D3" s="1314"/>
      <c r="E3" s="1314"/>
      <c r="F3" s="1761" t="s">
        <v>641</v>
      </c>
      <c r="G3" s="1291" t="s">
        <v>836</v>
      </c>
      <c r="H3" s="1314"/>
      <c r="I3" s="1314"/>
      <c r="J3" s="1761" t="s">
        <v>644</v>
      </c>
      <c r="K3" s="1291" t="s">
        <v>605</v>
      </c>
      <c r="L3" s="1314"/>
      <c r="M3" s="1314"/>
      <c r="N3" s="1764" t="s">
        <v>644</v>
      </c>
      <c r="O3" s="1469"/>
      <c r="P3" s="1813"/>
      <c r="Q3" s="1813"/>
      <c r="R3" s="518"/>
    </row>
    <row r="4" spans="1:18">
      <c r="A4" s="952"/>
      <c r="B4" s="1518"/>
      <c r="C4" s="1434"/>
      <c r="D4" s="1487"/>
      <c r="E4" s="1487"/>
      <c r="F4" s="1762"/>
      <c r="G4" s="1434"/>
      <c r="H4" s="1487"/>
      <c r="I4" s="1487"/>
      <c r="J4" s="1762"/>
      <c r="K4" s="1434"/>
      <c r="L4" s="1487"/>
      <c r="M4" s="1487"/>
      <c r="N4" s="1762"/>
      <c r="O4" s="1315" t="s">
        <v>606</v>
      </c>
      <c r="P4" s="1316"/>
      <c r="Q4" s="1316"/>
      <c r="R4" s="518" t="s">
        <v>644</v>
      </c>
    </row>
    <row r="5" spans="1:18">
      <c r="A5" s="516"/>
      <c r="B5" s="500"/>
      <c r="C5" s="503" t="s">
        <v>752</v>
      </c>
      <c r="D5" s="505"/>
      <c r="E5" s="505"/>
      <c r="F5" s="505"/>
      <c r="G5" s="503" t="s">
        <v>752</v>
      </c>
      <c r="H5" s="505"/>
      <c r="I5" s="505"/>
      <c r="J5" s="505"/>
      <c r="K5" s="503" t="s">
        <v>752</v>
      </c>
      <c r="L5" s="505"/>
      <c r="M5" s="505"/>
      <c r="N5" s="506"/>
      <c r="O5" s="503" t="s">
        <v>752</v>
      </c>
      <c r="P5" s="505"/>
      <c r="Q5" s="505"/>
      <c r="R5" s="506"/>
    </row>
    <row r="6" spans="1:18" ht="14.4" thickBot="1">
      <c r="A6" s="942" t="s">
        <v>492</v>
      </c>
      <c r="B6" s="500"/>
      <c r="C6" s="519"/>
      <c r="D6" s="520" t="s">
        <v>465</v>
      </c>
      <c r="E6" s="521" t="s">
        <v>466</v>
      </c>
      <c r="F6" s="521" t="s">
        <v>325</v>
      </c>
      <c r="G6" s="519"/>
      <c r="H6" s="520" t="s">
        <v>465</v>
      </c>
      <c r="I6" s="521" t="s">
        <v>466</v>
      </c>
      <c r="J6" s="521" t="s">
        <v>325</v>
      </c>
      <c r="K6" s="508"/>
      <c r="L6" s="511" t="s">
        <v>465</v>
      </c>
      <c r="M6" s="868" t="s">
        <v>466</v>
      </c>
      <c r="N6" s="869" t="s">
        <v>325</v>
      </c>
      <c r="O6" s="508"/>
      <c r="P6" s="511" t="s">
        <v>465</v>
      </c>
      <c r="Q6" s="868" t="s">
        <v>466</v>
      </c>
      <c r="R6" s="869" t="s">
        <v>325</v>
      </c>
    </row>
    <row r="7" spans="1:18" ht="24.9" customHeight="1">
      <c r="A7" s="524"/>
      <c r="B7" s="525">
        <v>0</v>
      </c>
      <c r="C7" s="317">
        <f t="shared" ref="C7:C30" si="0">SUM(D7:F7)</f>
        <v>22</v>
      </c>
      <c r="D7" s="194">
        <v>1</v>
      </c>
      <c r="E7" s="195">
        <v>20</v>
      </c>
      <c r="F7" s="195">
        <v>1</v>
      </c>
      <c r="G7" s="317">
        <f t="shared" ref="G7:G30" si="1">SUM(H7:J7)</f>
        <v>1</v>
      </c>
      <c r="H7" s="194">
        <v>0</v>
      </c>
      <c r="I7" s="195">
        <v>0</v>
      </c>
      <c r="J7" s="195">
        <v>1</v>
      </c>
      <c r="K7" s="319">
        <f t="shared" ref="K7:K30" si="2">SUM(L7:N7)</f>
        <v>22</v>
      </c>
      <c r="L7" s="186">
        <v>1</v>
      </c>
      <c r="M7" s="186">
        <v>21</v>
      </c>
      <c r="N7" s="277">
        <v>0</v>
      </c>
      <c r="O7" s="319">
        <f t="shared" ref="O7:O30" si="3">SUM(P7:R7)</f>
        <v>9</v>
      </c>
      <c r="P7" s="186">
        <v>0</v>
      </c>
      <c r="Q7" s="186">
        <v>9</v>
      </c>
      <c r="R7" s="277">
        <v>0</v>
      </c>
    </row>
    <row r="8" spans="1:18" ht="24.9" customHeight="1">
      <c r="A8" s="524" t="s">
        <v>631</v>
      </c>
      <c r="B8" s="948">
        <v>1</v>
      </c>
      <c r="C8" s="208">
        <f t="shared" si="0"/>
        <v>14</v>
      </c>
      <c r="D8" s="204">
        <v>0</v>
      </c>
      <c r="E8" s="203">
        <v>14</v>
      </c>
      <c r="F8" s="203">
        <v>0</v>
      </c>
      <c r="G8" s="208">
        <f t="shared" si="1"/>
        <v>1</v>
      </c>
      <c r="H8" s="204">
        <v>0</v>
      </c>
      <c r="I8" s="203">
        <v>1</v>
      </c>
      <c r="J8" s="203">
        <v>0</v>
      </c>
      <c r="K8" s="205">
        <f t="shared" si="2"/>
        <v>17</v>
      </c>
      <c r="L8" s="204">
        <v>0</v>
      </c>
      <c r="M8" s="204">
        <v>17</v>
      </c>
      <c r="N8" s="217">
        <v>0</v>
      </c>
      <c r="O8" s="205">
        <f t="shared" si="3"/>
        <v>6</v>
      </c>
      <c r="P8" s="204">
        <v>0</v>
      </c>
      <c r="Q8" s="204">
        <v>6</v>
      </c>
      <c r="R8" s="217">
        <v>0</v>
      </c>
    </row>
    <row r="9" spans="1:18" ht="24.9" customHeight="1">
      <c r="A9" s="524"/>
      <c r="B9" s="948">
        <v>2</v>
      </c>
      <c r="C9" s="208">
        <f t="shared" si="0"/>
        <v>14</v>
      </c>
      <c r="D9" s="204">
        <v>1</v>
      </c>
      <c r="E9" s="203">
        <v>13</v>
      </c>
      <c r="F9" s="203">
        <v>0</v>
      </c>
      <c r="G9" s="208">
        <f t="shared" si="1"/>
        <v>0</v>
      </c>
      <c r="H9" s="204">
        <v>0</v>
      </c>
      <c r="I9" s="203">
        <v>0</v>
      </c>
      <c r="J9" s="203">
        <v>0</v>
      </c>
      <c r="K9" s="205">
        <f t="shared" si="2"/>
        <v>17</v>
      </c>
      <c r="L9" s="204">
        <v>1</v>
      </c>
      <c r="M9" s="204">
        <v>16</v>
      </c>
      <c r="N9" s="217">
        <v>0</v>
      </c>
      <c r="O9" s="205">
        <f t="shared" si="3"/>
        <v>6</v>
      </c>
      <c r="P9" s="204">
        <v>1</v>
      </c>
      <c r="Q9" s="204">
        <v>5</v>
      </c>
      <c r="R9" s="217">
        <v>0</v>
      </c>
    </row>
    <row r="10" spans="1:18" ht="24.9" customHeight="1">
      <c r="A10" s="524" t="s">
        <v>632</v>
      </c>
      <c r="B10" s="948">
        <v>3</v>
      </c>
      <c r="C10" s="208">
        <f t="shared" si="0"/>
        <v>8</v>
      </c>
      <c r="D10" s="204">
        <v>1</v>
      </c>
      <c r="E10" s="203">
        <v>6</v>
      </c>
      <c r="F10" s="203">
        <v>1</v>
      </c>
      <c r="G10" s="208">
        <f t="shared" si="1"/>
        <v>0</v>
      </c>
      <c r="H10" s="204">
        <v>0</v>
      </c>
      <c r="I10" s="203">
        <v>0</v>
      </c>
      <c r="J10" s="203">
        <v>0</v>
      </c>
      <c r="K10" s="205">
        <f t="shared" si="2"/>
        <v>9</v>
      </c>
      <c r="L10" s="204">
        <v>1</v>
      </c>
      <c r="M10" s="204">
        <v>7</v>
      </c>
      <c r="N10" s="217">
        <v>1</v>
      </c>
      <c r="O10" s="205">
        <f t="shared" si="3"/>
        <v>2</v>
      </c>
      <c r="P10" s="204">
        <v>0</v>
      </c>
      <c r="Q10" s="204">
        <v>1</v>
      </c>
      <c r="R10" s="217">
        <v>1</v>
      </c>
    </row>
    <row r="11" spans="1:18" ht="24.9" customHeight="1">
      <c r="A11" s="524"/>
      <c r="B11" s="948">
        <v>4</v>
      </c>
      <c r="C11" s="208">
        <f t="shared" si="0"/>
        <v>7</v>
      </c>
      <c r="D11" s="204">
        <v>0</v>
      </c>
      <c r="E11" s="203">
        <v>7</v>
      </c>
      <c r="F11" s="203">
        <v>0</v>
      </c>
      <c r="G11" s="208">
        <f t="shared" si="1"/>
        <v>1</v>
      </c>
      <c r="H11" s="204">
        <v>0</v>
      </c>
      <c r="I11" s="203">
        <v>1</v>
      </c>
      <c r="J11" s="203">
        <v>0</v>
      </c>
      <c r="K11" s="205">
        <f t="shared" si="2"/>
        <v>6</v>
      </c>
      <c r="L11" s="204">
        <v>0</v>
      </c>
      <c r="M11" s="204">
        <v>6</v>
      </c>
      <c r="N11" s="217">
        <v>0</v>
      </c>
      <c r="O11" s="205">
        <f t="shared" si="3"/>
        <v>2</v>
      </c>
      <c r="P11" s="204">
        <v>0</v>
      </c>
      <c r="Q11" s="204">
        <v>2</v>
      </c>
      <c r="R11" s="217">
        <v>0</v>
      </c>
    </row>
    <row r="12" spans="1:18" ht="24.9" customHeight="1">
      <c r="A12" s="551"/>
      <c r="B12" s="948">
        <v>5</v>
      </c>
      <c r="C12" s="208">
        <f t="shared" si="0"/>
        <v>14</v>
      </c>
      <c r="D12" s="204">
        <v>1</v>
      </c>
      <c r="E12" s="203">
        <v>13</v>
      </c>
      <c r="F12" s="203">
        <v>0</v>
      </c>
      <c r="G12" s="208">
        <f t="shared" si="1"/>
        <v>0</v>
      </c>
      <c r="H12" s="204">
        <v>0</v>
      </c>
      <c r="I12" s="203">
        <v>0</v>
      </c>
      <c r="J12" s="203">
        <v>0</v>
      </c>
      <c r="K12" s="205">
        <f t="shared" si="2"/>
        <v>14</v>
      </c>
      <c r="L12" s="204">
        <v>1</v>
      </c>
      <c r="M12" s="204">
        <v>13</v>
      </c>
      <c r="N12" s="217">
        <v>0</v>
      </c>
      <c r="O12" s="205">
        <f t="shared" si="3"/>
        <v>7</v>
      </c>
      <c r="P12" s="204">
        <v>0</v>
      </c>
      <c r="Q12" s="204">
        <v>7</v>
      </c>
      <c r="R12" s="217">
        <v>0</v>
      </c>
    </row>
    <row r="13" spans="1:18" ht="24.9" customHeight="1">
      <c r="A13" s="529"/>
      <c r="B13" s="530">
        <v>6</v>
      </c>
      <c r="C13" s="317">
        <f t="shared" si="0"/>
        <v>27</v>
      </c>
      <c r="D13" s="189">
        <v>0</v>
      </c>
      <c r="E13" s="188">
        <v>27</v>
      </c>
      <c r="F13" s="188">
        <v>0</v>
      </c>
      <c r="G13" s="317">
        <f t="shared" si="1"/>
        <v>0</v>
      </c>
      <c r="H13" s="189">
        <v>0</v>
      </c>
      <c r="I13" s="188">
        <v>0</v>
      </c>
      <c r="J13" s="188">
        <v>0</v>
      </c>
      <c r="K13" s="320">
        <f t="shared" si="2"/>
        <v>29</v>
      </c>
      <c r="L13" s="189">
        <v>0</v>
      </c>
      <c r="M13" s="189">
        <v>29</v>
      </c>
      <c r="N13" s="217">
        <v>0</v>
      </c>
      <c r="O13" s="320">
        <f t="shared" si="3"/>
        <v>7</v>
      </c>
      <c r="P13" s="189">
        <v>0</v>
      </c>
      <c r="Q13" s="189">
        <v>7</v>
      </c>
      <c r="R13" s="217">
        <v>0</v>
      </c>
    </row>
    <row r="14" spans="1:18" ht="24.9" customHeight="1">
      <c r="A14" s="529"/>
      <c r="B14" s="530">
        <v>7</v>
      </c>
      <c r="C14" s="317">
        <f t="shared" si="0"/>
        <v>72</v>
      </c>
      <c r="D14" s="189">
        <v>0</v>
      </c>
      <c r="E14" s="188">
        <v>70</v>
      </c>
      <c r="F14" s="188">
        <v>2</v>
      </c>
      <c r="G14" s="317">
        <f t="shared" si="1"/>
        <v>3</v>
      </c>
      <c r="H14" s="189">
        <v>0</v>
      </c>
      <c r="I14" s="188">
        <v>2</v>
      </c>
      <c r="J14" s="188">
        <v>1</v>
      </c>
      <c r="K14" s="320">
        <f t="shared" si="2"/>
        <v>73</v>
      </c>
      <c r="L14" s="189">
        <v>0</v>
      </c>
      <c r="M14" s="189">
        <v>72</v>
      </c>
      <c r="N14" s="217">
        <v>1</v>
      </c>
      <c r="O14" s="320">
        <f t="shared" si="3"/>
        <v>13</v>
      </c>
      <c r="P14" s="189">
        <v>0</v>
      </c>
      <c r="Q14" s="189">
        <v>12</v>
      </c>
      <c r="R14" s="217">
        <v>1</v>
      </c>
    </row>
    <row r="15" spans="1:18" ht="24.9" customHeight="1">
      <c r="A15" s="529"/>
      <c r="B15" s="530">
        <v>8</v>
      </c>
      <c r="C15" s="317">
        <f t="shared" si="0"/>
        <v>69</v>
      </c>
      <c r="D15" s="189">
        <v>1</v>
      </c>
      <c r="E15" s="188">
        <v>67</v>
      </c>
      <c r="F15" s="188">
        <v>1</v>
      </c>
      <c r="G15" s="317">
        <f t="shared" si="1"/>
        <v>1</v>
      </c>
      <c r="H15" s="189">
        <v>0</v>
      </c>
      <c r="I15" s="188">
        <v>1</v>
      </c>
      <c r="J15" s="188">
        <v>0</v>
      </c>
      <c r="K15" s="320">
        <f t="shared" si="2"/>
        <v>73</v>
      </c>
      <c r="L15" s="189">
        <v>1</v>
      </c>
      <c r="M15" s="189">
        <v>71</v>
      </c>
      <c r="N15" s="217">
        <v>1</v>
      </c>
      <c r="O15" s="320">
        <f t="shared" si="3"/>
        <v>15</v>
      </c>
      <c r="P15" s="189">
        <v>0</v>
      </c>
      <c r="Q15" s="189">
        <v>15</v>
      </c>
      <c r="R15" s="217">
        <v>0</v>
      </c>
    </row>
    <row r="16" spans="1:18" ht="24.9" customHeight="1">
      <c r="A16" s="529"/>
      <c r="B16" s="530">
        <v>9</v>
      </c>
      <c r="C16" s="317">
        <f t="shared" si="0"/>
        <v>36</v>
      </c>
      <c r="D16" s="189">
        <v>0</v>
      </c>
      <c r="E16" s="188">
        <v>36</v>
      </c>
      <c r="F16" s="188">
        <v>0</v>
      </c>
      <c r="G16" s="317">
        <f t="shared" si="1"/>
        <v>1</v>
      </c>
      <c r="H16" s="189">
        <v>0</v>
      </c>
      <c r="I16" s="188">
        <v>1</v>
      </c>
      <c r="J16" s="188">
        <v>0</v>
      </c>
      <c r="K16" s="320">
        <f t="shared" si="2"/>
        <v>38</v>
      </c>
      <c r="L16" s="189">
        <v>0</v>
      </c>
      <c r="M16" s="189">
        <v>38</v>
      </c>
      <c r="N16" s="217">
        <v>0</v>
      </c>
      <c r="O16" s="320">
        <f t="shared" si="3"/>
        <v>7</v>
      </c>
      <c r="P16" s="189">
        <v>0</v>
      </c>
      <c r="Q16" s="189">
        <v>7</v>
      </c>
      <c r="R16" s="217">
        <v>0</v>
      </c>
    </row>
    <row r="17" spans="1:18" ht="24.9" customHeight="1">
      <c r="A17" s="529"/>
      <c r="B17" s="530">
        <v>10</v>
      </c>
      <c r="C17" s="317">
        <f t="shared" si="0"/>
        <v>57</v>
      </c>
      <c r="D17" s="189">
        <v>1</v>
      </c>
      <c r="E17" s="188">
        <v>56</v>
      </c>
      <c r="F17" s="188">
        <v>0</v>
      </c>
      <c r="G17" s="317">
        <f t="shared" si="1"/>
        <v>0</v>
      </c>
      <c r="H17" s="189">
        <v>0</v>
      </c>
      <c r="I17" s="188">
        <v>0</v>
      </c>
      <c r="J17" s="188">
        <v>0</v>
      </c>
      <c r="K17" s="320">
        <f t="shared" si="2"/>
        <v>65</v>
      </c>
      <c r="L17" s="189">
        <v>1</v>
      </c>
      <c r="M17" s="189">
        <v>64</v>
      </c>
      <c r="N17" s="217">
        <v>0</v>
      </c>
      <c r="O17" s="320">
        <f t="shared" si="3"/>
        <v>15</v>
      </c>
      <c r="P17" s="189">
        <v>1</v>
      </c>
      <c r="Q17" s="189">
        <v>14</v>
      </c>
      <c r="R17" s="217">
        <v>0</v>
      </c>
    </row>
    <row r="18" spans="1:18" ht="24.9" customHeight="1">
      <c r="A18" s="529"/>
      <c r="B18" s="530">
        <v>11</v>
      </c>
      <c r="C18" s="317">
        <f t="shared" si="0"/>
        <v>36</v>
      </c>
      <c r="D18" s="189">
        <v>1</v>
      </c>
      <c r="E18" s="188">
        <v>35</v>
      </c>
      <c r="F18" s="188">
        <v>0</v>
      </c>
      <c r="G18" s="317">
        <f t="shared" si="1"/>
        <v>1</v>
      </c>
      <c r="H18" s="189">
        <v>0</v>
      </c>
      <c r="I18" s="188">
        <v>1</v>
      </c>
      <c r="J18" s="188">
        <v>0</v>
      </c>
      <c r="K18" s="320">
        <f t="shared" si="2"/>
        <v>36</v>
      </c>
      <c r="L18" s="189">
        <v>1</v>
      </c>
      <c r="M18" s="189">
        <v>35</v>
      </c>
      <c r="N18" s="217">
        <v>0</v>
      </c>
      <c r="O18" s="320">
        <f t="shared" si="3"/>
        <v>7</v>
      </c>
      <c r="P18" s="189">
        <v>0</v>
      </c>
      <c r="Q18" s="189">
        <v>7</v>
      </c>
      <c r="R18" s="217">
        <v>0</v>
      </c>
    </row>
    <row r="19" spans="1:18" ht="24.9" customHeight="1">
      <c r="A19" s="529"/>
      <c r="B19" s="530">
        <v>12</v>
      </c>
      <c r="C19" s="317">
        <f t="shared" si="0"/>
        <v>50</v>
      </c>
      <c r="D19" s="189">
        <v>3</v>
      </c>
      <c r="E19" s="188">
        <v>47</v>
      </c>
      <c r="F19" s="188">
        <v>0</v>
      </c>
      <c r="G19" s="317">
        <f t="shared" si="1"/>
        <v>0</v>
      </c>
      <c r="H19" s="189">
        <v>0</v>
      </c>
      <c r="I19" s="188">
        <v>0</v>
      </c>
      <c r="J19" s="188">
        <v>0</v>
      </c>
      <c r="K19" s="320">
        <f t="shared" si="2"/>
        <v>54</v>
      </c>
      <c r="L19" s="189">
        <v>3</v>
      </c>
      <c r="M19" s="189">
        <v>51</v>
      </c>
      <c r="N19" s="217">
        <v>0</v>
      </c>
      <c r="O19" s="320">
        <f t="shared" si="3"/>
        <v>7</v>
      </c>
      <c r="P19" s="189">
        <v>0</v>
      </c>
      <c r="Q19" s="189">
        <v>7</v>
      </c>
      <c r="R19" s="217">
        <v>0</v>
      </c>
    </row>
    <row r="20" spans="1:18" ht="24.9" customHeight="1">
      <c r="A20" s="529"/>
      <c r="B20" s="530">
        <v>13</v>
      </c>
      <c r="C20" s="317">
        <f t="shared" si="0"/>
        <v>34</v>
      </c>
      <c r="D20" s="189">
        <v>0</v>
      </c>
      <c r="E20" s="188">
        <v>34</v>
      </c>
      <c r="F20" s="188">
        <v>0</v>
      </c>
      <c r="G20" s="317">
        <f t="shared" si="1"/>
        <v>0</v>
      </c>
      <c r="H20" s="189">
        <v>0</v>
      </c>
      <c r="I20" s="188">
        <v>0</v>
      </c>
      <c r="J20" s="188">
        <v>0</v>
      </c>
      <c r="K20" s="320">
        <f t="shared" si="2"/>
        <v>36</v>
      </c>
      <c r="L20" s="189">
        <v>0</v>
      </c>
      <c r="M20" s="189">
        <v>36</v>
      </c>
      <c r="N20" s="217">
        <v>0</v>
      </c>
      <c r="O20" s="320">
        <f t="shared" si="3"/>
        <v>6</v>
      </c>
      <c r="P20" s="189">
        <v>0</v>
      </c>
      <c r="Q20" s="189">
        <v>6</v>
      </c>
      <c r="R20" s="217">
        <v>0</v>
      </c>
    </row>
    <row r="21" spans="1:18" ht="24.9" customHeight="1">
      <c r="A21" s="529"/>
      <c r="B21" s="530">
        <v>14</v>
      </c>
      <c r="C21" s="317">
        <f t="shared" si="0"/>
        <v>28</v>
      </c>
      <c r="D21" s="189">
        <v>1</v>
      </c>
      <c r="E21" s="188">
        <v>27</v>
      </c>
      <c r="F21" s="188">
        <v>0</v>
      </c>
      <c r="G21" s="317">
        <f t="shared" si="1"/>
        <v>0</v>
      </c>
      <c r="H21" s="189">
        <v>0</v>
      </c>
      <c r="I21" s="188">
        <v>0</v>
      </c>
      <c r="J21" s="188">
        <v>0</v>
      </c>
      <c r="K21" s="320">
        <f t="shared" si="2"/>
        <v>32</v>
      </c>
      <c r="L21" s="189">
        <v>1</v>
      </c>
      <c r="M21" s="189">
        <v>31</v>
      </c>
      <c r="N21" s="217">
        <v>0</v>
      </c>
      <c r="O21" s="320">
        <f t="shared" si="3"/>
        <v>5</v>
      </c>
      <c r="P21" s="189">
        <v>0</v>
      </c>
      <c r="Q21" s="189">
        <v>5</v>
      </c>
      <c r="R21" s="217">
        <v>0</v>
      </c>
    </row>
    <row r="22" spans="1:18" ht="24.9" customHeight="1">
      <c r="A22" s="529"/>
      <c r="B22" s="530">
        <v>15</v>
      </c>
      <c r="C22" s="317">
        <f t="shared" si="0"/>
        <v>55</v>
      </c>
      <c r="D22" s="189">
        <v>0</v>
      </c>
      <c r="E22" s="188">
        <v>55</v>
      </c>
      <c r="F22" s="188">
        <v>0</v>
      </c>
      <c r="G22" s="317">
        <f t="shared" si="1"/>
        <v>0</v>
      </c>
      <c r="H22" s="189">
        <v>0</v>
      </c>
      <c r="I22" s="188">
        <v>0</v>
      </c>
      <c r="J22" s="188">
        <v>0</v>
      </c>
      <c r="K22" s="320">
        <f t="shared" si="2"/>
        <v>61</v>
      </c>
      <c r="L22" s="189">
        <v>0</v>
      </c>
      <c r="M22" s="189">
        <v>61</v>
      </c>
      <c r="N22" s="217">
        <v>0</v>
      </c>
      <c r="O22" s="320">
        <f t="shared" si="3"/>
        <v>10</v>
      </c>
      <c r="P22" s="189">
        <v>0</v>
      </c>
      <c r="Q22" s="189">
        <v>10</v>
      </c>
      <c r="R22" s="217">
        <v>0</v>
      </c>
    </row>
    <row r="23" spans="1:18" ht="24.9" customHeight="1">
      <c r="A23" s="529"/>
      <c r="B23" s="530">
        <v>16</v>
      </c>
      <c r="C23" s="317">
        <f t="shared" si="0"/>
        <v>58</v>
      </c>
      <c r="D23" s="189">
        <v>1</v>
      </c>
      <c r="E23" s="188">
        <v>57</v>
      </c>
      <c r="F23" s="188">
        <v>0</v>
      </c>
      <c r="G23" s="317">
        <f t="shared" si="1"/>
        <v>0</v>
      </c>
      <c r="H23" s="189">
        <v>0</v>
      </c>
      <c r="I23" s="188">
        <v>0</v>
      </c>
      <c r="J23" s="188">
        <v>0</v>
      </c>
      <c r="K23" s="320">
        <f t="shared" si="2"/>
        <v>66</v>
      </c>
      <c r="L23" s="189">
        <v>1</v>
      </c>
      <c r="M23" s="189">
        <v>65</v>
      </c>
      <c r="N23" s="217">
        <v>0</v>
      </c>
      <c r="O23" s="320">
        <f t="shared" si="3"/>
        <v>7</v>
      </c>
      <c r="P23" s="189">
        <v>0</v>
      </c>
      <c r="Q23" s="189">
        <v>7</v>
      </c>
      <c r="R23" s="217">
        <v>0</v>
      </c>
    </row>
    <row r="24" spans="1:18" ht="24.9" customHeight="1">
      <c r="A24" s="529"/>
      <c r="B24" s="530">
        <v>17</v>
      </c>
      <c r="C24" s="317">
        <f t="shared" si="0"/>
        <v>81</v>
      </c>
      <c r="D24" s="189">
        <v>2</v>
      </c>
      <c r="E24" s="188">
        <v>79</v>
      </c>
      <c r="F24" s="188">
        <v>0</v>
      </c>
      <c r="G24" s="317">
        <f t="shared" si="1"/>
        <v>1</v>
      </c>
      <c r="H24" s="189">
        <v>0</v>
      </c>
      <c r="I24" s="188">
        <v>1</v>
      </c>
      <c r="J24" s="188">
        <v>0</v>
      </c>
      <c r="K24" s="320">
        <f t="shared" si="2"/>
        <v>83</v>
      </c>
      <c r="L24" s="189">
        <v>2</v>
      </c>
      <c r="M24" s="189">
        <v>81</v>
      </c>
      <c r="N24" s="217">
        <v>0</v>
      </c>
      <c r="O24" s="320">
        <f t="shared" si="3"/>
        <v>11</v>
      </c>
      <c r="P24" s="189">
        <v>0</v>
      </c>
      <c r="Q24" s="189">
        <v>11</v>
      </c>
      <c r="R24" s="217">
        <v>0</v>
      </c>
    </row>
    <row r="25" spans="1:18" ht="24.9" customHeight="1">
      <c r="A25" s="531"/>
      <c r="B25" s="527">
        <v>18</v>
      </c>
      <c r="C25" s="317">
        <f t="shared" si="0"/>
        <v>84</v>
      </c>
      <c r="D25" s="189">
        <v>4</v>
      </c>
      <c r="E25" s="188">
        <v>79</v>
      </c>
      <c r="F25" s="188">
        <v>1</v>
      </c>
      <c r="G25" s="317">
        <f t="shared" si="1"/>
        <v>0</v>
      </c>
      <c r="H25" s="189">
        <v>0</v>
      </c>
      <c r="I25" s="188">
        <v>0</v>
      </c>
      <c r="J25" s="188">
        <v>0</v>
      </c>
      <c r="K25" s="320">
        <f t="shared" si="2"/>
        <v>91</v>
      </c>
      <c r="L25" s="189">
        <v>4</v>
      </c>
      <c r="M25" s="189">
        <v>86</v>
      </c>
      <c r="N25" s="217">
        <v>1</v>
      </c>
      <c r="O25" s="320">
        <f t="shared" si="3"/>
        <v>11</v>
      </c>
      <c r="P25" s="189">
        <v>1</v>
      </c>
      <c r="Q25" s="189">
        <v>10</v>
      </c>
      <c r="R25" s="217">
        <v>0</v>
      </c>
    </row>
    <row r="26" spans="1:18" ht="24.9" customHeight="1">
      <c r="A26" s="524" t="s">
        <v>631</v>
      </c>
      <c r="B26" s="527">
        <v>19</v>
      </c>
      <c r="C26" s="317">
        <f t="shared" si="0"/>
        <v>64</v>
      </c>
      <c r="D26" s="189">
        <v>3</v>
      </c>
      <c r="E26" s="188">
        <v>59</v>
      </c>
      <c r="F26" s="188">
        <v>2</v>
      </c>
      <c r="G26" s="317">
        <f t="shared" si="1"/>
        <v>1</v>
      </c>
      <c r="H26" s="189">
        <v>0</v>
      </c>
      <c r="I26" s="188">
        <v>1</v>
      </c>
      <c r="J26" s="188">
        <v>0</v>
      </c>
      <c r="K26" s="320">
        <f t="shared" si="2"/>
        <v>69</v>
      </c>
      <c r="L26" s="189">
        <v>3</v>
      </c>
      <c r="M26" s="189">
        <v>63</v>
      </c>
      <c r="N26" s="217">
        <v>3</v>
      </c>
      <c r="O26" s="320">
        <f t="shared" si="3"/>
        <v>12</v>
      </c>
      <c r="P26" s="189">
        <v>1</v>
      </c>
      <c r="Q26" s="189">
        <v>10</v>
      </c>
      <c r="R26" s="217">
        <v>1</v>
      </c>
    </row>
    <row r="27" spans="1:18" ht="24.9" customHeight="1">
      <c r="A27" s="524"/>
      <c r="B27" s="527">
        <v>20</v>
      </c>
      <c r="C27" s="317">
        <f t="shared" si="0"/>
        <v>47</v>
      </c>
      <c r="D27" s="189">
        <v>5</v>
      </c>
      <c r="E27" s="188">
        <v>42</v>
      </c>
      <c r="F27" s="188">
        <v>0</v>
      </c>
      <c r="G27" s="317">
        <f t="shared" si="1"/>
        <v>0</v>
      </c>
      <c r="H27" s="189">
        <v>0</v>
      </c>
      <c r="I27" s="188">
        <v>0</v>
      </c>
      <c r="J27" s="188">
        <v>0</v>
      </c>
      <c r="K27" s="320">
        <f t="shared" si="2"/>
        <v>49</v>
      </c>
      <c r="L27" s="189">
        <v>5</v>
      </c>
      <c r="M27" s="189">
        <v>44</v>
      </c>
      <c r="N27" s="217">
        <v>0</v>
      </c>
      <c r="O27" s="320">
        <f t="shared" si="3"/>
        <v>8</v>
      </c>
      <c r="P27" s="189">
        <v>1</v>
      </c>
      <c r="Q27" s="189">
        <v>7</v>
      </c>
      <c r="R27" s="217">
        <v>0</v>
      </c>
    </row>
    <row r="28" spans="1:18" ht="24.9" customHeight="1">
      <c r="A28" s="524" t="s">
        <v>632</v>
      </c>
      <c r="B28" s="527">
        <v>21</v>
      </c>
      <c r="C28" s="317">
        <f t="shared" si="0"/>
        <v>41</v>
      </c>
      <c r="D28" s="189">
        <v>1</v>
      </c>
      <c r="E28" s="188">
        <v>40</v>
      </c>
      <c r="F28" s="188">
        <v>0</v>
      </c>
      <c r="G28" s="317">
        <f t="shared" si="1"/>
        <v>0</v>
      </c>
      <c r="H28" s="189">
        <v>0</v>
      </c>
      <c r="I28" s="188">
        <v>0</v>
      </c>
      <c r="J28" s="188">
        <v>0</v>
      </c>
      <c r="K28" s="320">
        <f t="shared" si="2"/>
        <v>44</v>
      </c>
      <c r="L28" s="189">
        <v>1</v>
      </c>
      <c r="M28" s="189">
        <v>43</v>
      </c>
      <c r="N28" s="217">
        <v>0</v>
      </c>
      <c r="O28" s="320">
        <f t="shared" si="3"/>
        <v>7</v>
      </c>
      <c r="P28" s="189">
        <v>0</v>
      </c>
      <c r="Q28" s="189">
        <v>7</v>
      </c>
      <c r="R28" s="217">
        <v>0</v>
      </c>
    </row>
    <row r="29" spans="1:18" ht="24.9" customHeight="1">
      <c r="A29" s="524"/>
      <c r="B29" s="527">
        <v>22</v>
      </c>
      <c r="C29" s="317">
        <f t="shared" si="0"/>
        <v>35</v>
      </c>
      <c r="D29" s="189">
        <v>3</v>
      </c>
      <c r="E29" s="188">
        <v>32</v>
      </c>
      <c r="F29" s="188">
        <v>0</v>
      </c>
      <c r="G29" s="317">
        <f t="shared" si="1"/>
        <v>1</v>
      </c>
      <c r="H29" s="189">
        <v>0</v>
      </c>
      <c r="I29" s="188">
        <v>1</v>
      </c>
      <c r="J29" s="188">
        <v>0</v>
      </c>
      <c r="K29" s="320">
        <f t="shared" si="2"/>
        <v>37</v>
      </c>
      <c r="L29" s="189">
        <v>3</v>
      </c>
      <c r="M29" s="189">
        <v>34</v>
      </c>
      <c r="N29" s="217">
        <v>0</v>
      </c>
      <c r="O29" s="320">
        <f t="shared" si="3"/>
        <v>9</v>
      </c>
      <c r="P29" s="189">
        <v>1</v>
      </c>
      <c r="Q29" s="189">
        <v>8</v>
      </c>
      <c r="R29" s="217">
        <v>0</v>
      </c>
    </row>
    <row r="30" spans="1:18" ht="24.9" customHeight="1" thickBot="1">
      <c r="A30" s="524"/>
      <c r="B30" s="532">
        <v>23</v>
      </c>
      <c r="C30" s="196">
        <f t="shared" si="0"/>
        <v>29</v>
      </c>
      <c r="D30" s="214">
        <v>0</v>
      </c>
      <c r="E30" s="220">
        <v>28</v>
      </c>
      <c r="F30" s="220">
        <v>1</v>
      </c>
      <c r="G30" s="196">
        <f t="shared" si="1"/>
        <v>0</v>
      </c>
      <c r="H30" s="214">
        <v>0</v>
      </c>
      <c r="I30" s="220">
        <v>0</v>
      </c>
      <c r="J30" s="220">
        <v>0</v>
      </c>
      <c r="K30" s="181">
        <f t="shared" si="2"/>
        <v>33</v>
      </c>
      <c r="L30" s="222">
        <v>0</v>
      </c>
      <c r="M30" s="222">
        <v>31</v>
      </c>
      <c r="N30" s="223">
        <v>2</v>
      </c>
      <c r="O30" s="181">
        <f t="shared" si="3"/>
        <v>8</v>
      </c>
      <c r="P30" s="222">
        <v>0</v>
      </c>
      <c r="Q30" s="222">
        <v>8</v>
      </c>
      <c r="R30" s="223">
        <v>0</v>
      </c>
    </row>
    <row r="31" spans="1:18" ht="24.9" customHeight="1">
      <c r="A31" s="1513" t="s">
        <v>633</v>
      </c>
      <c r="B31" s="1382"/>
      <c r="C31" s="198">
        <f t="shared" ref="C31:R31" si="4">SUM(C13:C24)</f>
        <v>603</v>
      </c>
      <c r="D31" s="13">
        <f t="shared" si="4"/>
        <v>10</v>
      </c>
      <c r="E31" s="13">
        <f t="shared" si="4"/>
        <v>590</v>
      </c>
      <c r="F31" s="11">
        <f t="shared" si="4"/>
        <v>3</v>
      </c>
      <c r="G31" s="198">
        <f t="shared" si="4"/>
        <v>7</v>
      </c>
      <c r="H31" s="13">
        <f t="shared" si="4"/>
        <v>0</v>
      </c>
      <c r="I31" s="13">
        <f t="shared" si="4"/>
        <v>6</v>
      </c>
      <c r="J31" s="12">
        <f t="shared" si="4"/>
        <v>1</v>
      </c>
      <c r="K31" s="207">
        <f t="shared" si="4"/>
        <v>646</v>
      </c>
      <c r="L31" s="33">
        <f t="shared" si="4"/>
        <v>10</v>
      </c>
      <c r="M31" s="33">
        <f t="shared" si="4"/>
        <v>634</v>
      </c>
      <c r="N31" s="32">
        <f t="shared" si="4"/>
        <v>2</v>
      </c>
      <c r="O31" s="207">
        <f t="shared" si="4"/>
        <v>110</v>
      </c>
      <c r="P31" s="33">
        <f t="shared" si="4"/>
        <v>1</v>
      </c>
      <c r="Q31" s="33">
        <f t="shared" si="4"/>
        <v>108</v>
      </c>
      <c r="R31" s="32">
        <f t="shared" si="4"/>
        <v>1</v>
      </c>
    </row>
    <row r="32" spans="1:18" ht="24.9" customHeight="1">
      <c r="A32" s="1514" t="s">
        <v>634</v>
      </c>
      <c r="B32" s="1669"/>
      <c r="C32" s="36">
        <f t="shared" ref="C32:R32" si="5">C33-C31</f>
        <v>379</v>
      </c>
      <c r="D32" s="23">
        <f t="shared" si="5"/>
        <v>20</v>
      </c>
      <c r="E32" s="23">
        <f t="shared" si="5"/>
        <v>353</v>
      </c>
      <c r="F32" s="21">
        <f t="shared" si="5"/>
        <v>6</v>
      </c>
      <c r="G32" s="36">
        <f t="shared" si="5"/>
        <v>5</v>
      </c>
      <c r="H32" s="23">
        <f t="shared" si="5"/>
        <v>0</v>
      </c>
      <c r="I32" s="23">
        <f t="shared" si="5"/>
        <v>4</v>
      </c>
      <c r="J32" s="22">
        <f t="shared" si="5"/>
        <v>1</v>
      </c>
      <c r="K32" s="200">
        <f t="shared" si="5"/>
        <v>408</v>
      </c>
      <c r="L32" s="23">
        <f t="shared" si="5"/>
        <v>20</v>
      </c>
      <c r="M32" s="23">
        <f t="shared" si="5"/>
        <v>381</v>
      </c>
      <c r="N32" s="22">
        <f t="shared" si="5"/>
        <v>7</v>
      </c>
      <c r="O32" s="200">
        <f t="shared" si="5"/>
        <v>87</v>
      </c>
      <c r="P32" s="23">
        <f t="shared" si="5"/>
        <v>5</v>
      </c>
      <c r="Q32" s="23">
        <f t="shared" si="5"/>
        <v>80</v>
      </c>
      <c r="R32" s="22">
        <f t="shared" si="5"/>
        <v>2</v>
      </c>
    </row>
    <row r="33" spans="1:18" ht="24.9" customHeight="1" thickBot="1">
      <c r="A33" s="1515" t="s">
        <v>635</v>
      </c>
      <c r="B33" s="1763"/>
      <c r="C33" s="167">
        <f t="shared" ref="C33:R33" si="6">SUM(C7:C30)</f>
        <v>982</v>
      </c>
      <c r="D33" s="39">
        <f t="shared" si="6"/>
        <v>30</v>
      </c>
      <c r="E33" s="39">
        <f t="shared" si="6"/>
        <v>943</v>
      </c>
      <c r="F33" s="40">
        <f t="shared" si="6"/>
        <v>9</v>
      </c>
      <c r="G33" s="167">
        <f t="shared" si="6"/>
        <v>12</v>
      </c>
      <c r="H33" s="39">
        <f t="shared" si="6"/>
        <v>0</v>
      </c>
      <c r="I33" s="39">
        <f t="shared" si="6"/>
        <v>10</v>
      </c>
      <c r="J33" s="168">
        <f t="shared" si="6"/>
        <v>2</v>
      </c>
      <c r="K33" s="201">
        <f t="shared" si="6"/>
        <v>1054</v>
      </c>
      <c r="L33" s="39">
        <f t="shared" si="6"/>
        <v>30</v>
      </c>
      <c r="M33" s="39">
        <f t="shared" si="6"/>
        <v>1015</v>
      </c>
      <c r="N33" s="168">
        <f t="shared" si="6"/>
        <v>9</v>
      </c>
      <c r="O33" s="201">
        <f t="shared" si="6"/>
        <v>197</v>
      </c>
      <c r="P33" s="39">
        <f t="shared" si="6"/>
        <v>6</v>
      </c>
      <c r="Q33" s="39">
        <f t="shared" si="6"/>
        <v>188</v>
      </c>
      <c r="R33" s="168">
        <f t="shared" si="6"/>
        <v>3</v>
      </c>
    </row>
    <row r="34" spans="1:18" s="1889" customFormat="1" ht="24.9" customHeight="1">
      <c r="A34" s="1889" t="s">
        <v>949</v>
      </c>
    </row>
    <row r="35" spans="1:18" s="1889" customFormat="1" ht="17.25" customHeight="1">
      <c r="A35" s="1889" t="s">
        <v>916</v>
      </c>
    </row>
  </sheetData>
  <mergeCells count="12">
    <mergeCell ref="A33:B33"/>
    <mergeCell ref="B3:B4"/>
    <mergeCell ref="C3:E4"/>
    <mergeCell ref="F3:F4"/>
    <mergeCell ref="G3:I4"/>
    <mergeCell ref="N3:N4"/>
    <mergeCell ref="O3:Q3"/>
    <mergeCell ref="O4:Q4"/>
    <mergeCell ref="A31:B31"/>
    <mergeCell ref="A32:B32"/>
    <mergeCell ref="J3:J4"/>
    <mergeCell ref="K3:M4"/>
  </mergeCells>
  <phoneticPr fontId="4"/>
  <printOptions horizontalCentered="1"/>
  <pageMargins left="0.78740157480314965" right="0.39370078740157483" top="0.98425196850393704" bottom="0.98425196850393704" header="0.31496062992125984" footer="0.51181102362204722"/>
  <pageSetup paperSize="9" scale="65" orientation="portrait" r:id="rId1"/>
  <headerFooter scaleWithDoc="0" alignWithMargins="0">
    <oddFooter>&amp;C- &amp;P -</oddFooter>
  </headerFooter>
  <ignoredErrors>
    <ignoredError sqref="C31:R31" formulaRange="1"/>
  </ignoredErrors>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3523E-C422-4167-835A-DD1F2612EC95}">
  <sheetPr>
    <pageSetUpPr fitToPage="1"/>
  </sheetPr>
  <dimension ref="A1:O48"/>
  <sheetViews>
    <sheetView tabSelected="1" view="pageBreakPreview" topLeftCell="A11" zoomScaleNormal="100" zoomScaleSheetLayoutView="100" workbookViewId="0">
      <selection activeCell="U24" sqref="U24"/>
    </sheetView>
  </sheetViews>
  <sheetFormatPr defaultColWidth="9" defaultRowHeight="13.8"/>
  <cols>
    <col min="1" max="1" width="1.6640625" style="497" customWidth="1"/>
    <col min="2" max="2" width="14.21875" style="497" customWidth="1"/>
    <col min="3" max="15" width="6.109375" style="497" customWidth="1"/>
    <col min="16" max="16384" width="9" style="497"/>
  </cols>
  <sheetData>
    <row r="1" spans="1:15" ht="15">
      <c r="A1" s="595" t="s">
        <v>500</v>
      </c>
      <c r="B1" s="595"/>
      <c r="C1" s="779"/>
      <c r="D1" s="779"/>
      <c r="E1" s="779"/>
      <c r="F1" s="779"/>
      <c r="G1" s="779"/>
      <c r="H1" s="779"/>
      <c r="I1" s="779"/>
      <c r="J1" s="779"/>
      <c r="K1" s="779"/>
    </row>
    <row r="2" spans="1:15" ht="12" customHeight="1">
      <c r="A2" s="595"/>
      <c r="B2" s="595"/>
      <c r="C2" s="779"/>
      <c r="D2" s="779"/>
      <c r="E2" s="779"/>
      <c r="F2" s="779"/>
      <c r="G2" s="779"/>
      <c r="H2" s="779"/>
      <c r="I2" s="779"/>
      <c r="J2" s="779"/>
      <c r="K2" s="779"/>
    </row>
    <row r="3" spans="1:15" ht="14.4" thickBot="1">
      <c r="A3" s="501" t="s">
        <v>497</v>
      </c>
      <c r="C3" s="779"/>
      <c r="D3" s="779"/>
      <c r="E3" s="779"/>
      <c r="F3" s="779"/>
      <c r="G3" s="779"/>
      <c r="H3" s="779"/>
      <c r="I3" s="779"/>
      <c r="J3" s="779"/>
      <c r="K3" s="779"/>
    </row>
    <row r="4" spans="1:15">
      <c r="A4" s="1420" t="s">
        <v>608</v>
      </c>
      <c r="B4" s="1421"/>
      <c r="C4" s="1820" t="s">
        <v>478</v>
      </c>
      <c r="D4" s="1822" t="s">
        <v>366</v>
      </c>
      <c r="E4" s="1822" t="s">
        <v>367</v>
      </c>
      <c r="F4" s="1822" t="s">
        <v>368</v>
      </c>
      <c r="G4" s="1822" t="s">
        <v>369</v>
      </c>
      <c r="H4" s="1822" t="s">
        <v>370</v>
      </c>
      <c r="I4" s="1822" t="s">
        <v>479</v>
      </c>
      <c r="J4" s="1822" t="s">
        <v>480</v>
      </c>
      <c r="K4" s="1822" t="s">
        <v>481</v>
      </c>
      <c r="L4" s="1824" t="s">
        <v>482</v>
      </c>
      <c r="M4" s="1816" t="s">
        <v>483</v>
      </c>
      <c r="N4" s="1816" t="s">
        <v>547</v>
      </c>
      <c r="O4" s="1814" t="s">
        <v>559</v>
      </c>
    </row>
    <row r="5" spans="1:15" ht="14.4" thickBot="1">
      <c r="A5" s="796" t="s">
        <v>619</v>
      </c>
      <c r="B5" s="553"/>
      <c r="C5" s="1821"/>
      <c r="D5" s="1823"/>
      <c r="E5" s="1823"/>
      <c r="F5" s="1823"/>
      <c r="G5" s="1823"/>
      <c r="H5" s="1823"/>
      <c r="I5" s="1823"/>
      <c r="J5" s="1823"/>
      <c r="K5" s="1823"/>
      <c r="L5" s="1825"/>
      <c r="M5" s="1817"/>
      <c r="N5" s="1817"/>
      <c r="O5" s="1815"/>
    </row>
    <row r="6" spans="1:15" ht="19.5" customHeight="1">
      <c r="A6" s="1474" t="s">
        <v>800</v>
      </c>
      <c r="B6" s="1280"/>
      <c r="C6" s="169">
        <v>3356</v>
      </c>
      <c r="D6" s="170">
        <v>1070</v>
      </c>
      <c r="E6" s="171">
        <v>997</v>
      </c>
      <c r="F6" s="309">
        <v>941</v>
      </c>
      <c r="G6" s="309">
        <v>822</v>
      </c>
      <c r="H6" s="309">
        <v>749</v>
      </c>
      <c r="I6" s="309">
        <v>635</v>
      </c>
      <c r="J6" s="309">
        <v>578</v>
      </c>
      <c r="K6" s="309">
        <v>569</v>
      </c>
      <c r="L6" s="961">
        <v>551</v>
      </c>
      <c r="M6" s="962">
        <v>542</v>
      </c>
      <c r="N6" s="962">
        <v>461</v>
      </c>
      <c r="O6" s="1203">
        <v>447</v>
      </c>
    </row>
    <row r="7" spans="1:15" ht="19.5" customHeight="1">
      <c r="A7" s="1489" t="s">
        <v>738</v>
      </c>
      <c r="B7" s="1297"/>
      <c r="C7" s="159">
        <v>18</v>
      </c>
      <c r="D7" s="160">
        <v>1</v>
      </c>
      <c r="E7" s="161">
        <v>3</v>
      </c>
      <c r="F7" s="203">
        <v>3</v>
      </c>
      <c r="G7" s="203">
        <v>1</v>
      </c>
      <c r="H7" s="203">
        <v>6</v>
      </c>
      <c r="I7" s="203">
        <v>0</v>
      </c>
      <c r="J7" s="203">
        <v>2</v>
      </c>
      <c r="K7" s="203">
        <v>2</v>
      </c>
      <c r="L7" s="963">
        <v>4</v>
      </c>
      <c r="M7" s="964">
        <v>3</v>
      </c>
      <c r="N7" s="964">
        <v>1</v>
      </c>
      <c r="O7" s="1204">
        <v>4</v>
      </c>
    </row>
    <row r="8" spans="1:15" ht="19.5" customHeight="1">
      <c r="A8" s="1618" t="s">
        <v>739</v>
      </c>
      <c r="B8" s="1297"/>
      <c r="C8" s="172">
        <v>3522</v>
      </c>
      <c r="D8" s="173">
        <v>1132</v>
      </c>
      <c r="E8" s="174">
        <v>1049</v>
      </c>
      <c r="F8" s="310">
        <v>995</v>
      </c>
      <c r="G8" s="310">
        <v>875</v>
      </c>
      <c r="H8" s="310">
        <v>799</v>
      </c>
      <c r="I8" s="310">
        <v>683</v>
      </c>
      <c r="J8" s="310">
        <v>631</v>
      </c>
      <c r="K8" s="310">
        <v>607</v>
      </c>
      <c r="L8" s="963">
        <v>601</v>
      </c>
      <c r="M8" s="964">
        <v>574</v>
      </c>
      <c r="N8" s="964">
        <v>482</v>
      </c>
      <c r="O8" s="1204">
        <v>475</v>
      </c>
    </row>
    <row r="9" spans="1:15" ht="19.5" customHeight="1">
      <c r="A9" s="560"/>
      <c r="B9" s="555" t="s">
        <v>775</v>
      </c>
      <c r="C9" s="175" t="s">
        <v>11</v>
      </c>
      <c r="D9" s="176" t="s">
        <v>404</v>
      </c>
      <c r="E9" s="177" t="s">
        <v>404</v>
      </c>
      <c r="F9" s="311" t="s">
        <v>404</v>
      </c>
      <c r="G9" s="311" t="s">
        <v>404</v>
      </c>
      <c r="H9" s="310">
        <v>111</v>
      </c>
      <c r="I9" s="310">
        <v>100</v>
      </c>
      <c r="J9" s="310">
        <v>102</v>
      </c>
      <c r="K9" s="310">
        <v>87</v>
      </c>
      <c r="L9" s="963">
        <v>108</v>
      </c>
      <c r="M9" s="964">
        <v>83</v>
      </c>
      <c r="N9" s="964">
        <v>75</v>
      </c>
      <c r="O9" s="1204">
        <v>69</v>
      </c>
    </row>
    <row r="10" spans="1:15" ht="19.5" customHeight="1">
      <c r="A10" s="1489" t="s">
        <v>742</v>
      </c>
      <c r="B10" s="1297"/>
      <c r="C10" s="205">
        <v>222</v>
      </c>
      <c r="D10" s="206">
        <v>51</v>
      </c>
      <c r="E10" s="203">
        <v>51</v>
      </c>
      <c r="F10" s="203">
        <v>49</v>
      </c>
      <c r="G10" s="203">
        <v>44</v>
      </c>
      <c r="H10" s="203">
        <v>44</v>
      </c>
      <c r="I10" s="955">
        <v>34</v>
      </c>
      <c r="J10" s="955">
        <v>37</v>
      </c>
      <c r="K10" s="955">
        <v>43</v>
      </c>
      <c r="L10" s="881">
        <v>40</v>
      </c>
      <c r="M10" s="880">
        <v>40</v>
      </c>
      <c r="N10" s="880">
        <v>43</v>
      </c>
      <c r="O10" s="1156">
        <v>43</v>
      </c>
    </row>
    <row r="11" spans="1:15" ht="14.4" thickBot="1">
      <c r="A11" s="1611" t="s">
        <v>743</v>
      </c>
      <c r="B11" s="1656"/>
      <c r="C11" s="965">
        <f t="shared" ref="C11:M11" si="0">C7/C10*100</f>
        <v>8.1081081081081088</v>
      </c>
      <c r="D11" s="966">
        <f t="shared" si="0"/>
        <v>1.9607843137254901</v>
      </c>
      <c r="E11" s="966">
        <f t="shared" si="0"/>
        <v>5.8823529411764701</v>
      </c>
      <c r="F11" s="967">
        <f t="shared" si="0"/>
        <v>6.1224489795918364</v>
      </c>
      <c r="G11" s="967">
        <f t="shared" si="0"/>
        <v>2.2727272727272729</v>
      </c>
      <c r="H11" s="967">
        <f t="shared" si="0"/>
        <v>13.636363636363635</v>
      </c>
      <c r="I11" s="967">
        <f t="shared" si="0"/>
        <v>0</v>
      </c>
      <c r="J11" s="967">
        <f t="shared" si="0"/>
        <v>5.4054054054054053</v>
      </c>
      <c r="K11" s="967">
        <f t="shared" si="0"/>
        <v>4.6511627906976747</v>
      </c>
      <c r="L11" s="968">
        <f t="shared" si="0"/>
        <v>10</v>
      </c>
      <c r="M11" s="969">
        <f t="shared" si="0"/>
        <v>7.5</v>
      </c>
      <c r="N11" s="969">
        <f>N7/N10*100</f>
        <v>2.3255813953488373</v>
      </c>
      <c r="O11" s="781">
        <f>O7/O10*100</f>
        <v>9.3023255813953494</v>
      </c>
    </row>
    <row r="12" spans="1:15" s="1939" customFormat="1" ht="15">
      <c r="A12" s="1939" t="s">
        <v>955</v>
      </c>
      <c r="C12" s="1987"/>
      <c r="D12" s="1987"/>
      <c r="E12" s="1987"/>
      <c r="F12" s="1987"/>
      <c r="G12" s="1987"/>
      <c r="H12" s="1987"/>
      <c r="I12" s="1987"/>
      <c r="J12" s="1987"/>
      <c r="K12" s="1987"/>
      <c r="L12" s="1987"/>
      <c r="M12" s="1987"/>
      <c r="N12" s="1987"/>
    </row>
    <row r="13" spans="1:15" s="1939" customFormat="1" ht="15">
      <c r="A13" s="1939" t="s">
        <v>956</v>
      </c>
      <c r="C13" s="1987"/>
      <c r="D13" s="1987"/>
      <c r="E13" s="1987"/>
      <c r="F13" s="1987"/>
      <c r="G13" s="1987"/>
      <c r="H13" s="1987"/>
      <c r="I13" s="1987"/>
      <c r="J13" s="1987"/>
      <c r="K13" s="1987"/>
      <c r="L13" s="1987"/>
      <c r="M13" s="1987"/>
      <c r="N13" s="1987"/>
    </row>
    <row r="14" spans="1:15" s="1939" customFormat="1" ht="15">
      <c r="A14" s="1939" t="s">
        <v>957</v>
      </c>
    </row>
    <row r="15" spans="1:15" ht="17.25" customHeight="1"/>
    <row r="16" spans="1:15" ht="14.4" thickBot="1">
      <c r="A16" s="497" t="s">
        <v>855</v>
      </c>
    </row>
    <row r="17" spans="1:15" ht="18.75" customHeight="1" thickBot="1">
      <c r="A17" s="1818" t="s">
        <v>842</v>
      </c>
      <c r="B17" s="1819"/>
      <c r="C17" s="943">
        <v>1</v>
      </c>
      <c r="D17" s="875">
        <v>2</v>
      </c>
      <c r="E17" s="875">
        <v>3</v>
      </c>
      <c r="F17" s="875">
        <v>4</v>
      </c>
      <c r="G17" s="875">
        <v>5</v>
      </c>
      <c r="H17" s="875">
        <v>6</v>
      </c>
      <c r="I17" s="875">
        <v>7</v>
      </c>
      <c r="J17" s="875">
        <v>8</v>
      </c>
      <c r="K17" s="875">
        <v>9</v>
      </c>
      <c r="L17" s="875">
        <v>10</v>
      </c>
      <c r="M17" s="875">
        <v>11</v>
      </c>
      <c r="N17" s="875">
        <v>12</v>
      </c>
      <c r="O17" s="876" t="s">
        <v>635</v>
      </c>
    </row>
    <row r="18" spans="1:15" ht="18.75" customHeight="1">
      <c r="A18" s="1474" t="s">
        <v>833</v>
      </c>
      <c r="B18" s="1280"/>
      <c r="C18" s="1085">
        <v>43</v>
      </c>
      <c r="D18" s="1086">
        <v>28</v>
      </c>
      <c r="E18" s="1086">
        <v>36</v>
      </c>
      <c r="F18" s="1086">
        <v>36</v>
      </c>
      <c r="G18" s="1086">
        <v>29</v>
      </c>
      <c r="H18" s="1086">
        <v>38</v>
      </c>
      <c r="I18" s="1086">
        <v>39</v>
      </c>
      <c r="J18" s="1086">
        <v>34</v>
      </c>
      <c r="K18" s="1086">
        <v>47</v>
      </c>
      <c r="L18" s="1086">
        <v>34</v>
      </c>
      <c r="M18" s="1086">
        <v>32</v>
      </c>
      <c r="N18" s="1086">
        <v>51</v>
      </c>
      <c r="O18" s="491">
        <f>SUM(C18:N18)</f>
        <v>447</v>
      </c>
    </row>
    <row r="19" spans="1:15" ht="18.75" customHeight="1">
      <c r="A19" s="1489" t="s">
        <v>856</v>
      </c>
      <c r="B19" s="1297"/>
      <c r="C19" s="1091">
        <v>0</v>
      </c>
      <c r="D19" s="1092">
        <v>0</v>
      </c>
      <c r="E19" s="1092">
        <v>0</v>
      </c>
      <c r="F19" s="1092">
        <v>1</v>
      </c>
      <c r="G19" s="1092">
        <v>0</v>
      </c>
      <c r="H19" s="1092">
        <v>0</v>
      </c>
      <c r="I19" s="1092">
        <v>0</v>
      </c>
      <c r="J19" s="1092">
        <v>0</v>
      </c>
      <c r="K19" s="1092">
        <v>1</v>
      </c>
      <c r="L19" s="1092">
        <v>0</v>
      </c>
      <c r="M19" s="1092">
        <v>1</v>
      </c>
      <c r="N19" s="1092">
        <v>1</v>
      </c>
      <c r="O19" s="613">
        <f>SUM(C19:N19)</f>
        <v>4</v>
      </c>
    </row>
    <row r="20" spans="1:15" ht="18.75" customHeight="1">
      <c r="A20" s="1618" t="s">
        <v>739</v>
      </c>
      <c r="B20" s="1297"/>
      <c r="C20" s="1205">
        <v>44</v>
      </c>
      <c r="D20" s="1206">
        <v>30</v>
      </c>
      <c r="E20" s="1206">
        <v>39</v>
      </c>
      <c r="F20" s="1206">
        <v>41</v>
      </c>
      <c r="G20" s="1206">
        <v>31</v>
      </c>
      <c r="H20" s="1206">
        <v>40</v>
      </c>
      <c r="I20" s="1206">
        <v>42</v>
      </c>
      <c r="J20" s="1206">
        <v>37</v>
      </c>
      <c r="K20" s="1206">
        <v>48</v>
      </c>
      <c r="L20" s="1206">
        <v>39</v>
      </c>
      <c r="M20" s="1206">
        <v>33</v>
      </c>
      <c r="N20" s="1206">
        <v>51</v>
      </c>
      <c r="O20" s="583">
        <f>SUM(C20:N20)</f>
        <v>475</v>
      </c>
    </row>
    <row r="21" spans="1:15" ht="18.75" customHeight="1" thickBot="1">
      <c r="A21" s="970"/>
      <c r="B21" s="915" t="s">
        <v>775</v>
      </c>
      <c r="C21" s="1095">
        <v>2</v>
      </c>
      <c r="D21" s="1096">
        <v>4</v>
      </c>
      <c r="E21" s="1096">
        <v>7</v>
      </c>
      <c r="F21" s="1096">
        <v>8</v>
      </c>
      <c r="G21" s="1096">
        <v>5</v>
      </c>
      <c r="H21" s="1096">
        <v>5</v>
      </c>
      <c r="I21" s="1096">
        <v>8</v>
      </c>
      <c r="J21" s="1096">
        <v>3</v>
      </c>
      <c r="K21" s="1096">
        <v>6</v>
      </c>
      <c r="L21" s="1096">
        <v>5</v>
      </c>
      <c r="M21" s="1096">
        <v>6</v>
      </c>
      <c r="N21" s="1096">
        <v>10</v>
      </c>
      <c r="O21" s="492">
        <f>SUM(C21:N21)</f>
        <v>69</v>
      </c>
    </row>
    <row r="22" spans="1:15" s="1939" customFormat="1" ht="18.75" customHeight="1">
      <c r="A22" s="1940" t="s">
        <v>958</v>
      </c>
      <c r="B22" s="1940"/>
    </row>
    <row r="23" spans="1:15" s="1939" customFormat="1" ht="15">
      <c r="A23" s="1939" t="s">
        <v>954</v>
      </c>
    </row>
    <row r="24" spans="1:15" ht="57" customHeight="1"/>
    <row r="37" ht="31.2" customHeight="1"/>
    <row r="38" ht="1.8" customHeight="1"/>
    <row r="48" ht="57.6" customHeight="1"/>
  </sheetData>
  <mergeCells count="23">
    <mergeCell ref="A19:B19"/>
    <mergeCell ref="D4:D5"/>
    <mergeCell ref="E4:E5"/>
    <mergeCell ref="A20:B20"/>
    <mergeCell ref="L4:L5"/>
    <mergeCell ref="A6:B6"/>
    <mergeCell ref="A7:B7"/>
    <mergeCell ref="A8:B8"/>
    <mergeCell ref="J4:J5"/>
    <mergeCell ref="K4:K5"/>
    <mergeCell ref="A10:B10"/>
    <mergeCell ref="F4:F5"/>
    <mergeCell ref="G4:G5"/>
    <mergeCell ref="H4:H5"/>
    <mergeCell ref="I4:I5"/>
    <mergeCell ref="A4:B4"/>
    <mergeCell ref="O4:O5"/>
    <mergeCell ref="N4:N5"/>
    <mergeCell ref="A11:B11"/>
    <mergeCell ref="A17:B17"/>
    <mergeCell ref="A18:B18"/>
    <mergeCell ref="M4:M5"/>
    <mergeCell ref="C4:C5"/>
  </mergeCells>
  <phoneticPr fontId="4"/>
  <printOptions horizontalCentered="1"/>
  <pageMargins left="0.78740157480314965" right="0.39370078740157483" top="0.98425196850393704" bottom="0.98425196850393704" header="0.31496062992125984" footer="0.51181102362204722"/>
  <pageSetup paperSize="9" scale="92" orientation="portrait" r:id="rId1"/>
  <headerFooter scaleWithDoc="0" alignWithMargins="0">
    <oddFooter>&amp;C- &amp;P -</oddFooter>
  </headerFooter>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FEBD5F-67ED-4253-967F-BE0471DFBAE5}">
  <sheetPr>
    <pageSetUpPr fitToPage="1"/>
  </sheetPr>
  <dimension ref="A1:M30"/>
  <sheetViews>
    <sheetView view="pageBreakPreview" topLeftCell="A14" zoomScale="90" zoomScaleNormal="100" zoomScaleSheetLayoutView="90" workbookViewId="0">
      <selection activeCell="L76" sqref="L76"/>
    </sheetView>
  </sheetViews>
  <sheetFormatPr defaultColWidth="9" defaultRowHeight="13.8"/>
  <cols>
    <col min="1" max="2" width="9" style="497"/>
    <col min="3" max="3" width="16.88671875" style="497" customWidth="1"/>
    <col min="4" max="7" width="13.109375" style="497" customWidth="1"/>
    <col min="8" max="16384" width="9" style="497"/>
  </cols>
  <sheetData>
    <row r="1" spans="1:13" ht="15.6" thickBot="1">
      <c r="A1" s="566" t="s">
        <v>498</v>
      </c>
    </row>
    <row r="2" spans="1:13" ht="7.5" customHeight="1">
      <c r="A2" s="513"/>
      <c r="B2" s="561"/>
      <c r="C2" s="1520" t="s">
        <v>619</v>
      </c>
      <c r="D2" s="1386" t="s">
        <v>800</v>
      </c>
      <c r="E2" s="1387" t="s">
        <v>820</v>
      </c>
      <c r="F2" s="1355" t="s">
        <v>821</v>
      </c>
      <c r="G2" s="567"/>
    </row>
    <row r="3" spans="1:13">
      <c r="A3" s="516"/>
      <c r="B3" s="500"/>
      <c r="C3" s="1518"/>
      <c r="D3" s="1310"/>
      <c r="E3" s="1533"/>
      <c r="F3" s="1358"/>
      <c r="G3" s="1806" t="s">
        <v>741</v>
      </c>
    </row>
    <row r="4" spans="1:13" ht="14.4" thickBot="1">
      <c r="A4" s="553" t="s">
        <v>854</v>
      </c>
      <c r="B4" s="562"/>
      <c r="C4" s="563"/>
      <c r="D4" s="1711"/>
      <c r="E4" s="1712"/>
      <c r="F4" s="1805"/>
      <c r="G4" s="1807"/>
    </row>
    <row r="5" spans="1:13" ht="24.9" customHeight="1" thickBot="1">
      <c r="A5" s="568" t="s">
        <v>822</v>
      </c>
      <c r="B5" s="569"/>
      <c r="C5" s="569"/>
      <c r="D5" s="322">
        <f>SUM(D6:D26)</f>
        <v>447</v>
      </c>
      <c r="E5" s="57">
        <f>SUM(E6:E26)</f>
        <v>4</v>
      </c>
      <c r="F5" s="326">
        <f>SUM(F6:F26)</f>
        <v>475</v>
      </c>
      <c r="G5" s="166">
        <f>SUM(G6:G26)</f>
        <v>69</v>
      </c>
    </row>
    <row r="6" spans="1:13" ht="24.9" customHeight="1">
      <c r="A6" s="570"/>
      <c r="B6" s="493" t="s">
        <v>653</v>
      </c>
      <c r="C6" s="571"/>
      <c r="D6" s="198">
        <v>2</v>
      </c>
      <c r="E6" s="13">
        <v>0</v>
      </c>
      <c r="F6" s="11">
        <v>2</v>
      </c>
      <c r="G6" s="12">
        <v>0</v>
      </c>
    </row>
    <row r="7" spans="1:13" ht="24.9" customHeight="1">
      <c r="A7" s="572" t="s">
        <v>823</v>
      </c>
      <c r="B7" s="494" t="s">
        <v>654</v>
      </c>
      <c r="C7" s="573"/>
      <c r="D7" s="36">
        <v>4</v>
      </c>
      <c r="E7" s="23">
        <v>0</v>
      </c>
      <c r="F7" s="21">
        <v>5</v>
      </c>
      <c r="G7" s="22">
        <v>2</v>
      </c>
    </row>
    <row r="8" spans="1:13" ht="24.9" customHeight="1">
      <c r="A8" s="572"/>
      <c r="B8" s="1808" t="s">
        <v>655</v>
      </c>
      <c r="C8" s="574" t="s">
        <v>656</v>
      </c>
      <c r="D8" s="162">
        <v>8</v>
      </c>
      <c r="E8" s="163">
        <v>0</v>
      </c>
      <c r="F8" s="1207">
        <v>8</v>
      </c>
      <c r="G8" s="1208">
        <v>1</v>
      </c>
      <c r="H8" s="564"/>
      <c r="I8" s="564"/>
      <c r="J8" s="564"/>
      <c r="K8" s="564"/>
      <c r="L8" s="564"/>
      <c r="M8" s="564"/>
    </row>
    <row r="9" spans="1:13" ht="24.9" customHeight="1">
      <c r="A9" s="572" t="s">
        <v>825</v>
      </c>
      <c r="B9" s="1809"/>
      <c r="C9" s="574" t="s">
        <v>657</v>
      </c>
      <c r="D9" s="162">
        <v>0</v>
      </c>
      <c r="E9" s="163">
        <v>0</v>
      </c>
      <c r="F9" s="1207">
        <v>0</v>
      </c>
      <c r="G9" s="1208">
        <v>0</v>
      </c>
      <c r="H9" s="564"/>
      <c r="I9" s="564"/>
      <c r="J9" s="564"/>
      <c r="K9" s="564"/>
      <c r="L9" s="564"/>
      <c r="M9" s="564"/>
    </row>
    <row r="10" spans="1:13" ht="24.9" customHeight="1">
      <c r="A10" s="572"/>
      <c r="B10" s="1809"/>
      <c r="C10" s="574" t="s">
        <v>828</v>
      </c>
      <c r="D10" s="162">
        <v>0</v>
      </c>
      <c r="E10" s="163">
        <v>0</v>
      </c>
      <c r="F10" s="1207">
        <v>0</v>
      </c>
      <c r="G10" s="1208">
        <v>0</v>
      </c>
      <c r="H10" s="564"/>
      <c r="I10" s="564"/>
      <c r="J10" s="564"/>
      <c r="K10" s="564"/>
      <c r="L10" s="564"/>
      <c r="M10" s="564"/>
    </row>
    <row r="11" spans="1:13" ht="24.9" customHeight="1">
      <c r="A11" s="572" t="s">
        <v>705</v>
      </c>
      <c r="B11" s="1718"/>
      <c r="C11" s="574" t="s">
        <v>659</v>
      </c>
      <c r="D11" s="162">
        <v>6</v>
      </c>
      <c r="E11" s="163">
        <v>0</v>
      </c>
      <c r="F11" s="1207">
        <v>6</v>
      </c>
      <c r="G11" s="1208">
        <v>0</v>
      </c>
      <c r="H11" s="564"/>
      <c r="I11" s="564"/>
      <c r="J11" s="564"/>
      <c r="K11" s="564"/>
      <c r="L11" s="564"/>
      <c r="M11" s="564"/>
    </row>
    <row r="12" spans="1:13" ht="24.9" customHeight="1">
      <c r="A12" s="572"/>
      <c r="B12" s="574" t="s">
        <v>660</v>
      </c>
      <c r="C12" s="575"/>
      <c r="D12" s="162">
        <v>0</v>
      </c>
      <c r="E12" s="163">
        <v>0</v>
      </c>
      <c r="F12" s="1207">
        <v>0</v>
      </c>
      <c r="G12" s="1208">
        <v>0</v>
      </c>
      <c r="H12" s="564"/>
      <c r="I12" s="564"/>
      <c r="J12" s="564"/>
      <c r="K12" s="564"/>
      <c r="L12" s="564"/>
      <c r="M12" s="564"/>
    </row>
    <row r="13" spans="1:13" ht="24.9" customHeight="1">
      <c r="A13" s="572" t="s">
        <v>710</v>
      </c>
      <c r="B13" s="494" t="s">
        <v>661</v>
      </c>
      <c r="C13" s="573"/>
      <c r="D13" s="36">
        <v>0</v>
      </c>
      <c r="E13" s="23">
        <v>0</v>
      </c>
      <c r="F13" s="21">
        <v>0</v>
      </c>
      <c r="G13" s="22">
        <v>0</v>
      </c>
    </row>
    <row r="14" spans="1:13" ht="24.9" customHeight="1">
      <c r="A14" s="572"/>
      <c r="B14" s="494" t="s">
        <v>829</v>
      </c>
      <c r="C14" s="573"/>
      <c r="D14" s="36">
        <v>1</v>
      </c>
      <c r="E14" s="23">
        <v>0</v>
      </c>
      <c r="F14" s="21">
        <v>1</v>
      </c>
      <c r="G14" s="22">
        <v>0</v>
      </c>
    </row>
    <row r="15" spans="1:13" ht="24.9" customHeight="1" thickBot="1">
      <c r="A15" s="572"/>
      <c r="B15" s="496" t="s">
        <v>659</v>
      </c>
      <c r="C15" s="576"/>
      <c r="D15" s="167">
        <v>4</v>
      </c>
      <c r="E15" s="39">
        <v>0</v>
      </c>
      <c r="F15" s="40">
        <v>4</v>
      </c>
      <c r="G15" s="168">
        <v>1</v>
      </c>
    </row>
    <row r="16" spans="1:13" ht="24.9" customHeight="1">
      <c r="A16" s="570"/>
      <c r="B16" s="493" t="s">
        <v>663</v>
      </c>
      <c r="C16" s="571"/>
      <c r="D16" s="198">
        <v>9</v>
      </c>
      <c r="E16" s="13">
        <v>1</v>
      </c>
      <c r="F16" s="11">
        <v>8</v>
      </c>
      <c r="G16" s="12">
        <v>1</v>
      </c>
    </row>
    <row r="17" spans="1:7" ht="24.9" customHeight="1">
      <c r="A17" s="577" t="s">
        <v>705</v>
      </c>
      <c r="B17" s="1530" t="s">
        <v>664</v>
      </c>
      <c r="C17" s="494" t="s">
        <v>665</v>
      </c>
      <c r="D17" s="36">
        <v>13</v>
      </c>
      <c r="E17" s="23">
        <v>0</v>
      </c>
      <c r="F17" s="21">
        <v>14</v>
      </c>
      <c r="G17" s="22">
        <v>4</v>
      </c>
    </row>
    <row r="18" spans="1:7" ht="24.9" customHeight="1">
      <c r="A18" s="577" t="s">
        <v>699</v>
      </c>
      <c r="B18" s="1531"/>
      <c r="C18" s="494" t="s">
        <v>659</v>
      </c>
      <c r="D18" s="36">
        <v>71</v>
      </c>
      <c r="E18" s="23">
        <v>1</v>
      </c>
      <c r="F18" s="21">
        <v>82</v>
      </c>
      <c r="G18" s="22">
        <v>5</v>
      </c>
    </row>
    <row r="19" spans="1:7" ht="24.9" customHeight="1">
      <c r="A19" s="577" t="s">
        <v>710</v>
      </c>
      <c r="B19" s="494" t="s">
        <v>693</v>
      </c>
      <c r="C19" s="573"/>
      <c r="D19" s="36">
        <v>141</v>
      </c>
      <c r="E19" s="23">
        <v>1</v>
      </c>
      <c r="F19" s="21">
        <v>148</v>
      </c>
      <c r="G19" s="22">
        <v>28</v>
      </c>
    </row>
    <row r="20" spans="1:7" ht="24.9" customHeight="1">
      <c r="A20" s="577"/>
      <c r="B20" s="494" t="s">
        <v>845</v>
      </c>
      <c r="C20" s="573"/>
      <c r="D20" s="36">
        <v>28</v>
      </c>
      <c r="E20" s="23">
        <v>0</v>
      </c>
      <c r="F20" s="21">
        <v>29</v>
      </c>
      <c r="G20" s="22">
        <v>6</v>
      </c>
    </row>
    <row r="21" spans="1:7" ht="24.9" customHeight="1">
      <c r="A21" s="577" t="s">
        <v>846</v>
      </c>
      <c r="B21" s="494" t="s">
        <v>667</v>
      </c>
      <c r="C21" s="573"/>
      <c r="D21" s="36">
        <v>3</v>
      </c>
      <c r="E21" s="23">
        <v>0</v>
      </c>
      <c r="F21" s="21">
        <v>3</v>
      </c>
      <c r="G21" s="22">
        <v>0</v>
      </c>
    </row>
    <row r="22" spans="1:7" ht="24.9" customHeight="1">
      <c r="A22" s="577" t="s">
        <v>699</v>
      </c>
      <c r="B22" s="494" t="s">
        <v>668</v>
      </c>
      <c r="C22" s="573"/>
      <c r="D22" s="36">
        <v>34</v>
      </c>
      <c r="E22" s="23">
        <v>0</v>
      </c>
      <c r="F22" s="21">
        <v>35</v>
      </c>
      <c r="G22" s="22">
        <v>1</v>
      </c>
    </row>
    <row r="23" spans="1:7" ht="24.9" customHeight="1">
      <c r="A23" s="577" t="s">
        <v>847</v>
      </c>
      <c r="B23" s="494" t="s">
        <v>669</v>
      </c>
      <c r="C23" s="573"/>
      <c r="D23" s="36">
        <v>62</v>
      </c>
      <c r="E23" s="23">
        <v>1</v>
      </c>
      <c r="F23" s="21">
        <v>63</v>
      </c>
      <c r="G23" s="22">
        <v>14</v>
      </c>
    </row>
    <row r="24" spans="1:7" ht="24.9" customHeight="1" thickBot="1">
      <c r="A24" s="578"/>
      <c r="B24" s="495" t="s">
        <v>659</v>
      </c>
      <c r="C24" s="579"/>
      <c r="D24" s="167">
        <v>59</v>
      </c>
      <c r="E24" s="39">
        <v>0</v>
      </c>
      <c r="F24" s="40">
        <v>65</v>
      </c>
      <c r="G24" s="168">
        <v>6</v>
      </c>
    </row>
    <row r="25" spans="1:7" ht="24.9" customHeight="1" thickBot="1">
      <c r="A25" s="580" t="s">
        <v>639</v>
      </c>
      <c r="B25" s="581"/>
      <c r="C25" s="582"/>
      <c r="D25" s="38">
        <v>2</v>
      </c>
      <c r="E25" s="28">
        <v>0</v>
      </c>
      <c r="F25" s="26">
        <v>2</v>
      </c>
      <c r="G25" s="27">
        <v>0</v>
      </c>
    </row>
    <row r="26" spans="1:7" ht="22.5" customHeight="1" thickBot="1">
      <c r="A26" s="568" t="s">
        <v>640</v>
      </c>
      <c r="B26" s="569"/>
      <c r="C26" s="569"/>
      <c r="D26" s="184">
        <v>0</v>
      </c>
      <c r="E26" s="57">
        <v>0</v>
      </c>
      <c r="F26" s="324">
        <v>0</v>
      </c>
      <c r="G26" s="166">
        <v>0</v>
      </c>
    </row>
    <row r="27" spans="1:7" ht="8.4" customHeight="1">
      <c r="A27" s="581"/>
      <c r="B27" s="581"/>
      <c r="C27" s="581"/>
      <c r="D27" s="25"/>
      <c r="E27" s="25"/>
      <c r="F27" s="25"/>
      <c r="G27" s="25"/>
    </row>
    <row r="28" spans="1:7" s="1889" customFormat="1" ht="14.25" customHeight="1">
      <c r="A28" s="1939" t="s">
        <v>959</v>
      </c>
    </row>
    <row r="29" spans="1:7" s="1889" customFormat="1" ht="18">
      <c r="A29" s="1940" t="s">
        <v>933</v>
      </c>
    </row>
    <row r="30" spans="1:7" ht="24.9" customHeight="1"/>
  </sheetData>
  <mergeCells count="7">
    <mergeCell ref="G3:G4"/>
    <mergeCell ref="B8:B11"/>
    <mergeCell ref="B17:B18"/>
    <mergeCell ref="C2:C3"/>
    <mergeCell ref="D2:D4"/>
    <mergeCell ref="E2:E4"/>
    <mergeCell ref="F2:F4"/>
  </mergeCells>
  <phoneticPr fontId="4"/>
  <printOptions horizontalCentered="1"/>
  <pageMargins left="0.78740157480314965" right="0.39370078740157483" top="0.98425196850393704" bottom="0.98425196850393704" header="0.31496062992125984" footer="0.51181102362204722"/>
  <pageSetup paperSize="9" orientation="portrait" r:id="rId1"/>
  <headerFooter scaleWithDoc="0" alignWithMargins="0">
    <oddFooter>&amp;C- &amp;P -</oddFooter>
  </headerFooter>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904FA8-2545-4805-8932-8B5E849B1255}">
  <sheetPr>
    <pageSetUpPr fitToPage="1"/>
  </sheetPr>
  <dimension ref="A1:Q35"/>
  <sheetViews>
    <sheetView view="pageBreakPreview" zoomScale="80" zoomScaleNormal="100" zoomScaleSheetLayoutView="80" workbookViewId="0">
      <selection activeCell="L76" sqref="L76"/>
    </sheetView>
  </sheetViews>
  <sheetFormatPr defaultColWidth="9" defaultRowHeight="13.8"/>
  <cols>
    <col min="1" max="1" width="8.21875" style="497" customWidth="1"/>
    <col min="2" max="2" width="7.109375" style="497" customWidth="1"/>
    <col min="3" max="5" width="7.6640625" style="497" customWidth="1"/>
    <col min="6" max="6" width="7.109375" style="497" customWidth="1"/>
    <col min="7" max="9" width="7.6640625" style="497" customWidth="1"/>
    <col min="10" max="10" width="7.109375" style="497" customWidth="1"/>
    <col min="11" max="17" width="7.6640625" style="497" customWidth="1"/>
    <col min="18" max="16384" width="9" style="497"/>
  </cols>
  <sheetData>
    <row r="1" spans="1:17" ht="15">
      <c r="A1" s="1826" t="s">
        <v>499</v>
      </c>
      <c r="B1" s="1765"/>
      <c r="C1" s="1765"/>
      <c r="D1" s="1765"/>
      <c r="E1" s="1765"/>
      <c r="F1" s="1765"/>
      <c r="G1" s="1765"/>
      <c r="H1" s="1765"/>
      <c r="I1" s="1765"/>
      <c r="J1" s="1765"/>
      <c r="K1" s="1765"/>
      <c r="L1" s="1765"/>
      <c r="M1" s="1765"/>
    </row>
    <row r="2" spans="1:17" ht="15.6" thickBot="1">
      <c r="A2" s="1765" t="s">
        <v>463</v>
      </c>
      <c r="B2" s="1765"/>
      <c r="C2" s="1765"/>
      <c r="D2" s="1765"/>
      <c r="E2" s="1765"/>
      <c r="F2" s="1765"/>
      <c r="G2" s="1765"/>
      <c r="H2" s="1765"/>
      <c r="I2" s="1765"/>
      <c r="J2" s="1765"/>
      <c r="K2" s="1765"/>
      <c r="L2" s="1765"/>
      <c r="M2" s="1765"/>
    </row>
    <row r="3" spans="1:17" ht="14.25" customHeight="1" thickBot="1">
      <c r="A3" s="584" t="s">
        <v>857</v>
      </c>
      <c r="B3" s="1291" t="s">
        <v>603</v>
      </c>
      <c r="C3" s="1314"/>
      <c r="D3" s="1314"/>
      <c r="E3" s="1761" t="s">
        <v>641</v>
      </c>
      <c r="F3" s="1291" t="s">
        <v>836</v>
      </c>
      <c r="G3" s="1314"/>
      <c r="H3" s="1314"/>
      <c r="I3" s="1761" t="s">
        <v>644</v>
      </c>
      <c r="J3" s="1291" t="s">
        <v>605</v>
      </c>
      <c r="K3" s="1314"/>
      <c r="L3" s="1314"/>
      <c r="M3" s="1764" t="s">
        <v>644</v>
      </c>
      <c r="N3" s="1469"/>
      <c r="O3" s="1813"/>
      <c r="P3" s="1813"/>
      <c r="Q3" s="518"/>
    </row>
    <row r="4" spans="1:17" ht="14.25" customHeight="1">
      <c r="A4" s="740"/>
      <c r="B4" s="1434"/>
      <c r="C4" s="1487"/>
      <c r="D4" s="1487"/>
      <c r="E4" s="1762"/>
      <c r="F4" s="1434"/>
      <c r="G4" s="1487"/>
      <c r="H4" s="1487"/>
      <c r="I4" s="1762"/>
      <c r="J4" s="1434"/>
      <c r="K4" s="1487"/>
      <c r="L4" s="1487"/>
      <c r="M4" s="1762"/>
      <c r="N4" s="1315" t="s">
        <v>606</v>
      </c>
      <c r="O4" s="1316"/>
      <c r="P4" s="1316"/>
      <c r="Q4" s="518" t="s">
        <v>644</v>
      </c>
    </row>
    <row r="5" spans="1:17">
      <c r="A5" s="956"/>
      <c r="B5" s="503" t="s">
        <v>752</v>
      </c>
      <c r="C5" s="505"/>
      <c r="D5" s="505"/>
      <c r="E5" s="505"/>
      <c r="F5" s="503" t="s">
        <v>752</v>
      </c>
      <c r="G5" s="505"/>
      <c r="H5" s="505"/>
      <c r="I5" s="505"/>
      <c r="J5" s="503" t="s">
        <v>752</v>
      </c>
      <c r="K5" s="505"/>
      <c r="L5" s="505"/>
      <c r="M5" s="506"/>
      <c r="N5" s="503" t="s">
        <v>752</v>
      </c>
      <c r="O5" s="505"/>
      <c r="P5" s="505"/>
      <c r="Q5" s="506"/>
    </row>
    <row r="6" spans="1:17" ht="14.4" thickBot="1">
      <c r="A6" s="942" t="s">
        <v>476</v>
      </c>
      <c r="B6" s="508"/>
      <c r="C6" s="511" t="s">
        <v>465</v>
      </c>
      <c r="D6" s="868" t="s">
        <v>466</v>
      </c>
      <c r="E6" s="868" t="s">
        <v>325</v>
      </c>
      <c r="F6" s="508"/>
      <c r="G6" s="511" t="s">
        <v>465</v>
      </c>
      <c r="H6" s="868" t="s">
        <v>466</v>
      </c>
      <c r="I6" s="868" t="s">
        <v>325</v>
      </c>
      <c r="J6" s="508"/>
      <c r="K6" s="511" t="s">
        <v>465</v>
      </c>
      <c r="L6" s="868" t="s">
        <v>466</v>
      </c>
      <c r="M6" s="869" t="s">
        <v>325</v>
      </c>
      <c r="N6" s="508"/>
      <c r="O6" s="511" t="s">
        <v>465</v>
      </c>
      <c r="P6" s="868" t="s">
        <v>466</v>
      </c>
      <c r="Q6" s="869" t="s">
        <v>325</v>
      </c>
    </row>
    <row r="7" spans="1:17" ht="24.9" customHeight="1">
      <c r="A7" s="870" t="s">
        <v>576</v>
      </c>
      <c r="B7" s="319">
        <f t="shared" ref="B7:B30" si="0">SUM(C7:E7)</f>
        <v>34</v>
      </c>
      <c r="C7" s="186">
        <v>3</v>
      </c>
      <c r="D7" s="186">
        <v>30</v>
      </c>
      <c r="E7" s="185">
        <v>1</v>
      </c>
      <c r="F7" s="319">
        <f t="shared" ref="F7:F30" si="1">SUM(G7:I7)</f>
        <v>1</v>
      </c>
      <c r="G7" s="186">
        <v>0</v>
      </c>
      <c r="H7" s="186">
        <v>1</v>
      </c>
      <c r="I7" s="277">
        <v>0</v>
      </c>
      <c r="J7" s="179">
        <f t="shared" ref="J7:J30" si="2">SUM(K7:M7)</f>
        <v>33</v>
      </c>
      <c r="K7" s="186">
        <v>3</v>
      </c>
      <c r="L7" s="186">
        <v>29</v>
      </c>
      <c r="M7" s="277">
        <v>1</v>
      </c>
      <c r="N7" s="179">
        <f t="shared" ref="N7:N30" si="3">SUM(O7:Q7)</f>
        <v>5</v>
      </c>
      <c r="O7" s="186">
        <v>0</v>
      </c>
      <c r="P7" s="186">
        <v>5</v>
      </c>
      <c r="Q7" s="277">
        <v>0</v>
      </c>
    </row>
    <row r="8" spans="1:17" ht="24.9" customHeight="1">
      <c r="A8" s="787" t="s">
        <v>577</v>
      </c>
      <c r="B8" s="205">
        <f t="shared" si="0"/>
        <v>5</v>
      </c>
      <c r="C8" s="204">
        <v>0</v>
      </c>
      <c r="D8" s="204">
        <v>5</v>
      </c>
      <c r="E8" s="203">
        <v>0</v>
      </c>
      <c r="F8" s="205">
        <f t="shared" si="1"/>
        <v>0</v>
      </c>
      <c r="G8" s="204">
        <v>0</v>
      </c>
      <c r="H8" s="204">
        <v>0</v>
      </c>
      <c r="I8" s="1209">
        <v>0</v>
      </c>
      <c r="J8" s="206">
        <f t="shared" si="2"/>
        <v>5</v>
      </c>
      <c r="K8" s="204">
        <v>0</v>
      </c>
      <c r="L8" s="204">
        <v>5</v>
      </c>
      <c r="M8" s="1209">
        <v>0</v>
      </c>
      <c r="N8" s="206">
        <f t="shared" si="3"/>
        <v>1</v>
      </c>
      <c r="O8" s="204">
        <v>0</v>
      </c>
      <c r="P8" s="204">
        <v>1</v>
      </c>
      <c r="Q8" s="1209">
        <v>0</v>
      </c>
    </row>
    <row r="9" spans="1:17" ht="24.9" customHeight="1">
      <c r="A9" s="787" t="s">
        <v>578</v>
      </c>
      <c r="B9" s="205">
        <f t="shared" si="0"/>
        <v>14</v>
      </c>
      <c r="C9" s="204">
        <v>0</v>
      </c>
      <c r="D9" s="204">
        <v>14</v>
      </c>
      <c r="E9" s="203">
        <v>0</v>
      </c>
      <c r="F9" s="205">
        <f t="shared" si="1"/>
        <v>0</v>
      </c>
      <c r="G9" s="204">
        <v>0</v>
      </c>
      <c r="H9" s="204">
        <v>0</v>
      </c>
      <c r="I9" s="1209">
        <v>0</v>
      </c>
      <c r="J9" s="206">
        <f t="shared" si="2"/>
        <v>15</v>
      </c>
      <c r="K9" s="204">
        <v>0</v>
      </c>
      <c r="L9" s="204">
        <v>15</v>
      </c>
      <c r="M9" s="1209">
        <v>0</v>
      </c>
      <c r="N9" s="206">
        <f t="shared" si="3"/>
        <v>4</v>
      </c>
      <c r="O9" s="204">
        <v>0</v>
      </c>
      <c r="P9" s="204">
        <v>4</v>
      </c>
      <c r="Q9" s="1209">
        <v>0</v>
      </c>
    </row>
    <row r="10" spans="1:17" ht="24.9" customHeight="1">
      <c r="A10" s="787" t="s">
        <v>580</v>
      </c>
      <c r="B10" s="205">
        <f t="shared" si="0"/>
        <v>5</v>
      </c>
      <c r="C10" s="204">
        <v>0</v>
      </c>
      <c r="D10" s="204">
        <v>5</v>
      </c>
      <c r="E10" s="204">
        <v>0</v>
      </c>
      <c r="F10" s="205">
        <f t="shared" si="1"/>
        <v>0</v>
      </c>
      <c r="G10" s="204">
        <v>0</v>
      </c>
      <c r="H10" s="204">
        <v>0</v>
      </c>
      <c r="I10" s="1209">
        <v>0</v>
      </c>
      <c r="J10" s="206">
        <f t="shared" si="2"/>
        <v>9</v>
      </c>
      <c r="K10" s="204">
        <v>0</v>
      </c>
      <c r="L10" s="204">
        <v>9</v>
      </c>
      <c r="M10" s="1209">
        <v>0</v>
      </c>
      <c r="N10" s="206">
        <f t="shared" si="3"/>
        <v>1</v>
      </c>
      <c r="O10" s="204">
        <v>0</v>
      </c>
      <c r="P10" s="204">
        <v>1</v>
      </c>
      <c r="Q10" s="1209">
        <v>0</v>
      </c>
    </row>
    <row r="11" spans="1:17" ht="24.9" customHeight="1">
      <c r="A11" s="787" t="s">
        <v>581</v>
      </c>
      <c r="B11" s="205">
        <f t="shared" si="0"/>
        <v>34</v>
      </c>
      <c r="C11" s="204">
        <v>5</v>
      </c>
      <c r="D11" s="204">
        <v>29</v>
      </c>
      <c r="E11" s="203">
        <v>0</v>
      </c>
      <c r="F11" s="205">
        <f t="shared" si="1"/>
        <v>0</v>
      </c>
      <c r="G11" s="204">
        <v>0</v>
      </c>
      <c r="H11" s="204">
        <v>0</v>
      </c>
      <c r="I11" s="1209">
        <v>0</v>
      </c>
      <c r="J11" s="206">
        <f t="shared" si="2"/>
        <v>36</v>
      </c>
      <c r="K11" s="204">
        <v>6</v>
      </c>
      <c r="L11" s="204">
        <v>30</v>
      </c>
      <c r="M11" s="1209">
        <v>0</v>
      </c>
      <c r="N11" s="206">
        <f t="shared" si="3"/>
        <v>5</v>
      </c>
      <c r="O11" s="204">
        <v>1</v>
      </c>
      <c r="P11" s="204">
        <v>4</v>
      </c>
      <c r="Q11" s="1209">
        <v>0</v>
      </c>
    </row>
    <row r="12" spans="1:17" ht="24.9" customHeight="1">
      <c r="A12" s="787" t="s">
        <v>582</v>
      </c>
      <c r="B12" s="205">
        <f t="shared" si="0"/>
        <v>9</v>
      </c>
      <c r="C12" s="204">
        <v>0</v>
      </c>
      <c r="D12" s="204">
        <v>9</v>
      </c>
      <c r="E12" s="203">
        <v>0</v>
      </c>
      <c r="F12" s="205">
        <f t="shared" si="1"/>
        <v>0</v>
      </c>
      <c r="G12" s="204">
        <v>0</v>
      </c>
      <c r="H12" s="204">
        <v>0</v>
      </c>
      <c r="I12" s="1209">
        <v>0</v>
      </c>
      <c r="J12" s="206">
        <f t="shared" si="2"/>
        <v>9</v>
      </c>
      <c r="K12" s="204">
        <v>0</v>
      </c>
      <c r="L12" s="204">
        <v>9</v>
      </c>
      <c r="M12" s="1209">
        <v>0</v>
      </c>
      <c r="N12" s="206">
        <f t="shared" si="3"/>
        <v>3</v>
      </c>
      <c r="O12" s="204">
        <v>0</v>
      </c>
      <c r="P12" s="204">
        <v>3</v>
      </c>
      <c r="Q12" s="1209">
        <v>0</v>
      </c>
    </row>
    <row r="13" spans="1:17" ht="24.9" customHeight="1">
      <c r="A13" s="787" t="s">
        <v>583</v>
      </c>
      <c r="B13" s="320">
        <f t="shared" si="0"/>
        <v>5</v>
      </c>
      <c r="C13" s="189">
        <v>1</v>
      </c>
      <c r="D13" s="189">
        <v>4</v>
      </c>
      <c r="E13" s="188">
        <v>0</v>
      </c>
      <c r="F13" s="320">
        <f t="shared" si="1"/>
        <v>0</v>
      </c>
      <c r="G13" s="189">
        <v>0</v>
      </c>
      <c r="H13" s="189">
        <v>0</v>
      </c>
      <c r="I13" s="217">
        <v>0</v>
      </c>
      <c r="J13" s="180">
        <f t="shared" si="2"/>
        <v>5</v>
      </c>
      <c r="K13" s="189">
        <v>1</v>
      </c>
      <c r="L13" s="189">
        <v>4</v>
      </c>
      <c r="M13" s="217">
        <v>0</v>
      </c>
      <c r="N13" s="180">
        <f t="shared" si="3"/>
        <v>0</v>
      </c>
      <c r="O13" s="189">
        <v>0</v>
      </c>
      <c r="P13" s="189">
        <v>0</v>
      </c>
      <c r="Q13" s="217">
        <v>0</v>
      </c>
    </row>
    <row r="14" spans="1:17" ht="24.9" customHeight="1">
      <c r="A14" s="787" t="s">
        <v>584</v>
      </c>
      <c r="B14" s="320">
        <f t="shared" si="0"/>
        <v>11</v>
      </c>
      <c r="C14" s="189">
        <v>0</v>
      </c>
      <c r="D14" s="189">
        <v>11</v>
      </c>
      <c r="E14" s="188">
        <v>0</v>
      </c>
      <c r="F14" s="320">
        <f t="shared" si="1"/>
        <v>0</v>
      </c>
      <c r="G14" s="189">
        <v>0</v>
      </c>
      <c r="H14" s="189">
        <v>0</v>
      </c>
      <c r="I14" s="217">
        <v>0</v>
      </c>
      <c r="J14" s="180">
        <f t="shared" si="2"/>
        <v>11</v>
      </c>
      <c r="K14" s="189">
        <v>0</v>
      </c>
      <c r="L14" s="189">
        <v>11</v>
      </c>
      <c r="M14" s="217">
        <v>0</v>
      </c>
      <c r="N14" s="180">
        <f t="shared" si="3"/>
        <v>2</v>
      </c>
      <c r="O14" s="189">
        <v>0</v>
      </c>
      <c r="P14" s="189">
        <v>2</v>
      </c>
      <c r="Q14" s="217">
        <v>0</v>
      </c>
    </row>
    <row r="15" spans="1:17" ht="24.9" customHeight="1">
      <c r="A15" s="787" t="s">
        <v>585</v>
      </c>
      <c r="B15" s="320">
        <f t="shared" si="0"/>
        <v>9</v>
      </c>
      <c r="C15" s="189">
        <v>0</v>
      </c>
      <c r="D15" s="189">
        <v>8</v>
      </c>
      <c r="E15" s="188">
        <v>1</v>
      </c>
      <c r="F15" s="320">
        <f t="shared" si="1"/>
        <v>0</v>
      </c>
      <c r="G15" s="189">
        <v>0</v>
      </c>
      <c r="H15" s="189">
        <v>0</v>
      </c>
      <c r="I15" s="217">
        <v>0</v>
      </c>
      <c r="J15" s="180">
        <f t="shared" si="2"/>
        <v>9</v>
      </c>
      <c r="K15" s="189">
        <v>0</v>
      </c>
      <c r="L15" s="189">
        <v>8</v>
      </c>
      <c r="M15" s="217">
        <v>1</v>
      </c>
      <c r="N15" s="180">
        <f t="shared" si="3"/>
        <v>0</v>
      </c>
      <c r="O15" s="189">
        <v>0</v>
      </c>
      <c r="P15" s="189">
        <v>0</v>
      </c>
      <c r="Q15" s="217">
        <v>0</v>
      </c>
    </row>
    <row r="16" spans="1:17" ht="24.9" customHeight="1">
      <c r="A16" s="787" t="s">
        <v>586</v>
      </c>
      <c r="B16" s="320">
        <f t="shared" si="0"/>
        <v>22</v>
      </c>
      <c r="C16" s="189">
        <v>0</v>
      </c>
      <c r="D16" s="189">
        <v>22</v>
      </c>
      <c r="E16" s="188">
        <v>0</v>
      </c>
      <c r="F16" s="320">
        <f t="shared" si="1"/>
        <v>0</v>
      </c>
      <c r="G16" s="189">
        <v>0</v>
      </c>
      <c r="H16" s="189">
        <v>0</v>
      </c>
      <c r="I16" s="217">
        <v>0</v>
      </c>
      <c r="J16" s="180">
        <f t="shared" si="2"/>
        <v>23</v>
      </c>
      <c r="K16" s="189">
        <v>0</v>
      </c>
      <c r="L16" s="189">
        <v>23</v>
      </c>
      <c r="M16" s="217">
        <v>0</v>
      </c>
      <c r="N16" s="180">
        <f t="shared" si="3"/>
        <v>4</v>
      </c>
      <c r="O16" s="189">
        <v>0</v>
      </c>
      <c r="P16" s="189">
        <v>4</v>
      </c>
      <c r="Q16" s="217">
        <v>0</v>
      </c>
    </row>
    <row r="17" spans="1:17" ht="24.9" customHeight="1">
      <c r="A17" s="787" t="s">
        <v>749</v>
      </c>
      <c r="B17" s="320">
        <f t="shared" si="0"/>
        <v>15</v>
      </c>
      <c r="C17" s="189">
        <v>1</v>
      </c>
      <c r="D17" s="189">
        <v>14</v>
      </c>
      <c r="E17" s="188">
        <v>0</v>
      </c>
      <c r="F17" s="320">
        <f t="shared" si="1"/>
        <v>0</v>
      </c>
      <c r="G17" s="189">
        <v>0</v>
      </c>
      <c r="H17" s="189">
        <v>0</v>
      </c>
      <c r="I17" s="217">
        <v>0</v>
      </c>
      <c r="J17" s="180">
        <f t="shared" si="2"/>
        <v>15</v>
      </c>
      <c r="K17" s="189">
        <v>1</v>
      </c>
      <c r="L17" s="189">
        <v>14</v>
      </c>
      <c r="M17" s="217">
        <v>0</v>
      </c>
      <c r="N17" s="180">
        <f t="shared" si="3"/>
        <v>3</v>
      </c>
      <c r="O17" s="189">
        <v>0</v>
      </c>
      <c r="P17" s="189">
        <v>3</v>
      </c>
      <c r="Q17" s="217">
        <v>0</v>
      </c>
    </row>
    <row r="18" spans="1:17" ht="24.9" customHeight="1">
      <c r="A18" s="787" t="s">
        <v>588</v>
      </c>
      <c r="B18" s="320">
        <f t="shared" si="0"/>
        <v>35</v>
      </c>
      <c r="C18" s="189">
        <v>1</v>
      </c>
      <c r="D18" s="189">
        <v>34</v>
      </c>
      <c r="E18" s="188">
        <v>0</v>
      </c>
      <c r="F18" s="320">
        <f t="shared" si="1"/>
        <v>1</v>
      </c>
      <c r="G18" s="189">
        <v>0</v>
      </c>
      <c r="H18" s="189">
        <v>1</v>
      </c>
      <c r="I18" s="217">
        <v>0</v>
      </c>
      <c r="J18" s="180">
        <f t="shared" si="2"/>
        <v>39</v>
      </c>
      <c r="K18" s="189">
        <v>1</v>
      </c>
      <c r="L18" s="189">
        <v>38</v>
      </c>
      <c r="M18" s="217">
        <v>0</v>
      </c>
      <c r="N18" s="180">
        <f t="shared" si="3"/>
        <v>8</v>
      </c>
      <c r="O18" s="189">
        <v>0</v>
      </c>
      <c r="P18" s="189">
        <v>8</v>
      </c>
      <c r="Q18" s="217">
        <v>0</v>
      </c>
    </row>
    <row r="19" spans="1:17" ht="24.9" customHeight="1">
      <c r="A19" s="787" t="s">
        <v>750</v>
      </c>
      <c r="B19" s="320">
        <f t="shared" si="0"/>
        <v>40</v>
      </c>
      <c r="C19" s="189">
        <v>4</v>
      </c>
      <c r="D19" s="189">
        <v>36</v>
      </c>
      <c r="E19" s="188">
        <v>0</v>
      </c>
      <c r="F19" s="320">
        <f t="shared" si="1"/>
        <v>0</v>
      </c>
      <c r="G19" s="189">
        <v>0</v>
      </c>
      <c r="H19" s="189">
        <v>0</v>
      </c>
      <c r="I19" s="217">
        <v>0</v>
      </c>
      <c r="J19" s="180">
        <f t="shared" si="2"/>
        <v>44</v>
      </c>
      <c r="K19" s="189">
        <v>4</v>
      </c>
      <c r="L19" s="189">
        <v>40</v>
      </c>
      <c r="M19" s="217">
        <v>0</v>
      </c>
      <c r="N19" s="180">
        <f t="shared" si="3"/>
        <v>3</v>
      </c>
      <c r="O19" s="189">
        <v>2</v>
      </c>
      <c r="P19" s="189">
        <v>1</v>
      </c>
      <c r="Q19" s="217">
        <v>0</v>
      </c>
    </row>
    <row r="20" spans="1:17" ht="24.9" customHeight="1">
      <c r="A20" s="787" t="s">
        <v>590</v>
      </c>
      <c r="B20" s="320">
        <f t="shared" si="0"/>
        <v>16</v>
      </c>
      <c r="C20" s="189">
        <v>0</v>
      </c>
      <c r="D20" s="189">
        <v>16</v>
      </c>
      <c r="E20" s="188">
        <v>0</v>
      </c>
      <c r="F20" s="320">
        <f t="shared" si="1"/>
        <v>0</v>
      </c>
      <c r="G20" s="189">
        <v>0</v>
      </c>
      <c r="H20" s="189">
        <v>0</v>
      </c>
      <c r="I20" s="217">
        <v>0</v>
      </c>
      <c r="J20" s="180">
        <f t="shared" si="2"/>
        <v>20</v>
      </c>
      <c r="K20" s="189">
        <v>0</v>
      </c>
      <c r="L20" s="189">
        <v>20</v>
      </c>
      <c r="M20" s="217">
        <v>0</v>
      </c>
      <c r="N20" s="180">
        <f t="shared" si="3"/>
        <v>1</v>
      </c>
      <c r="O20" s="189">
        <v>0</v>
      </c>
      <c r="P20" s="189">
        <v>1</v>
      </c>
      <c r="Q20" s="217">
        <v>0</v>
      </c>
    </row>
    <row r="21" spans="1:17" ht="24.9" customHeight="1">
      <c r="A21" s="787" t="s">
        <v>591</v>
      </c>
      <c r="B21" s="320">
        <f t="shared" si="0"/>
        <v>27</v>
      </c>
      <c r="C21" s="189">
        <v>1</v>
      </c>
      <c r="D21" s="189">
        <v>26</v>
      </c>
      <c r="E21" s="188">
        <v>0</v>
      </c>
      <c r="F21" s="320">
        <f t="shared" si="1"/>
        <v>0</v>
      </c>
      <c r="G21" s="189">
        <v>0</v>
      </c>
      <c r="H21" s="189">
        <v>0</v>
      </c>
      <c r="I21" s="217">
        <v>0</v>
      </c>
      <c r="J21" s="180">
        <f t="shared" si="2"/>
        <v>30</v>
      </c>
      <c r="K21" s="189">
        <v>1</v>
      </c>
      <c r="L21" s="189">
        <v>29</v>
      </c>
      <c r="M21" s="217">
        <v>0</v>
      </c>
      <c r="N21" s="180">
        <f t="shared" si="3"/>
        <v>6</v>
      </c>
      <c r="O21" s="189">
        <v>0</v>
      </c>
      <c r="P21" s="189">
        <v>6</v>
      </c>
      <c r="Q21" s="217">
        <v>0</v>
      </c>
    </row>
    <row r="22" spans="1:17" ht="24.9" customHeight="1">
      <c r="A22" s="787" t="s">
        <v>592</v>
      </c>
      <c r="B22" s="320">
        <f t="shared" si="0"/>
        <v>5</v>
      </c>
      <c r="C22" s="189">
        <v>0</v>
      </c>
      <c r="D22" s="189">
        <v>5</v>
      </c>
      <c r="E22" s="188">
        <v>0</v>
      </c>
      <c r="F22" s="320">
        <f t="shared" si="1"/>
        <v>0</v>
      </c>
      <c r="G22" s="189">
        <v>0</v>
      </c>
      <c r="H22" s="189">
        <v>0</v>
      </c>
      <c r="I22" s="217">
        <v>0</v>
      </c>
      <c r="J22" s="180">
        <f t="shared" si="2"/>
        <v>5</v>
      </c>
      <c r="K22" s="189">
        <v>0</v>
      </c>
      <c r="L22" s="189">
        <v>5</v>
      </c>
      <c r="M22" s="217">
        <v>0</v>
      </c>
      <c r="N22" s="180">
        <f t="shared" si="3"/>
        <v>1</v>
      </c>
      <c r="O22" s="189">
        <v>0</v>
      </c>
      <c r="P22" s="189">
        <v>1</v>
      </c>
      <c r="Q22" s="217">
        <v>0</v>
      </c>
    </row>
    <row r="23" spans="1:17" ht="24.9" customHeight="1">
      <c r="A23" s="787" t="s">
        <v>593</v>
      </c>
      <c r="B23" s="320">
        <f t="shared" si="0"/>
        <v>22</v>
      </c>
      <c r="C23" s="189">
        <v>0</v>
      </c>
      <c r="D23" s="189">
        <v>22</v>
      </c>
      <c r="E23" s="188">
        <v>0</v>
      </c>
      <c r="F23" s="320">
        <f t="shared" si="1"/>
        <v>0</v>
      </c>
      <c r="G23" s="189">
        <v>0</v>
      </c>
      <c r="H23" s="189">
        <v>0</v>
      </c>
      <c r="I23" s="217">
        <v>0</v>
      </c>
      <c r="J23" s="180">
        <f t="shared" si="2"/>
        <v>24</v>
      </c>
      <c r="K23" s="189">
        <v>0</v>
      </c>
      <c r="L23" s="189">
        <v>24</v>
      </c>
      <c r="M23" s="217">
        <v>0</v>
      </c>
      <c r="N23" s="180">
        <f t="shared" si="3"/>
        <v>2</v>
      </c>
      <c r="O23" s="189">
        <v>0</v>
      </c>
      <c r="P23" s="189">
        <v>2</v>
      </c>
      <c r="Q23" s="217">
        <v>0</v>
      </c>
    </row>
    <row r="24" spans="1:17" ht="24.9" customHeight="1">
      <c r="A24" s="787" t="s">
        <v>594</v>
      </c>
      <c r="B24" s="320">
        <f t="shared" si="0"/>
        <v>20</v>
      </c>
      <c r="C24" s="189">
        <v>2</v>
      </c>
      <c r="D24" s="189">
        <v>18</v>
      </c>
      <c r="E24" s="188">
        <v>0</v>
      </c>
      <c r="F24" s="320">
        <f t="shared" si="1"/>
        <v>0</v>
      </c>
      <c r="G24" s="189">
        <v>0</v>
      </c>
      <c r="H24" s="189">
        <v>0</v>
      </c>
      <c r="I24" s="217">
        <v>0</v>
      </c>
      <c r="J24" s="180">
        <f t="shared" si="2"/>
        <v>21</v>
      </c>
      <c r="K24" s="189">
        <v>2</v>
      </c>
      <c r="L24" s="189">
        <v>19</v>
      </c>
      <c r="M24" s="217">
        <v>0</v>
      </c>
      <c r="N24" s="180">
        <f t="shared" si="3"/>
        <v>2</v>
      </c>
      <c r="O24" s="189">
        <v>0</v>
      </c>
      <c r="P24" s="189">
        <v>2</v>
      </c>
      <c r="Q24" s="217">
        <v>0</v>
      </c>
    </row>
    <row r="25" spans="1:17" ht="24.9" customHeight="1">
      <c r="A25" s="787" t="s">
        <v>595</v>
      </c>
      <c r="B25" s="320">
        <f t="shared" si="0"/>
        <v>16</v>
      </c>
      <c r="C25" s="189">
        <v>0</v>
      </c>
      <c r="D25" s="189">
        <v>16</v>
      </c>
      <c r="E25" s="188">
        <v>0</v>
      </c>
      <c r="F25" s="320">
        <f t="shared" si="1"/>
        <v>0</v>
      </c>
      <c r="G25" s="189">
        <v>0</v>
      </c>
      <c r="H25" s="189">
        <v>0</v>
      </c>
      <c r="I25" s="217">
        <v>0</v>
      </c>
      <c r="J25" s="180">
        <f t="shared" si="2"/>
        <v>17</v>
      </c>
      <c r="K25" s="189">
        <v>0</v>
      </c>
      <c r="L25" s="189">
        <v>17</v>
      </c>
      <c r="M25" s="217">
        <v>0</v>
      </c>
      <c r="N25" s="180">
        <f t="shared" si="3"/>
        <v>1</v>
      </c>
      <c r="O25" s="189">
        <v>0</v>
      </c>
      <c r="P25" s="189">
        <v>1</v>
      </c>
      <c r="Q25" s="217">
        <v>0</v>
      </c>
    </row>
    <row r="26" spans="1:17" ht="24.9" customHeight="1">
      <c r="A26" s="787" t="s">
        <v>596</v>
      </c>
      <c r="B26" s="320">
        <f t="shared" si="0"/>
        <v>14</v>
      </c>
      <c r="C26" s="189">
        <v>3</v>
      </c>
      <c r="D26" s="189">
        <v>11</v>
      </c>
      <c r="E26" s="188">
        <v>0</v>
      </c>
      <c r="F26" s="320">
        <f t="shared" si="1"/>
        <v>0</v>
      </c>
      <c r="G26" s="189">
        <v>0</v>
      </c>
      <c r="H26" s="189">
        <v>0</v>
      </c>
      <c r="I26" s="217">
        <v>0</v>
      </c>
      <c r="J26" s="180">
        <f t="shared" si="2"/>
        <v>14</v>
      </c>
      <c r="K26" s="189">
        <v>3</v>
      </c>
      <c r="L26" s="189">
        <v>11</v>
      </c>
      <c r="M26" s="217">
        <v>0</v>
      </c>
      <c r="N26" s="180">
        <f t="shared" si="3"/>
        <v>2</v>
      </c>
      <c r="O26" s="189">
        <v>0</v>
      </c>
      <c r="P26" s="189">
        <v>2</v>
      </c>
      <c r="Q26" s="217">
        <v>0</v>
      </c>
    </row>
    <row r="27" spans="1:17" ht="24.9" customHeight="1">
      <c r="A27" s="787" t="s">
        <v>597</v>
      </c>
      <c r="B27" s="320">
        <f t="shared" si="0"/>
        <v>17</v>
      </c>
      <c r="C27" s="189">
        <v>2</v>
      </c>
      <c r="D27" s="189">
        <v>15</v>
      </c>
      <c r="E27" s="188">
        <v>0</v>
      </c>
      <c r="F27" s="320">
        <f t="shared" si="1"/>
        <v>0</v>
      </c>
      <c r="G27" s="189">
        <v>0</v>
      </c>
      <c r="H27" s="189">
        <v>0</v>
      </c>
      <c r="I27" s="217">
        <v>0</v>
      </c>
      <c r="J27" s="180">
        <f t="shared" si="2"/>
        <v>18</v>
      </c>
      <c r="K27" s="189">
        <v>2</v>
      </c>
      <c r="L27" s="189">
        <v>16</v>
      </c>
      <c r="M27" s="217">
        <v>0</v>
      </c>
      <c r="N27" s="180">
        <f t="shared" si="3"/>
        <v>2</v>
      </c>
      <c r="O27" s="189">
        <v>0</v>
      </c>
      <c r="P27" s="189">
        <v>2</v>
      </c>
      <c r="Q27" s="217">
        <v>0</v>
      </c>
    </row>
    <row r="28" spans="1:17" ht="24.9" customHeight="1">
      <c r="A28" s="787" t="s">
        <v>751</v>
      </c>
      <c r="B28" s="320">
        <f t="shared" si="0"/>
        <v>19</v>
      </c>
      <c r="C28" s="189">
        <v>0</v>
      </c>
      <c r="D28" s="189">
        <v>19</v>
      </c>
      <c r="E28" s="188">
        <v>0</v>
      </c>
      <c r="F28" s="320">
        <f t="shared" si="1"/>
        <v>1</v>
      </c>
      <c r="G28" s="189">
        <v>0</v>
      </c>
      <c r="H28" s="189">
        <v>1</v>
      </c>
      <c r="I28" s="217">
        <v>0</v>
      </c>
      <c r="J28" s="180">
        <f t="shared" si="2"/>
        <v>20</v>
      </c>
      <c r="K28" s="189">
        <v>0</v>
      </c>
      <c r="L28" s="189">
        <v>20</v>
      </c>
      <c r="M28" s="217">
        <v>0</v>
      </c>
      <c r="N28" s="180">
        <f t="shared" si="3"/>
        <v>3</v>
      </c>
      <c r="O28" s="189">
        <v>0</v>
      </c>
      <c r="P28" s="189">
        <v>3</v>
      </c>
      <c r="Q28" s="217">
        <v>0</v>
      </c>
    </row>
    <row r="29" spans="1:17" ht="24.9" customHeight="1">
      <c r="A29" s="787" t="s">
        <v>599</v>
      </c>
      <c r="B29" s="320">
        <f t="shared" si="0"/>
        <v>39</v>
      </c>
      <c r="C29" s="189">
        <v>1</v>
      </c>
      <c r="D29" s="189">
        <v>38</v>
      </c>
      <c r="E29" s="188">
        <v>0</v>
      </c>
      <c r="F29" s="320">
        <f t="shared" si="1"/>
        <v>1</v>
      </c>
      <c r="G29" s="189">
        <v>0</v>
      </c>
      <c r="H29" s="189">
        <v>1</v>
      </c>
      <c r="I29" s="217">
        <v>0</v>
      </c>
      <c r="J29" s="180">
        <f t="shared" si="2"/>
        <v>39</v>
      </c>
      <c r="K29" s="189">
        <v>1</v>
      </c>
      <c r="L29" s="189">
        <v>38</v>
      </c>
      <c r="M29" s="217">
        <v>0</v>
      </c>
      <c r="N29" s="180">
        <f t="shared" si="3"/>
        <v>10</v>
      </c>
      <c r="O29" s="189">
        <v>1</v>
      </c>
      <c r="P29" s="189">
        <v>9</v>
      </c>
      <c r="Q29" s="217">
        <v>0</v>
      </c>
    </row>
    <row r="30" spans="1:17" ht="24.9" customHeight="1" thickBot="1">
      <c r="A30" s="655" t="s">
        <v>600</v>
      </c>
      <c r="B30" s="181">
        <f t="shared" si="0"/>
        <v>14</v>
      </c>
      <c r="C30" s="222">
        <v>1</v>
      </c>
      <c r="D30" s="222">
        <v>13</v>
      </c>
      <c r="E30" s="301">
        <v>0</v>
      </c>
      <c r="F30" s="181">
        <f t="shared" si="1"/>
        <v>0</v>
      </c>
      <c r="G30" s="222">
        <v>0</v>
      </c>
      <c r="H30" s="222">
        <v>0</v>
      </c>
      <c r="I30" s="223">
        <v>0</v>
      </c>
      <c r="J30" s="182">
        <f t="shared" si="2"/>
        <v>14</v>
      </c>
      <c r="K30" s="222">
        <v>1</v>
      </c>
      <c r="L30" s="222">
        <v>13</v>
      </c>
      <c r="M30" s="223">
        <v>0</v>
      </c>
      <c r="N30" s="182">
        <f t="shared" si="3"/>
        <v>0</v>
      </c>
      <c r="O30" s="222">
        <v>0</v>
      </c>
      <c r="P30" s="222">
        <v>0</v>
      </c>
      <c r="Q30" s="223">
        <v>0</v>
      </c>
    </row>
    <row r="31" spans="1:17" ht="24.9" customHeight="1" thickBot="1">
      <c r="A31" s="788" t="s">
        <v>635</v>
      </c>
      <c r="B31" s="184">
        <f t="shared" ref="B31:Q31" si="4">SUM(B7:B30)</f>
        <v>447</v>
      </c>
      <c r="C31" s="57">
        <f t="shared" si="4"/>
        <v>25</v>
      </c>
      <c r="D31" s="57">
        <f t="shared" si="4"/>
        <v>420</v>
      </c>
      <c r="E31" s="324">
        <f t="shared" si="4"/>
        <v>2</v>
      </c>
      <c r="F31" s="184">
        <f t="shared" si="4"/>
        <v>4</v>
      </c>
      <c r="G31" s="57">
        <f t="shared" si="4"/>
        <v>0</v>
      </c>
      <c r="H31" s="57">
        <f t="shared" si="4"/>
        <v>4</v>
      </c>
      <c r="I31" s="166">
        <f t="shared" si="4"/>
        <v>0</v>
      </c>
      <c r="J31" s="58">
        <f t="shared" si="4"/>
        <v>475</v>
      </c>
      <c r="K31" s="57">
        <f t="shared" si="4"/>
        <v>26</v>
      </c>
      <c r="L31" s="57">
        <f t="shared" si="4"/>
        <v>447</v>
      </c>
      <c r="M31" s="166">
        <f t="shared" si="4"/>
        <v>2</v>
      </c>
      <c r="N31" s="58">
        <f t="shared" si="4"/>
        <v>69</v>
      </c>
      <c r="O31" s="57">
        <f t="shared" si="4"/>
        <v>4</v>
      </c>
      <c r="P31" s="57">
        <f t="shared" si="4"/>
        <v>65</v>
      </c>
      <c r="Q31" s="166">
        <f t="shared" si="4"/>
        <v>0</v>
      </c>
    </row>
    <row r="32" spans="1:17" ht="9" customHeight="1">
      <c r="A32" s="1936"/>
      <c r="B32" s="25"/>
      <c r="C32" s="25"/>
      <c r="D32" s="25"/>
      <c r="E32" s="25"/>
      <c r="F32" s="25"/>
      <c r="G32" s="25"/>
      <c r="H32" s="25"/>
      <c r="I32" s="25"/>
      <c r="J32" s="25"/>
      <c r="K32" s="25"/>
      <c r="L32" s="25"/>
      <c r="M32" s="25"/>
      <c r="N32" s="25"/>
      <c r="O32" s="25"/>
      <c r="P32" s="25"/>
      <c r="Q32" s="25"/>
    </row>
    <row r="33" spans="1:12" s="1889" customFormat="1" ht="18">
      <c r="A33" s="1889" t="s">
        <v>960</v>
      </c>
    </row>
    <row r="34" spans="1:12" s="1889" customFormat="1" ht="19.5" customHeight="1">
      <c r="A34" s="1897" t="s">
        <v>916</v>
      </c>
      <c r="B34" s="1897"/>
      <c r="C34" s="1897"/>
      <c r="D34" s="1897"/>
      <c r="E34" s="1897"/>
      <c r="F34" s="1897"/>
      <c r="G34" s="1897"/>
      <c r="H34" s="1897"/>
      <c r="I34" s="1897"/>
      <c r="J34" s="1897"/>
      <c r="K34" s="1897"/>
      <c r="L34" s="1897"/>
    </row>
    <row r="35" spans="1:12">
      <c r="A35" s="502"/>
      <c r="B35" s="502"/>
      <c r="C35" s="502"/>
      <c r="D35" s="502"/>
      <c r="E35" s="502"/>
      <c r="F35" s="502"/>
      <c r="G35" s="502"/>
      <c r="H35" s="502"/>
      <c r="I35" s="502"/>
      <c r="J35" s="502"/>
      <c r="K35" s="502"/>
      <c r="L35" s="502"/>
    </row>
  </sheetData>
  <mergeCells count="10">
    <mergeCell ref="N3:P3"/>
    <mergeCell ref="N4:P4"/>
    <mergeCell ref="A1:M1"/>
    <mergeCell ref="A2:M2"/>
    <mergeCell ref="B3:D4"/>
    <mergeCell ref="E3:E4"/>
    <mergeCell ref="F3:H4"/>
    <mergeCell ref="I3:I4"/>
    <mergeCell ref="J3:L4"/>
    <mergeCell ref="M3:M4"/>
  </mergeCells>
  <phoneticPr fontId="4"/>
  <printOptions horizontalCentered="1"/>
  <pageMargins left="0.78740157480314965" right="0.39370078740157483" top="0.98425196850393704" bottom="0.98425196850393704" header="0.31496062992125984" footer="0.51181102362204722"/>
  <pageSetup paperSize="9" scale="70" orientation="portrait" r:id="rId1"/>
  <headerFooter scaleWithDoc="0" alignWithMargins="0">
    <oddFooter>&amp;C- &amp;P -</oddFoot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E4B8E-7A3D-42FB-9CC0-6352939C925C}">
  <sheetPr>
    <pageSetUpPr fitToPage="1"/>
  </sheetPr>
  <dimension ref="A1:R36"/>
  <sheetViews>
    <sheetView view="pageBreakPreview" topLeftCell="A16" zoomScale="70" zoomScaleNormal="100" zoomScaleSheetLayoutView="70" workbookViewId="0">
      <selection activeCell="L76" sqref="L76"/>
    </sheetView>
  </sheetViews>
  <sheetFormatPr defaultColWidth="9" defaultRowHeight="13.8"/>
  <cols>
    <col min="1" max="1" width="2.88671875" style="497" customWidth="1"/>
    <col min="2" max="2" width="3.88671875" style="497" customWidth="1"/>
    <col min="3" max="3" width="7.109375" style="497" customWidth="1"/>
    <col min="4" max="6" width="8.33203125" style="497" customWidth="1"/>
    <col min="7" max="7" width="7.109375" style="497" customWidth="1"/>
    <col min="8" max="10" width="8.33203125" style="497" customWidth="1"/>
    <col min="11" max="11" width="7.109375" style="497" customWidth="1"/>
    <col min="12" max="14" width="8.33203125" style="497" customWidth="1"/>
    <col min="15" max="15" width="7.6640625" style="497" customWidth="1"/>
    <col min="16" max="18" width="8.33203125" style="497" customWidth="1"/>
    <col min="19" max="16384" width="9" style="497"/>
  </cols>
  <sheetData>
    <row r="1" spans="1:18" ht="15">
      <c r="A1" s="566" t="s">
        <v>499</v>
      </c>
      <c r="B1" s="650"/>
      <c r="C1" s="650"/>
      <c r="D1" s="650"/>
    </row>
    <row r="2" spans="1:18" ht="15.6" thickBot="1">
      <c r="A2" s="650" t="s">
        <v>477</v>
      </c>
      <c r="B2" s="650"/>
      <c r="C2" s="650"/>
      <c r="D2" s="650"/>
    </row>
    <row r="3" spans="1:18" ht="14.4" thickBot="1">
      <c r="A3" s="950"/>
      <c r="B3" s="586" t="s">
        <v>491</v>
      </c>
      <c r="C3" s="1291" t="s">
        <v>603</v>
      </c>
      <c r="D3" s="1314"/>
      <c r="E3" s="1314"/>
      <c r="F3" s="1761" t="s">
        <v>641</v>
      </c>
      <c r="G3" s="1291" t="s">
        <v>836</v>
      </c>
      <c r="H3" s="1314"/>
      <c r="I3" s="1314"/>
      <c r="J3" s="1761" t="s">
        <v>644</v>
      </c>
      <c r="K3" s="1291" t="s">
        <v>605</v>
      </c>
      <c r="L3" s="1314"/>
      <c r="M3" s="1314"/>
      <c r="N3" s="1764" t="s">
        <v>644</v>
      </c>
      <c r="O3" s="1469"/>
      <c r="P3" s="1813"/>
      <c r="Q3" s="1813"/>
      <c r="R3" s="587"/>
    </row>
    <row r="4" spans="1:18">
      <c r="A4" s="952"/>
      <c r="B4" s="517"/>
      <c r="C4" s="1434"/>
      <c r="D4" s="1487"/>
      <c r="E4" s="1487"/>
      <c r="F4" s="1762"/>
      <c r="G4" s="1434"/>
      <c r="H4" s="1487"/>
      <c r="I4" s="1487"/>
      <c r="J4" s="1762"/>
      <c r="K4" s="1434"/>
      <c r="L4" s="1487"/>
      <c r="M4" s="1487"/>
      <c r="N4" s="1762"/>
      <c r="O4" s="1827" t="s">
        <v>606</v>
      </c>
      <c r="P4" s="1828"/>
      <c r="Q4" s="1828"/>
      <c r="R4" s="585" t="s">
        <v>848</v>
      </c>
    </row>
    <row r="5" spans="1:18">
      <c r="A5" s="516"/>
      <c r="B5" s="500"/>
      <c r="C5" s="503" t="s">
        <v>752</v>
      </c>
      <c r="D5" s="505"/>
      <c r="E5" s="505"/>
      <c r="F5" s="505"/>
      <c r="G5" s="503" t="s">
        <v>752</v>
      </c>
      <c r="H5" s="505"/>
      <c r="I5" s="505"/>
      <c r="J5" s="505"/>
      <c r="K5" s="503" t="s">
        <v>752</v>
      </c>
      <c r="L5" s="505"/>
      <c r="M5" s="505"/>
      <c r="N5" s="506"/>
      <c r="O5" s="503" t="s">
        <v>752</v>
      </c>
      <c r="P5" s="505"/>
      <c r="Q5" s="505"/>
      <c r="R5" s="506"/>
    </row>
    <row r="6" spans="1:18" ht="14.4" thickBot="1">
      <c r="A6" s="942" t="s">
        <v>492</v>
      </c>
      <c r="B6" s="500"/>
      <c r="C6" s="519"/>
      <c r="D6" s="520" t="s">
        <v>465</v>
      </c>
      <c r="E6" s="521" t="s">
        <v>466</v>
      </c>
      <c r="F6" s="521" t="s">
        <v>325</v>
      </c>
      <c r="G6" s="519"/>
      <c r="H6" s="520" t="s">
        <v>465</v>
      </c>
      <c r="I6" s="521" t="s">
        <v>466</v>
      </c>
      <c r="J6" s="521" t="s">
        <v>325</v>
      </c>
      <c r="K6" s="519"/>
      <c r="L6" s="520" t="s">
        <v>465</v>
      </c>
      <c r="M6" s="521" t="s">
        <v>466</v>
      </c>
      <c r="N6" s="523" t="s">
        <v>325</v>
      </c>
      <c r="O6" s="519"/>
      <c r="P6" s="520" t="s">
        <v>465</v>
      </c>
      <c r="Q6" s="521" t="s">
        <v>466</v>
      </c>
      <c r="R6" s="523" t="s">
        <v>325</v>
      </c>
    </row>
    <row r="7" spans="1:18" ht="24.9" customHeight="1">
      <c r="A7" s="524"/>
      <c r="B7" s="525">
        <v>0</v>
      </c>
      <c r="C7" s="317">
        <f t="shared" ref="C7:C30" si="0">SUM(D7:F7)</f>
        <v>7</v>
      </c>
      <c r="D7" s="194">
        <v>2</v>
      </c>
      <c r="E7" s="195">
        <v>5</v>
      </c>
      <c r="F7" s="195">
        <v>0</v>
      </c>
      <c r="G7" s="317">
        <f t="shared" ref="G7:G30" si="1">SUM(H7:J7)</f>
        <v>0</v>
      </c>
      <c r="H7" s="194">
        <v>0</v>
      </c>
      <c r="I7" s="194">
        <v>0</v>
      </c>
      <c r="J7" s="293">
        <v>0</v>
      </c>
      <c r="K7" s="193">
        <f t="shared" ref="K7:K30" si="2">SUM(L7:N7)</f>
        <v>7</v>
      </c>
      <c r="L7" s="194">
        <v>2</v>
      </c>
      <c r="M7" s="195">
        <v>5</v>
      </c>
      <c r="N7" s="293">
        <v>0</v>
      </c>
      <c r="O7" s="193">
        <f t="shared" ref="O7:O30" si="3">SUM(P7:R7)</f>
        <v>1</v>
      </c>
      <c r="P7" s="194">
        <v>0</v>
      </c>
      <c r="Q7" s="195">
        <v>1</v>
      </c>
      <c r="R7" s="293">
        <v>0</v>
      </c>
    </row>
    <row r="8" spans="1:18" ht="24.9" customHeight="1">
      <c r="A8" s="524" t="s">
        <v>631</v>
      </c>
      <c r="B8" s="948">
        <v>1</v>
      </c>
      <c r="C8" s="208">
        <f t="shared" si="0"/>
        <v>4</v>
      </c>
      <c r="D8" s="204">
        <v>0</v>
      </c>
      <c r="E8" s="203">
        <v>4</v>
      </c>
      <c r="F8" s="203">
        <v>0</v>
      </c>
      <c r="G8" s="208">
        <f t="shared" si="1"/>
        <v>0</v>
      </c>
      <c r="H8" s="1210">
        <v>0</v>
      </c>
      <c r="I8" s="1210">
        <v>0</v>
      </c>
      <c r="J8" s="1209">
        <v>0</v>
      </c>
      <c r="K8" s="209">
        <f t="shared" si="2"/>
        <v>4</v>
      </c>
      <c r="L8" s="204">
        <v>0</v>
      </c>
      <c r="M8" s="203">
        <v>4</v>
      </c>
      <c r="N8" s="217">
        <v>0</v>
      </c>
      <c r="O8" s="209">
        <f t="shared" si="3"/>
        <v>0</v>
      </c>
      <c r="P8" s="204">
        <v>0</v>
      </c>
      <c r="Q8" s="203">
        <v>0</v>
      </c>
      <c r="R8" s="217">
        <v>0</v>
      </c>
    </row>
    <row r="9" spans="1:18" ht="24.9" customHeight="1">
      <c r="A9" s="524"/>
      <c r="B9" s="948">
        <v>2</v>
      </c>
      <c r="C9" s="208">
        <f t="shared" si="0"/>
        <v>5</v>
      </c>
      <c r="D9" s="204">
        <v>0</v>
      </c>
      <c r="E9" s="203">
        <v>5</v>
      </c>
      <c r="F9" s="203">
        <v>0</v>
      </c>
      <c r="G9" s="208">
        <f t="shared" si="1"/>
        <v>0</v>
      </c>
      <c r="H9" s="1210">
        <v>0</v>
      </c>
      <c r="I9" s="1210">
        <v>0</v>
      </c>
      <c r="J9" s="1209">
        <v>0</v>
      </c>
      <c r="K9" s="209">
        <f t="shared" si="2"/>
        <v>5</v>
      </c>
      <c r="L9" s="204">
        <v>0</v>
      </c>
      <c r="M9" s="203">
        <v>5</v>
      </c>
      <c r="N9" s="217">
        <v>0</v>
      </c>
      <c r="O9" s="209">
        <f t="shared" si="3"/>
        <v>2</v>
      </c>
      <c r="P9" s="204">
        <v>0</v>
      </c>
      <c r="Q9" s="203">
        <v>2</v>
      </c>
      <c r="R9" s="217">
        <v>0</v>
      </c>
    </row>
    <row r="10" spans="1:18" ht="24.9" customHeight="1">
      <c r="A10" s="524" t="s">
        <v>632</v>
      </c>
      <c r="B10" s="948">
        <v>3</v>
      </c>
      <c r="C10" s="208">
        <f t="shared" si="0"/>
        <v>4</v>
      </c>
      <c r="D10" s="204">
        <v>0</v>
      </c>
      <c r="E10" s="203">
        <v>4</v>
      </c>
      <c r="F10" s="203">
        <v>0</v>
      </c>
      <c r="G10" s="208">
        <f t="shared" si="1"/>
        <v>0</v>
      </c>
      <c r="H10" s="204">
        <v>0</v>
      </c>
      <c r="I10" s="1210">
        <v>0</v>
      </c>
      <c r="J10" s="1209">
        <v>0</v>
      </c>
      <c r="K10" s="209">
        <f t="shared" si="2"/>
        <v>4</v>
      </c>
      <c r="L10" s="204">
        <v>0</v>
      </c>
      <c r="M10" s="203">
        <v>4</v>
      </c>
      <c r="N10" s="217">
        <v>0</v>
      </c>
      <c r="O10" s="209">
        <f t="shared" si="3"/>
        <v>0</v>
      </c>
      <c r="P10" s="204">
        <v>0</v>
      </c>
      <c r="Q10" s="203">
        <v>0</v>
      </c>
      <c r="R10" s="217">
        <v>0</v>
      </c>
    </row>
    <row r="11" spans="1:18" ht="24.9" customHeight="1">
      <c r="A11" s="524"/>
      <c r="B11" s="948">
        <v>4</v>
      </c>
      <c r="C11" s="208">
        <f t="shared" si="0"/>
        <v>7</v>
      </c>
      <c r="D11" s="204">
        <v>2</v>
      </c>
      <c r="E11" s="203">
        <v>5</v>
      </c>
      <c r="F11" s="203">
        <v>0</v>
      </c>
      <c r="G11" s="208">
        <f t="shared" si="1"/>
        <v>0</v>
      </c>
      <c r="H11" s="1210">
        <v>0</v>
      </c>
      <c r="I11" s="1210">
        <v>0</v>
      </c>
      <c r="J11" s="1209">
        <v>0</v>
      </c>
      <c r="K11" s="209">
        <f t="shared" si="2"/>
        <v>7</v>
      </c>
      <c r="L11" s="204">
        <v>2</v>
      </c>
      <c r="M11" s="203">
        <v>5</v>
      </c>
      <c r="N11" s="217">
        <v>0</v>
      </c>
      <c r="O11" s="209">
        <f t="shared" si="3"/>
        <v>4</v>
      </c>
      <c r="P11" s="204">
        <v>0</v>
      </c>
      <c r="Q11" s="203">
        <v>4</v>
      </c>
      <c r="R11" s="217">
        <v>0</v>
      </c>
    </row>
    <row r="12" spans="1:18" ht="24.9" customHeight="1">
      <c r="A12" s="551"/>
      <c r="B12" s="948">
        <v>5</v>
      </c>
      <c r="C12" s="208">
        <f t="shared" si="0"/>
        <v>9</v>
      </c>
      <c r="D12" s="204">
        <v>1</v>
      </c>
      <c r="E12" s="203">
        <v>8</v>
      </c>
      <c r="F12" s="204">
        <v>0</v>
      </c>
      <c r="G12" s="208">
        <f t="shared" si="1"/>
        <v>1</v>
      </c>
      <c r="H12" s="204">
        <v>0</v>
      </c>
      <c r="I12" s="1210">
        <v>1</v>
      </c>
      <c r="J12" s="1209">
        <v>0</v>
      </c>
      <c r="K12" s="209">
        <f t="shared" si="2"/>
        <v>8</v>
      </c>
      <c r="L12" s="204">
        <v>1</v>
      </c>
      <c r="M12" s="203">
        <v>7</v>
      </c>
      <c r="N12" s="217">
        <v>0</v>
      </c>
      <c r="O12" s="209">
        <f t="shared" si="3"/>
        <v>1</v>
      </c>
      <c r="P12" s="204">
        <v>0</v>
      </c>
      <c r="Q12" s="203">
        <v>1</v>
      </c>
      <c r="R12" s="217">
        <v>0</v>
      </c>
    </row>
    <row r="13" spans="1:18" ht="24.9" customHeight="1">
      <c r="A13" s="529"/>
      <c r="B13" s="530">
        <v>6</v>
      </c>
      <c r="C13" s="317">
        <f t="shared" si="0"/>
        <v>11</v>
      </c>
      <c r="D13" s="189">
        <v>0</v>
      </c>
      <c r="E13" s="188">
        <v>11</v>
      </c>
      <c r="F13" s="188">
        <v>0</v>
      </c>
      <c r="G13" s="317">
        <f t="shared" si="1"/>
        <v>1</v>
      </c>
      <c r="H13" s="194">
        <v>0</v>
      </c>
      <c r="I13" s="194">
        <v>1</v>
      </c>
      <c r="J13" s="217">
        <v>0</v>
      </c>
      <c r="K13" s="193">
        <f t="shared" si="2"/>
        <v>10</v>
      </c>
      <c r="L13" s="189">
        <v>0</v>
      </c>
      <c r="M13" s="188">
        <v>10</v>
      </c>
      <c r="N13" s="217">
        <v>0</v>
      </c>
      <c r="O13" s="193">
        <f t="shared" si="3"/>
        <v>4</v>
      </c>
      <c r="P13" s="189">
        <v>0</v>
      </c>
      <c r="Q13" s="188">
        <v>4</v>
      </c>
      <c r="R13" s="217">
        <v>0</v>
      </c>
    </row>
    <row r="14" spans="1:18" ht="24.9" customHeight="1">
      <c r="A14" s="529"/>
      <c r="B14" s="530">
        <v>7</v>
      </c>
      <c r="C14" s="317">
        <f t="shared" si="0"/>
        <v>18</v>
      </c>
      <c r="D14" s="189">
        <v>2</v>
      </c>
      <c r="E14" s="188">
        <v>16</v>
      </c>
      <c r="F14" s="188">
        <v>0</v>
      </c>
      <c r="G14" s="317">
        <f t="shared" si="1"/>
        <v>0</v>
      </c>
      <c r="H14" s="189">
        <v>0</v>
      </c>
      <c r="I14" s="194">
        <v>0</v>
      </c>
      <c r="J14" s="217">
        <v>0</v>
      </c>
      <c r="K14" s="193">
        <f t="shared" si="2"/>
        <v>19</v>
      </c>
      <c r="L14" s="189">
        <v>2</v>
      </c>
      <c r="M14" s="188">
        <v>17</v>
      </c>
      <c r="N14" s="217">
        <v>0</v>
      </c>
      <c r="O14" s="193">
        <f t="shared" si="3"/>
        <v>5</v>
      </c>
      <c r="P14" s="189">
        <v>1</v>
      </c>
      <c r="Q14" s="188">
        <v>4</v>
      </c>
      <c r="R14" s="217">
        <v>0</v>
      </c>
    </row>
    <row r="15" spans="1:18" ht="24.9" customHeight="1">
      <c r="A15" s="529"/>
      <c r="B15" s="530">
        <v>8</v>
      </c>
      <c r="C15" s="317">
        <f t="shared" si="0"/>
        <v>24</v>
      </c>
      <c r="D15" s="189">
        <v>1</v>
      </c>
      <c r="E15" s="188">
        <v>23</v>
      </c>
      <c r="F15" s="188">
        <v>0</v>
      </c>
      <c r="G15" s="317">
        <f t="shared" si="1"/>
        <v>0</v>
      </c>
      <c r="H15" s="189">
        <v>0</v>
      </c>
      <c r="I15" s="194">
        <v>0</v>
      </c>
      <c r="J15" s="217">
        <v>0</v>
      </c>
      <c r="K15" s="193">
        <f t="shared" si="2"/>
        <v>25</v>
      </c>
      <c r="L15" s="189">
        <v>1</v>
      </c>
      <c r="M15" s="188">
        <v>24</v>
      </c>
      <c r="N15" s="217">
        <v>0</v>
      </c>
      <c r="O15" s="193">
        <f t="shared" si="3"/>
        <v>1</v>
      </c>
      <c r="P15" s="189">
        <v>0</v>
      </c>
      <c r="Q15" s="188">
        <v>1</v>
      </c>
      <c r="R15" s="217">
        <v>0</v>
      </c>
    </row>
    <row r="16" spans="1:18" ht="24.9" customHeight="1">
      <c r="A16" s="529"/>
      <c r="B16" s="530">
        <v>9</v>
      </c>
      <c r="C16" s="317">
        <f t="shared" si="0"/>
        <v>28</v>
      </c>
      <c r="D16" s="189">
        <v>1</v>
      </c>
      <c r="E16" s="188">
        <v>27</v>
      </c>
      <c r="F16" s="188">
        <v>0</v>
      </c>
      <c r="G16" s="317">
        <f t="shared" si="1"/>
        <v>0</v>
      </c>
      <c r="H16" s="189">
        <v>0</v>
      </c>
      <c r="I16" s="194">
        <v>0</v>
      </c>
      <c r="J16" s="217">
        <v>0</v>
      </c>
      <c r="K16" s="193">
        <f t="shared" si="2"/>
        <v>30</v>
      </c>
      <c r="L16" s="189">
        <v>1</v>
      </c>
      <c r="M16" s="188">
        <v>29</v>
      </c>
      <c r="N16" s="217">
        <v>0</v>
      </c>
      <c r="O16" s="193">
        <f t="shared" si="3"/>
        <v>6</v>
      </c>
      <c r="P16" s="189">
        <v>0</v>
      </c>
      <c r="Q16" s="188">
        <v>6</v>
      </c>
      <c r="R16" s="217">
        <v>0</v>
      </c>
    </row>
    <row r="17" spans="1:18" ht="24.9" customHeight="1">
      <c r="A17" s="529"/>
      <c r="B17" s="530">
        <v>10</v>
      </c>
      <c r="C17" s="317">
        <f t="shared" si="0"/>
        <v>27</v>
      </c>
      <c r="D17" s="189">
        <v>0</v>
      </c>
      <c r="E17" s="188">
        <v>27</v>
      </c>
      <c r="F17" s="188">
        <v>0</v>
      </c>
      <c r="G17" s="317">
        <f t="shared" si="1"/>
        <v>0</v>
      </c>
      <c r="H17" s="189">
        <v>0</v>
      </c>
      <c r="I17" s="194">
        <v>0</v>
      </c>
      <c r="J17" s="217">
        <v>0</v>
      </c>
      <c r="K17" s="193">
        <f t="shared" si="2"/>
        <v>28</v>
      </c>
      <c r="L17" s="189">
        <v>0</v>
      </c>
      <c r="M17" s="188">
        <v>28</v>
      </c>
      <c r="N17" s="217">
        <v>0</v>
      </c>
      <c r="O17" s="193">
        <f t="shared" si="3"/>
        <v>2</v>
      </c>
      <c r="P17" s="189">
        <v>0</v>
      </c>
      <c r="Q17" s="188">
        <v>2</v>
      </c>
      <c r="R17" s="217">
        <v>0</v>
      </c>
    </row>
    <row r="18" spans="1:18" ht="24.9" customHeight="1">
      <c r="A18" s="529"/>
      <c r="B18" s="530">
        <v>11</v>
      </c>
      <c r="C18" s="317">
        <f t="shared" si="0"/>
        <v>27</v>
      </c>
      <c r="D18" s="189">
        <v>0</v>
      </c>
      <c r="E18" s="188">
        <v>27</v>
      </c>
      <c r="F18" s="188">
        <v>0</v>
      </c>
      <c r="G18" s="317">
        <f t="shared" si="1"/>
        <v>1</v>
      </c>
      <c r="H18" s="189">
        <v>0</v>
      </c>
      <c r="I18" s="194">
        <v>1</v>
      </c>
      <c r="J18" s="217">
        <v>0</v>
      </c>
      <c r="K18" s="193">
        <f t="shared" si="2"/>
        <v>26</v>
      </c>
      <c r="L18" s="189">
        <v>0</v>
      </c>
      <c r="M18" s="188">
        <v>26</v>
      </c>
      <c r="N18" s="217">
        <v>0</v>
      </c>
      <c r="O18" s="193">
        <f t="shared" si="3"/>
        <v>3</v>
      </c>
      <c r="P18" s="189">
        <v>0</v>
      </c>
      <c r="Q18" s="188">
        <v>3</v>
      </c>
      <c r="R18" s="217">
        <v>0</v>
      </c>
    </row>
    <row r="19" spans="1:18" ht="24.9" customHeight="1">
      <c r="A19" s="529"/>
      <c r="B19" s="530">
        <v>12</v>
      </c>
      <c r="C19" s="317">
        <f t="shared" si="0"/>
        <v>29</v>
      </c>
      <c r="D19" s="189">
        <v>0</v>
      </c>
      <c r="E19" s="188">
        <v>29</v>
      </c>
      <c r="F19" s="188">
        <v>0</v>
      </c>
      <c r="G19" s="317">
        <f t="shared" si="1"/>
        <v>0</v>
      </c>
      <c r="H19" s="189">
        <v>0</v>
      </c>
      <c r="I19" s="194">
        <v>0</v>
      </c>
      <c r="J19" s="217">
        <v>0</v>
      </c>
      <c r="K19" s="193">
        <f t="shared" si="2"/>
        <v>34</v>
      </c>
      <c r="L19" s="189">
        <v>0</v>
      </c>
      <c r="M19" s="188">
        <v>34</v>
      </c>
      <c r="N19" s="217">
        <v>0</v>
      </c>
      <c r="O19" s="193">
        <f t="shared" si="3"/>
        <v>4</v>
      </c>
      <c r="P19" s="189">
        <v>0</v>
      </c>
      <c r="Q19" s="188">
        <v>4</v>
      </c>
      <c r="R19" s="217">
        <v>0</v>
      </c>
    </row>
    <row r="20" spans="1:18" ht="24.9" customHeight="1">
      <c r="A20" s="529"/>
      <c r="B20" s="530">
        <v>13</v>
      </c>
      <c r="C20" s="317">
        <f t="shared" si="0"/>
        <v>23</v>
      </c>
      <c r="D20" s="189">
        <v>1</v>
      </c>
      <c r="E20" s="188">
        <v>22</v>
      </c>
      <c r="F20" s="188">
        <v>0</v>
      </c>
      <c r="G20" s="317">
        <f t="shared" si="1"/>
        <v>0</v>
      </c>
      <c r="H20" s="194">
        <v>0</v>
      </c>
      <c r="I20" s="194">
        <v>0</v>
      </c>
      <c r="J20" s="217">
        <v>0</v>
      </c>
      <c r="K20" s="193">
        <f t="shared" si="2"/>
        <v>27</v>
      </c>
      <c r="L20" s="189">
        <v>1</v>
      </c>
      <c r="M20" s="188">
        <v>26</v>
      </c>
      <c r="N20" s="217">
        <v>0</v>
      </c>
      <c r="O20" s="193">
        <f t="shared" si="3"/>
        <v>4</v>
      </c>
      <c r="P20" s="189">
        <v>0</v>
      </c>
      <c r="Q20" s="188">
        <v>4</v>
      </c>
      <c r="R20" s="217">
        <v>0</v>
      </c>
    </row>
    <row r="21" spans="1:18" ht="24.9" customHeight="1">
      <c r="A21" s="529"/>
      <c r="B21" s="530">
        <v>14</v>
      </c>
      <c r="C21" s="317">
        <f t="shared" si="0"/>
        <v>20</v>
      </c>
      <c r="D21" s="189">
        <v>1</v>
      </c>
      <c r="E21" s="188">
        <v>19</v>
      </c>
      <c r="F21" s="188">
        <v>0</v>
      </c>
      <c r="G21" s="317">
        <f t="shared" si="1"/>
        <v>0</v>
      </c>
      <c r="H21" s="189">
        <v>0</v>
      </c>
      <c r="I21" s="194">
        <v>0</v>
      </c>
      <c r="J21" s="217">
        <v>0</v>
      </c>
      <c r="K21" s="193">
        <f t="shared" si="2"/>
        <v>22</v>
      </c>
      <c r="L21" s="189">
        <v>2</v>
      </c>
      <c r="M21" s="188">
        <v>20</v>
      </c>
      <c r="N21" s="217">
        <v>0</v>
      </c>
      <c r="O21" s="193">
        <f t="shared" si="3"/>
        <v>5</v>
      </c>
      <c r="P21" s="189">
        <v>1</v>
      </c>
      <c r="Q21" s="188">
        <v>4</v>
      </c>
      <c r="R21" s="217">
        <v>0</v>
      </c>
    </row>
    <row r="22" spans="1:18" ht="24.9" customHeight="1">
      <c r="A22" s="529"/>
      <c r="B22" s="530">
        <v>15</v>
      </c>
      <c r="C22" s="317">
        <f t="shared" si="0"/>
        <v>37</v>
      </c>
      <c r="D22" s="189">
        <v>0</v>
      </c>
      <c r="E22" s="188">
        <v>37</v>
      </c>
      <c r="F22" s="188">
        <v>0</v>
      </c>
      <c r="G22" s="317">
        <f t="shared" si="1"/>
        <v>1</v>
      </c>
      <c r="H22" s="189">
        <v>0</v>
      </c>
      <c r="I22" s="194">
        <v>1</v>
      </c>
      <c r="J22" s="217">
        <v>0</v>
      </c>
      <c r="K22" s="193">
        <f t="shared" si="2"/>
        <v>40</v>
      </c>
      <c r="L22" s="189">
        <v>0</v>
      </c>
      <c r="M22" s="188">
        <v>40</v>
      </c>
      <c r="N22" s="217">
        <v>0</v>
      </c>
      <c r="O22" s="193">
        <f t="shared" si="3"/>
        <v>8</v>
      </c>
      <c r="P22" s="189">
        <v>0</v>
      </c>
      <c r="Q22" s="188">
        <v>8</v>
      </c>
      <c r="R22" s="217">
        <v>0</v>
      </c>
    </row>
    <row r="23" spans="1:18" ht="24.9" customHeight="1">
      <c r="A23" s="529"/>
      <c r="B23" s="530">
        <v>16</v>
      </c>
      <c r="C23" s="317">
        <f t="shared" si="0"/>
        <v>29</v>
      </c>
      <c r="D23" s="189">
        <v>1</v>
      </c>
      <c r="E23" s="188">
        <v>28</v>
      </c>
      <c r="F23" s="188">
        <v>0</v>
      </c>
      <c r="G23" s="317">
        <f t="shared" si="1"/>
        <v>0</v>
      </c>
      <c r="H23" s="189">
        <v>0</v>
      </c>
      <c r="I23" s="194">
        <v>0</v>
      </c>
      <c r="J23" s="217">
        <v>0</v>
      </c>
      <c r="K23" s="193">
        <f t="shared" si="2"/>
        <v>30</v>
      </c>
      <c r="L23" s="189">
        <v>1</v>
      </c>
      <c r="M23" s="188">
        <v>29</v>
      </c>
      <c r="N23" s="217">
        <v>0</v>
      </c>
      <c r="O23" s="193">
        <f t="shared" si="3"/>
        <v>3</v>
      </c>
      <c r="P23" s="189">
        <v>0</v>
      </c>
      <c r="Q23" s="188">
        <v>3</v>
      </c>
      <c r="R23" s="217">
        <v>0</v>
      </c>
    </row>
    <row r="24" spans="1:18" ht="24.9" customHeight="1">
      <c r="A24" s="529"/>
      <c r="B24" s="530">
        <v>17</v>
      </c>
      <c r="C24" s="317">
        <f t="shared" si="0"/>
        <v>34</v>
      </c>
      <c r="D24" s="189">
        <v>3</v>
      </c>
      <c r="E24" s="188">
        <v>30</v>
      </c>
      <c r="F24" s="188">
        <v>1</v>
      </c>
      <c r="G24" s="317">
        <f t="shared" si="1"/>
        <v>0</v>
      </c>
      <c r="H24" s="189">
        <v>0</v>
      </c>
      <c r="I24" s="194">
        <v>0</v>
      </c>
      <c r="J24" s="217">
        <v>0</v>
      </c>
      <c r="K24" s="193">
        <f t="shared" si="2"/>
        <v>36</v>
      </c>
      <c r="L24" s="189">
        <v>3</v>
      </c>
      <c r="M24" s="188">
        <v>32</v>
      </c>
      <c r="N24" s="217">
        <v>1</v>
      </c>
      <c r="O24" s="193">
        <f t="shared" si="3"/>
        <v>2</v>
      </c>
      <c r="P24" s="189">
        <v>1</v>
      </c>
      <c r="Q24" s="188">
        <v>1</v>
      </c>
      <c r="R24" s="217">
        <v>0</v>
      </c>
    </row>
    <row r="25" spans="1:18" ht="24.9" customHeight="1">
      <c r="A25" s="531"/>
      <c r="B25" s="527">
        <v>18</v>
      </c>
      <c r="C25" s="317">
        <f t="shared" si="0"/>
        <v>47</v>
      </c>
      <c r="D25" s="189">
        <v>6</v>
      </c>
      <c r="E25" s="188">
        <v>41</v>
      </c>
      <c r="F25" s="188">
        <v>0</v>
      </c>
      <c r="G25" s="317">
        <f t="shared" si="1"/>
        <v>0</v>
      </c>
      <c r="H25" s="189">
        <v>0</v>
      </c>
      <c r="I25" s="188">
        <v>0</v>
      </c>
      <c r="J25" s="217">
        <v>0</v>
      </c>
      <c r="K25" s="193">
        <f t="shared" si="2"/>
        <v>53</v>
      </c>
      <c r="L25" s="189">
        <v>6</v>
      </c>
      <c r="M25" s="188">
        <v>47</v>
      </c>
      <c r="N25" s="217">
        <v>0</v>
      </c>
      <c r="O25" s="193">
        <f t="shared" si="3"/>
        <v>5</v>
      </c>
      <c r="P25" s="189">
        <v>0</v>
      </c>
      <c r="Q25" s="188">
        <v>5</v>
      </c>
      <c r="R25" s="217">
        <v>0</v>
      </c>
    </row>
    <row r="26" spans="1:18" ht="24.9" customHeight="1">
      <c r="A26" s="524" t="s">
        <v>631</v>
      </c>
      <c r="B26" s="527">
        <v>19</v>
      </c>
      <c r="C26" s="317">
        <f t="shared" si="0"/>
        <v>19</v>
      </c>
      <c r="D26" s="189">
        <v>3</v>
      </c>
      <c r="E26" s="188">
        <v>16</v>
      </c>
      <c r="F26" s="188">
        <v>0</v>
      </c>
      <c r="G26" s="317">
        <f t="shared" si="1"/>
        <v>0</v>
      </c>
      <c r="H26" s="189">
        <v>0</v>
      </c>
      <c r="I26" s="188">
        <v>0</v>
      </c>
      <c r="J26" s="217">
        <v>0</v>
      </c>
      <c r="K26" s="193">
        <f t="shared" si="2"/>
        <v>20</v>
      </c>
      <c r="L26" s="189">
        <v>3</v>
      </c>
      <c r="M26" s="188">
        <v>17</v>
      </c>
      <c r="N26" s="217">
        <v>0</v>
      </c>
      <c r="O26" s="193">
        <f t="shared" si="3"/>
        <v>2</v>
      </c>
      <c r="P26" s="189">
        <v>0</v>
      </c>
      <c r="Q26" s="188">
        <v>2</v>
      </c>
      <c r="R26" s="217">
        <v>0</v>
      </c>
    </row>
    <row r="27" spans="1:18" ht="24.9" customHeight="1">
      <c r="A27" s="524"/>
      <c r="B27" s="527">
        <v>20</v>
      </c>
      <c r="C27" s="317">
        <f t="shared" si="0"/>
        <v>19</v>
      </c>
      <c r="D27" s="189">
        <v>0</v>
      </c>
      <c r="E27" s="188">
        <v>18</v>
      </c>
      <c r="F27" s="188">
        <v>1</v>
      </c>
      <c r="G27" s="317">
        <f t="shared" si="1"/>
        <v>0</v>
      </c>
      <c r="H27" s="189">
        <v>0</v>
      </c>
      <c r="I27" s="188">
        <v>0</v>
      </c>
      <c r="J27" s="217">
        <v>0</v>
      </c>
      <c r="K27" s="193">
        <f t="shared" si="2"/>
        <v>20</v>
      </c>
      <c r="L27" s="189">
        <v>0</v>
      </c>
      <c r="M27" s="188">
        <v>19</v>
      </c>
      <c r="N27" s="217">
        <v>1</v>
      </c>
      <c r="O27" s="193">
        <f t="shared" si="3"/>
        <v>3</v>
      </c>
      <c r="P27" s="189">
        <v>0</v>
      </c>
      <c r="Q27" s="188">
        <v>3</v>
      </c>
      <c r="R27" s="217">
        <v>0</v>
      </c>
    </row>
    <row r="28" spans="1:18" ht="24.9" customHeight="1">
      <c r="A28" s="524" t="s">
        <v>632</v>
      </c>
      <c r="B28" s="527">
        <v>21</v>
      </c>
      <c r="C28" s="317">
        <f t="shared" si="0"/>
        <v>11</v>
      </c>
      <c r="D28" s="189">
        <v>1</v>
      </c>
      <c r="E28" s="188">
        <v>10</v>
      </c>
      <c r="F28" s="188">
        <v>0</v>
      </c>
      <c r="G28" s="317">
        <f t="shared" si="1"/>
        <v>0</v>
      </c>
      <c r="H28" s="189">
        <v>0</v>
      </c>
      <c r="I28" s="188">
        <v>0</v>
      </c>
      <c r="J28" s="217">
        <v>0</v>
      </c>
      <c r="K28" s="193">
        <f t="shared" si="2"/>
        <v>11</v>
      </c>
      <c r="L28" s="189">
        <v>1</v>
      </c>
      <c r="M28" s="188">
        <v>10</v>
      </c>
      <c r="N28" s="217">
        <v>0</v>
      </c>
      <c r="O28" s="193">
        <f t="shared" si="3"/>
        <v>3</v>
      </c>
      <c r="P28" s="189">
        <v>1</v>
      </c>
      <c r="Q28" s="188">
        <v>2</v>
      </c>
      <c r="R28" s="217">
        <v>0</v>
      </c>
    </row>
    <row r="29" spans="1:18" ht="24.9" customHeight="1">
      <c r="A29" s="524"/>
      <c r="B29" s="527">
        <v>22</v>
      </c>
      <c r="C29" s="317">
        <f t="shared" si="0"/>
        <v>4</v>
      </c>
      <c r="D29" s="189">
        <v>0</v>
      </c>
      <c r="E29" s="188">
        <v>4</v>
      </c>
      <c r="F29" s="188">
        <v>0</v>
      </c>
      <c r="G29" s="317">
        <f t="shared" si="1"/>
        <v>0</v>
      </c>
      <c r="H29" s="189">
        <v>0</v>
      </c>
      <c r="I29" s="188">
        <v>0</v>
      </c>
      <c r="J29" s="217">
        <v>0</v>
      </c>
      <c r="K29" s="193">
        <f t="shared" si="2"/>
        <v>4</v>
      </c>
      <c r="L29" s="189">
        <v>0</v>
      </c>
      <c r="M29" s="188">
        <v>4</v>
      </c>
      <c r="N29" s="217">
        <v>0</v>
      </c>
      <c r="O29" s="193">
        <f t="shared" si="3"/>
        <v>0</v>
      </c>
      <c r="P29" s="189">
        <v>0</v>
      </c>
      <c r="Q29" s="188">
        <v>0</v>
      </c>
      <c r="R29" s="217">
        <v>0</v>
      </c>
    </row>
    <row r="30" spans="1:18" ht="24.9" customHeight="1" thickBot="1">
      <c r="A30" s="524"/>
      <c r="B30" s="532">
        <v>23</v>
      </c>
      <c r="C30" s="196">
        <f t="shared" si="0"/>
        <v>4</v>
      </c>
      <c r="D30" s="214">
        <v>0</v>
      </c>
      <c r="E30" s="220">
        <v>4</v>
      </c>
      <c r="F30" s="220">
        <v>0</v>
      </c>
      <c r="G30" s="196">
        <f t="shared" si="1"/>
        <v>0</v>
      </c>
      <c r="H30" s="214">
        <v>0</v>
      </c>
      <c r="I30" s="220">
        <v>0</v>
      </c>
      <c r="J30" s="221">
        <v>0</v>
      </c>
      <c r="K30" s="197">
        <f t="shared" si="2"/>
        <v>5</v>
      </c>
      <c r="L30" s="214">
        <v>0</v>
      </c>
      <c r="M30" s="220">
        <v>5</v>
      </c>
      <c r="N30" s="221">
        <v>0</v>
      </c>
      <c r="O30" s="197">
        <f t="shared" si="3"/>
        <v>1</v>
      </c>
      <c r="P30" s="214">
        <v>0</v>
      </c>
      <c r="Q30" s="220">
        <v>1</v>
      </c>
      <c r="R30" s="221">
        <v>0</v>
      </c>
    </row>
    <row r="31" spans="1:18" ht="24.9" customHeight="1">
      <c r="A31" s="1513" t="s">
        <v>633</v>
      </c>
      <c r="B31" s="1382"/>
      <c r="C31" s="198">
        <f t="shared" ref="C31:R31" si="4">SUM(C13:C24)</f>
        <v>307</v>
      </c>
      <c r="D31" s="13">
        <f t="shared" si="4"/>
        <v>10</v>
      </c>
      <c r="E31" s="13">
        <f t="shared" si="4"/>
        <v>296</v>
      </c>
      <c r="F31" s="11">
        <f t="shared" si="4"/>
        <v>1</v>
      </c>
      <c r="G31" s="198">
        <f t="shared" si="4"/>
        <v>3</v>
      </c>
      <c r="H31" s="13">
        <f t="shared" si="4"/>
        <v>0</v>
      </c>
      <c r="I31" s="13">
        <f t="shared" si="4"/>
        <v>3</v>
      </c>
      <c r="J31" s="12">
        <f t="shared" si="4"/>
        <v>0</v>
      </c>
      <c r="K31" s="198">
        <f t="shared" si="4"/>
        <v>327</v>
      </c>
      <c r="L31" s="13">
        <f t="shared" si="4"/>
        <v>11</v>
      </c>
      <c r="M31" s="13">
        <f t="shared" si="4"/>
        <v>315</v>
      </c>
      <c r="N31" s="12">
        <f t="shared" si="4"/>
        <v>1</v>
      </c>
      <c r="O31" s="198">
        <f t="shared" si="4"/>
        <v>47</v>
      </c>
      <c r="P31" s="13">
        <f t="shared" si="4"/>
        <v>3</v>
      </c>
      <c r="Q31" s="13">
        <f t="shared" si="4"/>
        <v>44</v>
      </c>
      <c r="R31" s="12">
        <f t="shared" si="4"/>
        <v>0</v>
      </c>
    </row>
    <row r="32" spans="1:18" ht="24.9" customHeight="1">
      <c r="A32" s="1514" t="s">
        <v>634</v>
      </c>
      <c r="B32" s="1669"/>
      <c r="C32" s="36">
        <f t="shared" ref="C32:R32" si="5">C33-C31</f>
        <v>140</v>
      </c>
      <c r="D32" s="23">
        <f t="shared" si="5"/>
        <v>15</v>
      </c>
      <c r="E32" s="23">
        <f t="shared" si="5"/>
        <v>124</v>
      </c>
      <c r="F32" s="21">
        <f t="shared" si="5"/>
        <v>1</v>
      </c>
      <c r="G32" s="36">
        <f t="shared" si="5"/>
        <v>1</v>
      </c>
      <c r="H32" s="23">
        <f t="shared" si="5"/>
        <v>0</v>
      </c>
      <c r="I32" s="23">
        <f t="shared" si="5"/>
        <v>1</v>
      </c>
      <c r="J32" s="22">
        <f t="shared" si="5"/>
        <v>0</v>
      </c>
      <c r="K32" s="36">
        <f t="shared" si="5"/>
        <v>148</v>
      </c>
      <c r="L32" s="23">
        <f t="shared" si="5"/>
        <v>15</v>
      </c>
      <c r="M32" s="23">
        <f t="shared" si="5"/>
        <v>132</v>
      </c>
      <c r="N32" s="22">
        <f t="shared" si="5"/>
        <v>1</v>
      </c>
      <c r="O32" s="36">
        <f t="shared" si="5"/>
        <v>22</v>
      </c>
      <c r="P32" s="23">
        <f t="shared" si="5"/>
        <v>1</v>
      </c>
      <c r="Q32" s="23">
        <f t="shared" si="5"/>
        <v>21</v>
      </c>
      <c r="R32" s="22">
        <f t="shared" si="5"/>
        <v>0</v>
      </c>
    </row>
    <row r="33" spans="1:18" ht="24" customHeight="1" thickBot="1">
      <c r="A33" s="1515" t="s">
        <v>635</v>
      </c>
      <c r="B33" s="1763"/>
      <c r="C33" s="167">
        <f t="shared" ref="C33:R33" si="6">SUM(C7:C30)</f>
        <v>447</v>
      </c>
      <c r="D33" s="39">
        <f t="shared" si="6"/>
        <v>25</v>
      </c>
      <c r="E33" s="39">
        <f t="shared" si="6"/>
        <v>420</v>
      </c>
      <c r="F33" s="40">
        <f t="shared" si="6"/>
        <v>2</v>
      </c>
      <c r="G33" s="167">
        <f t="shared" si="6"/>
        <v>4</v>
      </c>
      <c r="H33" s="39">
        <f t="shared" si="6"/>
        <v>0</v>
      </c>
      <c r="I33" s="39">
        <f t="shared" si="6"/>
        <v>4</v>
      </c>
      <c r="J33" s="168">
        <f t="shared" si="6"/>
        <v>0</v>
      </c>
      <c r="K33" s="167">
        <f t="shared" si="6"/>
        <v>475</v>
      </c>
      <c r="L33" s="39">
        <f t="shared" si="6"/>
        <v>26</v>
      </c>
      <c r="M33" s="39">
        <f t="shared" si="6"/>
        <v>447</v>
      </c>
      <c r="N33" s="168">
        <f t="shared" si="6"/>
        <v>2</v>
      </c>
      <c r="O33" s="167">
        <f t="shared" si="6"/>
        <v>69</v>
      </c>
      <c r="P33" s="39">
        <f t="shared" si="6"/>
        <v>4</v>
      </c>
      <c r="Q33" s="39">
        <f t="shared" si="6"/>
        <v>65</v>
      </c>
      <c r="R33" s="168">
        <f t="shared" si="6"/>
        <v>0</v>
      </c>
    </row>
    <row r="34" spans="1:18" ht="6" customHeight="1"/>
    <row r="35" spans="1:18" s="1889" customFormat="1" ht="15.75" customHeight="1">
      <c r="A35" s="1889" t="s">
        <v>960</v>
      </c>
    </row>
    <row r="36" spans="1:18" s="1889" customFormat="1" ht="15.75" customHeight="1">
      <c r="A36" s="1897" t="s">
        <v>916</v>
      </c>
    </row>
  </sheetData>
  <mergeCells count="11">
    <mergeCell ref="O3:Q3"/>
    <mergeCell ref="O4:Q4"/>
    <mergeCell ref="A31:B31"/>
    <mergeCell ref="A32:B32"/>
    <mergeCell ref="A33:B33"/>
    <mergeCell ref="C3:E4"/>
    <mergeCell ref="F3:F4"/>
    <mergeCell ref="G3:I4"/>
    <mergeCell ref="J3:J4"/>
    <mergeCell ref="K3:M4"/>
    <mergeCell ref="N3:N4"/>
  </mergeCells>
  <phoneticPr fontId="4"/>
  <printOptions horizontalCentered="1"/>
  <pageMargins left="0.78740157480314965" right="0.39370078740157483" top="0.98425196850393704" bottom="0.98425196850393704" header="0.31496062992125984" footer="0.51181102362204722"/>
  <pageSetup paperSize="9" scale="68" orientation="portrait" r:id="rId1"/>
  <headerFooter scaleWithDoc="0" alignWithMargins="0">
    <oddFooter>&amp;C- &amp;P -</oddFooter>
  </headerFooter>
  <ignoredErrors>
    <ignoredError sqref="D31:R31" formulaRange="1"/>
  </ignoredErrors>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A78345-1841-4216-AF85-B28FFD8EAFE4}">
  <sheetPr>
    <pageSetUpPr fitToPage="1"/>
  </sheetPr>
  <dimension ref="A1:V74"/>
  <sheetViews>
    <sheetView view="pageBreakPreview" topLeftCell="A40" zoomScaleNormal="100" zoomScaleSheetLayoutView="100" workbookViewId="0">
      <selection activeCell="L76" sqref="L76"/>
    </sheetView>
  </sheetViews>
  <sheetFormatPr defaultColWidth="9" defaultRowHeight="13.8"/>
  <cols>
    <col min="1" max="1" width="3.33203125" style="497" customWidth="1"/>
    <col min="2" max="2" width="17.33203125" style="497" customWidth="1"/>
    <col min="3" max="15" width="6.6640625" style="497" customWidth="1"/>
    <col min="16" max="16" width="6" style="497" customWidth="1"/>
    <col min="17" max="17" width="6.21875" style="497" customWidth="1"/>
    <col min="18" max="18" width="5.77734375" style="497" customWidth="1"/>
    <col min="19" max="19" width="6.109375" style="497" customWidth="1"/>
    <col min="20" max="16384" width="9" style="497"/>
  </cols>
  <sheetData>
    <row r="1" spans="1:20" ht="15">
      <c r="A1" s="650" t="s">
        <v>484</v>
      </c>
      <c r="B1" s="650"/>
      <c r="C1" s="779"/>
      <c r="D1" s="779"/>
      <c r="E1" s="779"/>
      <c r="F1" s="779"/>
      <c r="G1" s="779"/>
      <c r="H1" s="779"/>
      <c r="I1" s="779"/>
      <c r="J1" s="779"/>
      <c r="K1" s="779"/>
      <c r="L1" s="779"/>
      <c r="M1" s="779"/>
      <c r="N1" s="779"/>
      <c r="O1" s="779"/>
    </row>
    <row r="2" spans="1:20" ht="9.75" customHeight="1" thickBot="1">
      <c r="A2" s="614"/>
      <c r="B2" s="614"/>
      <c r="C2" s="779"/>
      <c r="D2" s="779"/>
      <c r="E2" s="779"/>
      <c r="F2" s="779"/>
      <c r="G2" s="779"/>
      <c r="H2" s="779"/>
      <c r="I2" s="779"/>
      <c r="J2" s="779"/>
      <c r="K2" s="779"/>
      <c r="L2" s="779"/>
      <c r="M2" s="779"/>
      <c r="N2" s="779"/>
      <c r="O2" s="779"/>
    </row>
    <row r="3" spans="1:20" ht="11.25" customHeight="1">
      <c r="A3" s="615"/>
      <c r="B3" s="616" t="s">
        <v>485</v>
      </c>
      <c r="C3" s="1863" t="s">
        <v>365</v>
      </c>
      <c r="D3" s="1863" t="s">
        <v>366</v>
      </c>
      <c r="E3" s="1863" t="s">
        <v>367</v>
      </c>
      <c r="F3" s="1863" t="s">
        <v>368</v>
      </c>
      <c r="G3" s="1863" t="s">
        <v>369</v>
      </c>
      <c r="H3" s="1863" t="s">
        <v>370</v>
      </c>
      <c r="I3" s="1863" t="s">
        <v>486</v>
      </c>
      <c r="J3" s="1863" t="s">
        <v>487</v>
      </c>
      <c r="K3" s="1861" t="s">
        <v>488</v>
      </c>
      <c r="L3" s="1831" t="s">
        <v>489</v>
      </c>
      <c r="M3" s="1831" t="s">
        <v>495</v>
      </c>
      <c r="N3" s="1865" t="s">
        <v>548</v>
      </c>
      <c r="O3" s="1867" t="s">
        <v>858</v>
      </c>
    </row>
    <row r="4" spans="1:20" ht="15.75" customHeight="1" thickBot="1">
      <c r="A4" s="617" t="s">
        <v>619</v>
      </c>
      <c r="B4" s="618"/>
      <c r="C4" s="1619"/>
      <c r="D4" s="1619"/>
      <c r="E4" s="1619"/>
      <c r="F4" s="1619"/>
      <c r="G4" s="1619"/>
      <c r="H4" s="1619"/>
      <c r="I4" s="1619"/>
      <c r="J4" s="1864"/>
      <c r="K4" s="1862"/>
      <c r="L4" s="1832"/>
      <c r="M4" s="1832"/>
      <c r="N4" s="1866"/>
      <c r="O4" s="1868"/>
    </row>
    <row r="5" spans="1:20">
      <c r="A5" s="1474" t="s">
        <v>800</v>
      </c>
      <c r="B5" s="1280"/>
      <c r="C5" s="972">
        <v>58</v>
      </c>
      <c r="D5" s="972">
        <v>64</v>
      </c>
      <c r="E5" s="972">
        <v>56</v>
      </c>
      <c r="F5" s="972">
        <v>56</v>
      </c>
      <c r="G5" s="972">
        <v>70</v>
      </c>
      <c r="H5" s="973">
        <v>45</v>
      </c>
      <c r="I5" s="973">
        <v>40</v>
      </c>
      <c r="J5" s="974">
        <v>45</v>
      </c>
      <c r="K5" s="975">
        <v>44</v>
      </c>
      <c r="L5" s="975">
        <v>38</v>
      </c>
      <c r="M5" s="975">
        <v>38</v>
      </c>
      <c r="N5" s="973">
        <v>45</v>
      </c>
      <c r="O5" s="1211">
        <v>49</v>
      </c>
    </row>
    <row r="6" spans="1:20" ht="13.5" customHeight="1">
      <c r="A6" s="1489" t="s">
        <v>738</v>
      </c>
      <c r="B6" s="1297"/>
      <c r="C6" s="947">
        <v>1</v>
      </c>
      <c r="D6" s="947">
        <v>0</v>
      </c>
      <c r="E6" s="947">
        <v>6</v>
      </c>
      <c r="F6" s="947">
        <v>1</v>
      </c>
      <c r="G6" s="947">
        <v>2</v>
      </c>
      <c r="H6" s="976">
        <v>0</v>
      </c>
      <c r="I6" s="976">
        <v>1</v>
      </c>
      <c r="J6" s="977">
        <v>3</v>
      </c>
      <c r="K6" s="978">
        <v>1</v>
      </c>
      <c r="L6" s="978">
        <v>3</v>
      </c>
      <c r="M6" s="978">
        <v>3</v>
      </c>
      <c r="N6" s="976">
        <v>4</v>
      </c>
      <c r="O6" s="1146">
        <v>2</v>
      </c>
    </row>
    <row r="7" spans="1:20">
      <c r="A7" s="1618" t="s">
        <v>739</v>
      </c>
      <c r="B7" s="1297"/>
      <c r="C7" s="971">
        <v>77</v>
      </c>
      <c r="D7" s="971">
        <v>104</v>
      </c>
      <c r="E7" s="971">
        <v>71</v>
      </c>
      <c r="F7" s="971">
        <v>72</v>
      </c>
      <c r="G7" s="971">
        <v>104</v>
      </c>
      <c r="H7" s="979">
        <v>56</v>
      </c>
      <c r="I7" s="979">
        <v>53</v>
      </c>
      <c r="J7" s="980">
        <v>55</v>
      </c>
      <c r="K7" s="981">
        <v>55</v>
      </c>
      <c r="L7" s="978">
        <v>54</v>
      </c>
      <c r="M7" s="978">
        <v>54</v>
      </c>
      <c r="N7" s="976">
        <v>55</v>
      </c>
      <c r="O7" s="1146">
        <v>65</v>
      </c>
    </row>
    <row r="8" spans="1:20">
      <c r="A8" s="625"/>
      <c r="B8" s="626" t="s">
        <v>775</v>
      </c>
      <c r="C8" s="982" t="s">
        <v>404</v>
      </c>
      <c r="D8" s="982" t="s">
        <v>404</v>
      </c>
      <c r="E8" s="982" t="s">
        <v>404</v>
      </c>
      <c r="F8" s="982" t="s">
        <v>404</v>
      </c>
      <c r="G8" s="982" t="s">
        <v>404</v>
      </c>
      <c r="H8" s="979">
        <v>5</v>
      </c>
      <c r="I8" s="979">
        <v>6</v>
      </c>
      <c r="J8" s="980">
        <v>11</v>
      </c>
      <c r="K8" s="981">
        <v>8</v>
      </c>
      <c r="L8" s="978">
        <v>8</v>
      </c>
      <c r="M8" s="978">
        <v>8</v>
      </c>
      <c r="N8" s="976">
        <v>10</v>
      </c>
      <c r="O8" s="1146">
        <v>10</v>
      </c>
    </row>
    <row r="9" spans="1:20">
      <c r="A9" s="1489" t="s">
        <v>859</v>
      </c>
      <c r="B9" s="1297"/>
      <c r="C9" s="954">
        <v>49</v>
      </c>
      <c r="D9" s="954">
        <v>51</v>
      </c>
      <c r="E9" s="954">
        <v>51</v>
      </c>
      <c r="F9" s="954">
        <v>49</v>
      </c>
      <c r="G9" s="954">
        <v>44</v>
      </c>
      <c r="H9" s="979">
        <v>44</v>
      </c>
      <c r="I9" s="979">
        <v>34</v>
      </c>
      <c r="J9" s="980">
        <v>37</v>
      </c>
      <c r="K9" s="981">
        <v>43</v>
      </c>
      <c r="L9" s="978">
        <v>40</v>
      </c>
      <c r="M9" s="978">
        <v>40</v>
      </c>
      <c r="N9" s="976">
        <v>43</v>
      </c>
      <c r="O9" s="1146">
        <v>43</v>
      </c>
    </row>
    <row r="10" spans="1:20" ht="14.4" thickBot="1">
      <c r="A10" s="1611" t="s">
        <v>743</v>
      </c>
      <c r="B10" s="1656"/>
      <c r="C10" s="627">
        <f t="shared" ref="C10:M10" si="0">C6/C9*100</f>
        <v>2.0408163265306123</v>
      </c>
      <c r="D10" s="627">
        <f t="shared" si="0"/>
        <v>0</v>
      </c>
      <c r="E10" s="627">
        <f t="shared" si="0"/>
        <v>11.76470588235294</v>
      </c>
      <c r="F10" s="627">
        <f t="shared" si="0"/>
        <v>2.0408163265306123</v>
      </c>
      <c r="G10" s="628">
        <f t="shared" si="0"/>
        <v>4.5454545454545459</v>
      </c>
      <c r="H10" s="628">
        <f t="shared" si="0"/>
        <v>0</v>
      </c>
      <c r="I10" s="628">
        <f t="shared" si="0"/>
        <v>2.9411764705882351</v>
      </c>
      <c r="J10" s="629">
        <f t="shared" si="0"/>
        <v>8.1081081081081088</v>
      </c>
      <c r="K10" s="630">
        <f t="shared" si="0"/>
        <v>2.3255813953488373</v>
      </c>
      <c r="L10" s="631">
        <f t="shared" si="0"/>
        <v>7.5</v>
      </c>
      <c r="M10" s="631">
        <f t="shared" si="0"/>
        <v>7.5</v>
      </c>
      <c r="N10" s="1005">
        <f>N6/N9*100</f>
        <v>9.3023255813953494</v>
      </c>
      <c r="O10" s="632">
        <f>O6/O9*100</f>
        <v>4.6511627906976747</v>
      </c>
    </row>
    <row r="11" spans="1:20" s="1890" customFormat="1" ht="13.8" customHeight="1">
      <c r="A11" s="1943" t="s">
        <v>962</v>
      </c>
      <c r="B11" s="1943"/>
      <c r="C11" s="1943"/>
      <c r="D11" s="1943"/>
      <c r="E11" s="1943"/>
      <c r="F11" s="1943"/>
      <c r="G11" s="1943"/>
      <c r="H11" s="1943"/>
      <c r="I11" s="1943"/>
      <c r="J11" s="1943"/>
      <c r="K11" s="1943"/>
      <c r="L11" s="1943"/>
      <c r="M11" s="1943"/>
      <c r="N11" s="1943"/>
      <c r="O11" s="1943"/>
      <c r="Q11" s="1889"/>
      <c r="T11" s="1889"/>
    </row>
    <row r="12" spans="1:20" s="1890" customFormat="1" ht="16.2">
      <c r="A12" s="1941" t="s">
        <v>963</v>
      </c>
      <c r="B12" s="1941"/>
      <c r="C12" s="1941"/>
      <c r="D12" s="1941"/>
      <c r="E12" s="1941"/>
      <c r="F12" s="1941"/>
      <c r="G12" s="1941"/>
      <c r="H12" s="1941"/>
      <c r="I12" s="1941"/>
      <c r="J12" s="1941"/>
      <c r="K12" s="1941"/>
      <c r="L12" s="1941"/>
      <c r="M12" s="1941"/>
      <c r="N12" s="1941"/>
      <c r="O12" s="1941"/>
    </row>
    <row r="13" spans="1:20" s="1890" customFormat="1" ht="16.2">
      <c r="A13" s="1942" t="s">
        <v>961</v>
      </c>
      <c r="B13" s="1942"/>
      <c r="C13" s="1942"/>
      <c r="D13" s="1942"/>
      <c r="E13" s="1942"/>
      <c r="F13" s="1942"/>
      <c r="G13" s="1942"/>
      <c r="H13" s="1942"/>
      <c r="I13" s="1942"/>
      <c r="J13" s="1942"/>
      <c r="K13" s="1942"/>
      <c r="L13" s="1942"/>
      <c r="M13" s="1942"/>
      <c r="N13" s="1942"/>
      <c r="O13" s="1942"/>
    </row>
    <row r="14" spans="1:20" s="1890" customFormat="1" ht="16.2">
      <c r="A14" s="1891" t="s">
        <v>918</v>
      </c>
      <c r="Q14" s="1923"/>
      <c r="R14" s="1923"/>
      <c r="S14" s="1923"/>
    </row>
    <row r="16" spans="1:20" ht="14.4" thickBot="1">
      <c r="A16" s="497" t="s">
        <v>860</v>
      </c>
    </row>
    <row r="17" spans="1:22" ht="13.5" customHeight="1">
      <c r="A17" s="633"/>
      <c r="B17" s="872" t="s">
        <v>490</v>
      </c>
      <c r="C17" s="1266">
        <v>1</v>
      </c>
      <c r="D17" s="1387">
        <v>2</v>
      </c>
      <c r="E17" s="1387">
        <v>3</v>
      </c>
      <c r="F17" s="1387">
        <v>4</v>
      </c>
      <c r="G17" s="1387">
        <v>5</v>
      </c>
      <c r="H17" s="1387">
        <v>6</v>
      </c>
      <c r="I17" s="1387">
        <v>7</v>
      </c>
      <c r="J17" s="1387">
        <v>8</v>
      </c>
      <c r="K17" s="1387">
        <v>9</v>
      </c>
      <c r="L17" s="1387">
        <v>10</v>
      </c>
      <c r="M17" s="1387">
        <v>11</v>
      </c>
      <c r="N17" s="1387">
        <v>12</v>
      </c>
      <c r="O17" s="1389" t="s">
        <v>635</v>
      </c>
      <c r="R17" s="1858"/>
      <c r="S17" s="1858"/>
      <c r="T17" s="1858"/>
      <c r="U17" s="1858"/>
      <c r="V17" s="1858"/>
    </row>
    <row r="18" spans="1:22" ht="14.25" customHeight="1" thickBot="1">
      <c r="A18" s="553" t="s">
        <v>619</v>
      </c>
      <c r="B18" s="554"/>
      <c r="C18" s="1268"/>
      <c r="D18" s="1388"/>
      <c r="E18" s="1388"/>
      <c r="F18" s="1388"/>
      <c r="G18" s="1388"/>
      <c r="H18" s="1388"/>
      <c r="I18" s="1388"/>
      <c r="J18" s="1388"/>
      <c r="K18" s="1388"/>
      <c r="L18" s="1388"/>
      <c r="M18" s="1388"/>
      <c r="N18" s="1388"/>
      <c r="O18" s="1304"/>
      <c r="R18" s="1858"/>
      <c r="S18" s="1858"/>
      <c r="T18" s="1858"/>
      <c r="U18" s="1858"/>
      <c r="V18" s="1858"/>
    </row>
    <row r="19" spans="1:22">
      <c r="A19" s="1859" t="s">
        <v>833</v>
      </c>
      <c r="B19" s="1350"/>
      <c r="C19" s="896">
        <v>1</v>
      </c>
      <c r="D19" s="1151">
        <v>7</v>
      </c>
      <c r="E19" s="1151">
        <v>3</v>
      </c>
      <c r="F19" s="1151">
        <v>4</v>
      </c>
      <c r="G19" s="1151">
        <v>8</v>
      </c>
      <c r="H19" s="1151">
        <v>3</v>
      </c>
      <c r="I19" s="1151">
        <v>3</v>
      </c>
      <c r="J19" s="1151">
        <v>7</v>
      </c>
      <c r="K19" s="1151">
        <v>3</v>
      </c>
      <c r="L19" s="1151">
        <v>3</v>
      </c>
      <c r="M19" s="1151">
        <v>1</v>
      </c>
      <c r="N19" s="1151">
        <v>6</v>
      </c>
      <c r="O19" s="634">
        <f>SUM(C19:N19)</f>
        <v>49</v>
      </c>
      <c r="Q19" s="500"/>
      <c r="R19" s="500"/>
      <c r="S19" s="500"/>
    </row>
    <row r="20" spans="1:22">
      <c r="A20" s="1860" t="s">
        <v>856</v>
      </c>
      <c r="B20" s="1336"/>
      <c r="C20" s="898">
        <v>0</v>
      </c>
      <c r="D20" s="880">
        <v>1</v>
      </c>
      <c r="E20" s="880">
        <v>0</v>
      </c>
      <c r="F20" s="880">
        <v>0</v>
      </c>
      <c r="G20" s="880">
        <v>0</v>
      </c>
      <c r="H20" s="880">
        <v>0</v>
      </c>
      <c r="I20" s="880">
        <v>0</v>
      </c>
      <c r="J20" s="880">
        <v>0</v>
      </c>
      <c r="K20" s="880">
        <v>0</v>
      </c>
      <c r="L20" s="880">
        <v>0</v>
      </c>
      <c r="M20" s="880">
        <v>0</v>
      </c>
      <c r="N20" s="880">
        <v>1</v>
      </c>
      <c r="O20" s="526">
        <f>SUM(C20:N20)</f>
        <v>2</v>
      </c>
      <c r="Q20" s="500"/>
      <c r="R20" s="500"/>
      <c r="S20" s="500"/>
    </row>
    <row r="21" spans="1:22">
      <c r="A21" s="1852" t="s">
        <v>739</v>
      </c>
      <c r="B21" s="1336"/>
      <c r="C21" s="910">
        <v>1</v>
      </c>
      <c r="D21" s="1152">
        <v>14</v>
      </c>
      <c r="E21" s="1152">
        <v>4</v>
      </c>
      <c r="F21" s="1152">
        <v>6</v>
      </c>
      <c r="G21" s="1152">
        <v>9</v>
      </c>
      <c r="H21" s="1152">
        <v>3</v>
      </c>
      <c r="I21" s="1152">
        <v>3</v>
      </c>
      <c r="J21" s="1152">
        <v>7</v>
      </c>
      <c r="K21" s="1152">
        <v>3</v>
      </c>
      <c r="L21" s="1152">
        <v>4</v>
      </c>
      <c r="M21" s="1152">
        <v>5</v>
      </c>
      <c r="N21" s="1152">
        <v>6</v>
      </c>
      <c r="O21" s="635">
        <f>SUM(C21:N21)</f>
        <v>65</v>
      </c>
      <c r="Q21" s="500"/>
      <c r="R21" s="500"/>
      <c r="S21" s="500"/>
    </row>
    <row r="22" spans="1:22" ht="14.4" thickBot="1">
      <c r="A22" s="671"/>
      <c r="B22" s="636" t="s">
        <v>775</v>
      </c>
      <c r="C22" s="900">
        <v>0</v>
      </c>
      <c r="D22" s="1153">
        <v>1</v>
      </c>
      <c r="E22" s="1153">
        <v>1</v>
      </c>
      <c r="F22" s="1153">
        <v>1</v>
      </c>
      <c r="G22" s="1153">
        <v>0</v>
      </c>
      <c r="H22" s="1153">
        <v>2</v>
      </c>
      <c r="I22" s="1153">
        <v>1</v>
      </c>
      <c r="J22" s="1153">
        <v>0</v>
      </c>
      <c r="K22" s="1153">
        <v>0</v>
      </c>
      <c r="L22" s="1153">
        <v>2</v>
      </c>
      <c r="M22" s="1153">
        <v>0</v>
      </c>
      <c r="N22" s="1153">
        <v>2</v>
      </c>
      <c r="O22" s="637">
        <f>SUM(C22:N22)</f>
        <v>10</v>
      </c>
      <c r="Q22" s="500"/>
      <c r="R22" s="500"/>
      <c r="S22" s="500"/>
    </row>
    <row r="23" spans="1:22" s="1889" customFormat="1" ht="18">
      <c r="A23" s="1891" t="s">
        <v>914</v>
      </c>
      <c r="Q23" s="1884"/>
      <c r="R23" s="1884"/>
      <c r="S23" s="1884"/>
    </row>
    <row r="24" spans="1:22">
      <c r="Q24" s="500"/>
      <c r="R24" s="500"/>
      <c r="S24" s="500"/>
    </row>
    <row r="25" spans="1:22" ht="14.4" thickBot="1">
      <c r="A25" s="497" t="s">
        <v>861</v>
      </c>
      <c r="Q25" s="500"/>
      <c r="R25" s="500"/>
      <c r="S25" s="500"/>
    </row>
    <row r="26" spans="1:22" ht="7.5" customHeight="1" thickBot="1">
      <c r="A26" s="543"/>
      <c r="B26" s="649"/>
      <c r="C26" s="1853" t="s">
        <v>491</v>
      </c>
      <c r="D26" s="543"/>
      <c r="E26" s="649"/>
      <c r="F26" s="543"/>
      <c r="G26" s="638"/>
      <c r="H26" s="649"/>
      <c r="I26" s="649"/>
      <c r="J26" s="809"/>
      <c r="K26" s="810"/>
      <c r="Q26" s="500"/>
      <c r="R26" s="500"/>
      <c r="S26" s="500"/>
    </row>
    <row r="27" spans="1:22">
      <c r="A27" s="639"/>
      <c r="C27" s="1854"/>
      <c r="D27" s="1855" t="s">
        <v>862</v>
      </c>
      <c r="E27" s="1856"/>
      <c r="F27" s="1855" t="s">
        <v>776</v>
      </c>
      <c r="G27" s="1857"/>
      <c r="H27" s="1856" t="s">
        <v>649</v>
      </c>
      <c r="I27" s="1857"/>
      <c r="J27" s="1856" t="s">
        <v>863</v>
      </c>
      <c r="K27" s="1857"/>
      <c r="Q27" s="500"/>
      <c r="R27" s="500"/>
      <c r="S27" s="500"/>
    </row>
    <row r="28" spans="1:22" ht="14.25" customHeight="1" thickBot="1">
      <c r="A28" s="640" t="s">
        <v>492</v>
      </c>
      <c r="B28" s="849"/>
      <c r="C28" s="651"/>
      <c r="D28" s="499"/>
      <c r="E28" s="641" t="s">
        <v>641</v>
      </c>
      <c r="F28" s="499"/>
      <c r="G28" s="642" t="s">
        <v>644</v>
      </c>
      <c r="H28" s="651"/>
      <c r="I28" s="642" t="s">
        <v>644</v>
      </c>
      <c r="J28" s="651"/>
      <c r="K28" s="642" t="s">
        <v>644</v>
      </c>
      <c r="Q28" s="500"/>
      <c r="R28" s="500"/>
      <c r="S28" s="500"/>
    </row>
    <row r="29" spans="1:22" ht="13.5" customHeight="1">
      <c r="A29" s="1524" t="s">
        <v>493</v>
      </c>
      <c r="B29" s="1847"/>
      <c r="C29" s="643">
        <v>0</v>
      </c>
      <c r="D29" s="1850">
        <v>7</v>
      </c>
      <c r="E29" s="1851"/>
      <c r="F29" s="1850">
        <v>1</v>
      </c>
      <c r="G29" s="1851"/>
      <c r="H29" s="1850">
        <v>6</v>
      </c>
      <c r="I29" s="1851"/>
      <c r="J29" s="1850">
        <v>0</v>
      </c>
      <c r="K29" s="1851"/>
      <c r="Q29" s="500"/>
    </row>
    <row r="30" spans="1:22" ht="13.5" customHeight="1">
      <c r="A30" s="1843"/>
      <c r="B30" s="1844"/>
      <c r="C30" s="918">
        <v>1</v>
      </c>
      <c r="D30" s="1837">
        <v>0</v>
      </c>
      <c r="E30" s="1838"/>
      <c r="F30" s="1837">
        <v>0</v>
      </c>
      <c r="G30" s="1838"/>
      <c r="H30" s="1837">
        <v>0</v>
      </c>
      <c r="I30" s="1838"/>
      <c r="J30" s="1837">
        <v>0</v>
      </c>
      <c r="K30" s="1838"/>
      <c r="Q30" s="500"/>
    </row>
    <row r="31" spans="1:22" ht="13.5" customHeight="1">
      <c r="A31" s="1843"/>
      <c r="B31" s="1844"/>
      <c r="C31" s="918">
        <v>2</v>
      </c>
      <c r="D31" s="1837">
        <v>3</v>
      </c>
      <c r="E31" s="1838"/>
      <c r="F31" s="1837">
        <v>0</v>
      </c>
      <c r="G31" s="1838"/>
      <c r="H31" s="1837">
        <v>5</v>
      </c>
      <c r="I31" s="1838"/>
      <c r="J31" s="1837">
        <v>0</v>
      </c>
      <c r="K31" s="1838"/>
      <c r="Q31" s="500"/>
    </row>
    <row r="32" spans="1:22" ht="13.5" customHeight="1">
      <c r="A32" s="1843"/>
      <c r="B32" s="1844"/>
      <c r="C32" s="918">
        <v>3</v>
      </c>
      <c r="D32" s="1837">
        <v>3</v>
      </c>
      <c r="E32" s="1838"/>
      <c r="F32" s="1837">
        <v>0</v>
      </c>
      <c r="G32" s="1838"/>
      <c r="H32" s="1837">
        <v>4</v>
      </c>
      <c r="I32" s="1838"/>
      <c r="J32" s="1837">
        <v>1</v>
      </c>
      <c r="K32" s="1838"/>
      <c r="Q32" s="500"/>
    </row>
    <row r="33" spans="1:17" ht="13.5" customHeight="1">
      <c r="A33" s="1843"/>
      <c r="B33" s="1844"/>
      <c r="C33" s="918">
        <v>4</v>
      </c>
      <c r="D33" s="1837">
        <v>5</v>
      </c>
      <c r="E33" s="1838"/>
      <c r="F33" s="1837">
        <v>0</v>
      </c>
      <c r="G33" s="1838"/>
      <c r="H33" s="1837">
        <v>7</v>
      </c>
      <c r="I33" s="1838"/>
      <c r="J33" s="1837">
        <v>2</v>
      </c>
      <c r="K33" s="1838"/>
      <c r="Q33" s="500"/>
    </row>
    <row r="34" spans="1:17" ht="13.5" customHeight="1">
      <c r="A34" s="1848"/>
      <c r="B34" s="1849"/>
      <c r="C34" s="918">
        <v>5</v>
      </c>
      <c r="D34" s="1837">
        <v>2</v>
      </c>
      <c r="E34" s="1838"/>
      <c r="F34" s="1837">
        <v>1</v>
      </c>
      <c r="G34" s="1838"/>
      <c r="H34" s="1837">
        <v>1</v>
      </c>
      <c r="I34" s="1838"/>
      <c r="J34" s="1837">
        <v>1</v>
      </c>
      <c r="K34" s="1838"/>
      <c r="Q34" s="500"/>
    </row>
    <row r="35" spans="1:17" ht="13.5" customHeight="1">
      <c r="A35" s="921"/>
      <c r="B35" s="644"/>
      <c r="C35" s="644">
        <v>6</v>
      </c>
      <c r="D35" s="1837">
        <v>7</v>
      </c>
      <c r="E35" s="1838"/>
      <c r="F35" s="1837">
        <v>0</v>
      </c>
      <c r="G35" s="1838"/>
      <c r="H35" s="1837">
        <v>9</v>
      </c>
      <c r="I35" s="1838"/>
      <c r="J35" s="1837">
        <v>2</v>
      </c>
      <c r="K35" s="1838"/>
      <c r="Q35" s="500"/>
    </row>
    <row r="36" spans="1:17" ht="13.5" customHeight="1">
      <c r="A36" s="921"/>
      <c r="B36" s="644"/>
      <c r="C36" s="644">
        <v>7</v>
      </c>
      <c r="D36" s="1837">
        <v>2</v>
      </c>
      <c r="E36" s="1838"/>
      <c r="F36" s="1837">
        <v>0</v>
      </c>
      <c r="G36" s="1838"/>
      <c r="H36" s="1837">
        <v>3</v>
      </c>
      <c r="I36" s="1838"/>
      <c r="J36" s="1837">
        <v>0</v>
      </c>
      <c r="K36" s="1838"/>
      <c r="Q36" s="500"/>
    </row>
    <row r="37" spans="1:17" ht="13.5" customHeight="1">
      <c r="A37" s="921"/>
      <c r="B37" s="644"/>
      <c r="C37" s="644">
        <v>8</v>
      </c>
      <c r="D37" s="1837">
        <v>4</v>
      </c>
      <c r="E37" s="1838"/>
      <c r="F37" s="1837">
        <v>0</v>
      </c>
      <c r="G37" s="1838"/>
      <c r="H37" s="1837">
        <v>6</v>
      </c>
      <c r="I37" s="1838"/>
      <c r="J37" s="1837">
        <v>0</v>
      </c>
      <c r="K37" s="1838"/>
      <c r="Q37" s="500"/>
    </row>
    <row r="38" spans="1:17" ht="13.5" customHeight="1">
      <c r="A38" s="921"/>
      <c r="B38" s="644"/>
      <c r="C38" s="644">
        <v>9</v>
      </c>
      <c r="D38" s="1837">
        <v>0</v>
      </c>
      <c r="E38" s="1838"/>
      <c r="F38" s="1837">
        <v>0</v>
      </c>
      <c r="G38" s="1838"/>
      <c r="H38" s="1837">
        <v>0</v>
      </c>
      <c r="I38" s="1838"/>
      <c r="J38" s="1837">
        <v>0</v>
      </c>
      <c r="K38" s="1838"/>
      <c r="Q38" s="500"/>
    </row>
    <row r="39" spans="1:17" ht="13.5" customHeight="1">
      <c r="A39" s="921"/>
      <c r="B39" s="644"/>
      <c r="C39" s="644">
        <v>10</v>
      </c>
      <c r="D39" s="1837">
        <v>0</v>
      </c>
      <c r="E39" s="1838"/>
      <c r="F39" s="1837">
        <v>0</v>
      </c>
      <c r="G39" s="1838"/>
      <c r="H39" s="1837">
        <v>0</v>
      </c>
      <c r="I39" s="1838"/>
      <c r="J39" s="1837">
        <v>0</v>
      </c>
      <c r="K39" s="1838"/>
      <c r="Q39" s="500"/>
    </row>
    <row r="40" spans="1:17" ht="13.5" customHeight="1">
      <c r="A40" s="921"/>
      <c r="B40" s="644"/>
      <c r="C40" s="644">
        <v>11</v>
      </c>
      <c r="D40" s="1837">
        <v>0</v>
      </c>
      <c r="E40" s="1838"/>
      <c r="F40" s="1837">
        <v>0</v>
      </c>
      <c r="G40" s="1838"/>
      <c r="H40" s="1837">
        <v>0</v>
      </c>
      <c r="I40" s="1838"/>
      <c r="J40" s="1837">
        <v>0</v>
      </c>
      <c r="K40" s="1838"/>
      <c r="Q40" s="500"/>
    </row>
    <row r="41" spans="1:17" ht="13.5" customHeight="1">
      <c r="A41" s="921"/>
      <c r="B41" s="644"/>
      <c r="C41" s="644">
        <v>12</v>
      </c>
      <c r="D41" s="1837">
        <v>1</v>
      </c>
      <c r="E41" s="1838"/>
      <c r="F41" s="1837">
        <v>0</v>
      </c>
      <c r="G41" s="1838"/>
      <c r="H41" s="1837">
        <v>5</v>
      </c>
      <c r="I41" s="1838"/>
      <c r="J41" s="1837">
        <v>0</v>
      </c>
      <c r="K41" s="1838"/>
      <c r="Q41" s="500"/>
    </row>
    <row r="42" spans="1:17" ht="13.5" customHeight="1">
      <c r="A42" s="921"/>
      <c r="B42" s="644"/>
      <c r="C42" s="644">
        <v>13</v>
      </c>
      <c r="D42" s="1837">
        <v>0</v>
      </c>
      <c r="E42" s="1838"/>
      <c r="F42" s="1837">
        <v>0</v>
      </c>
      <c r="G42" s="1838"/>
      <c r="H42" s="1837">
        <v>0</v>
      </c>
      <c r="I42" s="1838"/>
      <c r="J42" s="1837">
        <v>0</v>
      </c>
      <c r="K42" s="1838"/>
      <c r="Q42" s="500"/>
    </row>
    <row r="43" spans="1:17" ht="13.5" customHeight="1">
      <c r="A43" s="921"/>
      <c r="B43" s="644"/>
      <c r="C43" s="644">
        <v>14</v>
      </c>
      <c r="D43" s="1837">
        <v>1</v>
      </c>
      <c r="E43" s="1838"/>
      <c r="F43" s="1837">
        <v>0</v>
      </c>
      <c r="G43" s="1838"/>
      <c r="H43" s="1837">
        <v>2</v>
      </c>
      <c r="I43" s="1838"/>
      <c r="J43" s="1837">
        <v>1</v>
      </c>
      <c r="K43" s="1838"/>
      <c r="Q43" s="500"/>
    </row>
    <row r="44" spans="1:17" ht="13.5" customHeight="1">
      <c r="A44" s="921"/>
      <c r="B44" s="644"/>
      <c r="C44" s="644">
        <v>15</v>
      </c>
      <c r="D44" s="1837">
        <v>1</v>
      </c>
      <c r="E44" s="1838"/>
      <c r="F44" s="1837">
        <v>0</v>
      </c>
      <c r="G44" s="1838"/>
      <c r="H44" s="1837">
        <v>1</v>
      </c>
      <c r="I44" s="1838"/>
      <c r="J44" s="1837">
        <v>0</v>
      </c>
      <c r="K44" s="1838"/>
      <c r="Q44" s="500"/>
    </row>
    <row r="45" spans="1:17" ht="13.5" customHeight="1">
      <c r="A45" s="921"/>
      <c r="B45" s="644"/>
      <c r="C45" s="644">
        <v>16</v>
      </c>
      <c r="D45" s="1837">
        <v>0</v>
      </c>
      <c r="E45" s="1838"/>
      <c r="F45" s="1837">
        <v>0</v>
      </c>
      <c r="G45" s="1838"/>
      <c r="H45" s="1837">
        <v>0</v>
      </c>
      <c r="I45" s="1838"/>
      <c r="J45" s="1837">
        <v>0</v>
      </c>
      <c r="K45" s="1838"/>
    </row>
    <row r="46" spans="1:17" ht="13.5" customHeight="1">
      <c r="A46" s="921"/>
      <c r="B46" s="644"/>
      <c r="C46" s="644">
        <v>17</v>
      </c>
      <c r="D46" s="1837">
        <v>2</v>
      </c>
      <c r="E46" s="1838"/>
      <c r="F46" s="1837">
        <v>0</v>
      </c>
      <c r="G46" s="1838"/>
      <c r="H46" s="1837">
        <v>2</v>
      </c>
      <c r="I46" s="1838"/>
      <c r="J46" s="1837">
        <v>1</v>
      </c>
      <c r="K46" s="1838"/>
    </row>
    <row r="47" spans="1:17" ht="13.5" customHeight="1">
      <c r="A47" s="1841" t="s">
        <v>493</v>
      </c>
      <c r="B47" s="1842"/>
      <c r="C47" s="918">
        <v>18</v>
      </c>
      <c r="D47" s="1837">
        <v>1</v>
      </c>
      <c r="E47" s="1838"/>
      <c r="F47" s="1837">
        <v>0</v>
      </c>
      <c r="G47" s="1838"/>
      <c r="H47" s="1837">
        <v>1</v>
      </c>
      <c r="I47" s="1838"/>
      <c r="J47" s="1837">
        <v>1</v>
      </c>
      <c r="K47" s="1838"/>
    </row>
    <row r="48" spans="1:17" ht="13.5" customHeight="1">
      <c r="A48" s="1843"/>
      <c r="B48" s="1844"/>
      <c r="C48" s="918">
        <v>19</v>
      </c>
      <c r="D48" s="1837">
        <v>2</v>
      </c>
      <c r="E48" s="1838"/>
      <c r="F48" s="1837">
        <v>0</v>
      </c>
      <c r="G48" s="1838"/>
      <c r="H48" s="1837">
        <v>2</v>
      </c>
      <c r="I48" s="1838"/>
      <c r="J48" s="1837">
        <v>1</v>
      </c>
      <c r="K48" s="1838"/>
    </row>
    <row r="49" spans="1:20" ht="13.5" customHeight="1">
      <c r="A49" s="1843"/>
      <c r="B49" s="1844"/>
      <c r="C49" s="918">
        <v>20</v>
      </c>
      <c r="D49" s="1837">
        <v>1</v>
      </c>
      <c r="E49" s="1838"/>
      <c r="F49" s="1837">
        <v>0</v>
      </c>
      <c r="G49" s="1838"/>
      <c r="H49" s="1837">
        <v>1</v>
      </c>
      <c r="I49" s="1838"/>
      <c r="J49" s="1837">
        <v>0</v>
      </c>
      <c r="K49" s="1838"/>
    </row>
    <row r="50" spans="1:20" ht="13.5" customHeight="1">
      <c r="A50" s="1843"/>
      <c r="B50" s="1844"/>
      <c r="C50" s="918">
        <v>21</v>
      </c>
      <c r="D50" s="1837">
        <v>1</v>
      </c>
      <c r="E50" s="1838"/>
      <c r="F50" s="1837">
        <v>0</v>
      </c>
      <c r="G50" s="1838"/>
      <c r="H50" s="1837">
        <v>1</v>
      </c>
      <c r="I50" s="1838"/>
      <c r="J50" s="1837">
        <v>0</v>
      </c>
      <c r="K50" s="1838"/>
    </row>
    <row r="51" spans="1:20" ht="13.5" customHeight="1">
      <c r="A51" s="1843"/>
      <c r="B51" s="1844"/>
      <c r="C51" s="918">
        <v>22</v>
      </c>
      <c r="D51" s="1837">
        <v>2</v>
      </c>
      <c r="E51" s="1838"/>
      <c r="F51" s="1837">
        <v>0</v>
      </c>
      <c r="G51" s="1838"/>
      <c r="H51" s="1837">
        <v>2</v>
      </c>
      <c r="I51" s="1838"/>
      <c r="J51" s="1837">
        <v>0</v>
      </c>
      <c r="K51" s="1838"/>
    </row>
    <row r="52" spans="1:20" ht="13.5" customHeight="1" thickBot="1">
      <c r="A52" s="1845"/>
      <c r="B52" s="1846"/>
      <c r="C52" s="926">
        <v>23</v>
      </c>
      <c r="D52" s="1839">
        <v>4</v>
      </c>
      <c r="E52" s="1840"/>
      <c r="F52" s="1839">
        <v>0</v>
      </c>
      <c r="G52" s="1840"/>
      <c r="H52" s="1839">
        <v>7</v>
      </c>
      <c r="I52" s="1840"/>
      <c r="J52" s="1839">
        <v>0</v>
      </c>
      <c r="K52" s="1840"/>
    </row>
    <row r="53" spans="1:20" ht="13.5" customHeight="1">
      <c r="A53" s="645" t="s">
        <v>633</v>
      </c>
      <c r="B53" s="619"/>
      <c r="C53" s="619"/>
      <c r="D53" s="1835">
        <f>SUM(D35:E46)</f>
        <v>18</v>
      </c>
      <c r="E53" s="1836"/>
      <c r="F53" s="1835">
        <f>SUM(F35:G46)</f>
        <v>0</v>
      </c>
      <c r="G53" s="1836"/>
      <c r="H53" s="1835">
        <f>SUM(H35:I46)</f>
        <v>28</v>
      </c>
      <c r="I53" s="1836"/>
      <c r="J53" s="1835">
        <f>SUM(J35:K46)</f>
        <v>4</v>
      </c>
      <c r="K53" s="1836"/>
    </row>
    <row r="54" spans="1:20" ht="13.5" customHeight="1">
      <c r="A54" s="646" t="s">
        <v>634</v>
      </c>
      <c r="B54" s="622"/>
      <c r="C54" s="622"/>
      <c r="D54" s="1829">
        <f>D55-D53</f>
        <v>31</v>
      </c>
      <c r="E54" s="1830"/>
      <c r="F54" s="1829">
        <f>F55-F53</f>
        <v>2</v>
      </c>
      <c r="G54" s="1830"/>
      <c r="H54" s="1829">
        <f>H55-H53</f>
        <v>37</v>
      </c>
      <c r="I54" s="1830"/>
      <c r="J54" s="1829">
        <f>J55-J53</f>
        <v>6</v>
      </c>
      <c r="K54" s="1830"/>
    </row>
    <row r="55" spans="1:20" ht="13.5" customHeight="1" thickBot="1">
      <c r="A55" s="647" t="s">
        <v>635</v>
      </c>
      <c r="B55" s="648"/>
      <c r="C55" s="648"/>
      <c r="D55" s="1833">
        <f>SUM(D29:E52)</f>
        <v>49</v>
      </c>
      <c r="E55" s="1834"/>
      <c r="F55" s="1833">
        <f>SUM(F29:G52)</f>
        <v>2</v>
      </c>
      <c r="G55" s="1834"/>
      <c r="H55" s="1833">
        <f>SUM(H29:I52)</f>
        <v>65</v>
      </c>
      <c r="I55" s="1834"/>
      <c r="J55" s="1833">
        <f>SUM(J29:K52)</f>
        <v>10</v>
      </c>
      <c r="K55" s="1834"/>
    </row>
    <row r="56" spans="1:20" s="1889" customFormat="1" ht="18">
      <c r="A56" s="1891" t="s">
        <v>914</v>
      </c>
    </row>
    <row r="58" spans="1:20">
      <c r="R58" s="500"/>
      <c r="S58" s="500"/>
      <c r="T58" s="500"/>
    </row>
    <row r="59" spans="1:20">
      <c r="R59" s="500"/>
      <c r="S59" s="500"/>
      <c r="T59" s="500"/>
    </row>
    <row r="60" spans="1:20">
      <c r="R60" s="500"/>
      <c r="S60" s="500"/>
      <c r="T60" s="500"/>
    </row>
    <row r="61" spans="1:20">
      <c r="R61" s="500"/>
      <c r="S61" s="500"/>
      <c r="T61" s="500"/>
    </row>
    <row r="62" spans="1:20">
      <c r="R62" s="500"/>
      <c r="S62" s="500"/>
      <c r="T62" s="500"/>
    </row>
    <row r="63" spans="1:20">
      <c r="R63" s="500"/>
      <c r="S63" s="500"/>
      <c r="T63" s="500"/>
    </row>
    <row r="64" spans="1:20">
      <c r="R64" s="500"/>
      <c r="S64" s="500"/>
      <c r="T64" s="500"/>
    </row>
    <row r="65" spans="18:20">
      <c r="R65" s="500"/>
      <c r="S65" s="500"/>
      <c r="T65" s="500"/>
    </row>
    <row r="66" spans="18:20">
      <c r="R66" s="500"/>
      <c r="S66" s="500"/>
      <c r="T66" s="500"/>
    </row>
    <row r="67" spans="18:20">
      <c r="R67" s="500"/>
      <c r="S67" s="500"/>
      <c r="T67" s="500"/>
    </row>
    <row r="68" spans="18:20">
      <c r="R68" s="500"/>
      <c r="S68" s="500"/>
      <c r="T68" s="500"/>
    </row>
    <row r="69" spans="18:20">
      <c r="R69" s="500"/>
      <c r="S69" s="500"/>
      <c r="T69" s="500"/>
    </row>
    <row r="70" spans="18:20">
      <c r="R70" s="500"/>
      <c r="S70" s="500"/>
      <c r="T70" s="500"/>
    </row>
    <row r="71" spans="18:20">
      <c r="R71" s="500"/>
      <c r="S71" s="500"/>
      <c r="T71" s="500"/>
    </row>
    <row r="72" spans="18:20">
      <c r="R72" s="500"/>
      <c r="S72" s="500"/>
      <c r="T72" s="500"/>
    </row>
    <row r="73" spans="18:20">
      <c r="R73" s="500"/>
      <c r="S73" s="500"/>
      <c r="T73" s="500"/>
    </row>
    <row r="74" spans="18:20">
      <c r="R74" s="500"/>
      <c r="S74" s="500"/>
      <c r="T74" s="500"/>
    </row>
  </sheetData>
  <mergeCells count="157">
    <mergeCell ref="K3:K4"/>
    <mergeCell ref="C3:C4"/>
    <mergeCell ref="D3:D4"/>
    <mergeCell ref="E3:E4"/>
    <mergeCell ref="L3:L4"/>
    <mergeCell ref="A5:B5"/>
    <mergeCell ref="A6:B6"/>
    <mergeCell ref="A7:B7"/>
    <mergeCell ref="A9:B9"/>
    <mergeCell ref="A10:B10"/>
    <mergeCell ref="F3:F4"/>
    <mergeCell ref="G3:G4"/>
    <mergeCell ref="H3:H4"/>
    <mergeCell ref="I3:I4"/>
    <mergeCell ref="J3:J4"/>
    <mergeCell ref="N3:N4"/>
    <mergeCell ref="O3:O4"/>
    <mergeCell ref="A11:O11"/>
    <mergeCell ref="A12:O12"/>
    <mergeCell ref="A13:O13"/>
    <mergeCell ref="C17:C18"/>
    <mergeCell ref="D17:D18"/>
    <mergeCell ref="E17:E18"/>
    <mergeCell ref="F17:F18"/>
    <mergeCell ref="G17:G18"/>
    <mergeCell ref="H17:H18"/>
    <mergeCell ref="I17:I18"/>
    <mergeCell ref="J17:J18"/>
    <mergeCell ref="V17:V18"/>
    <mergeCell ref="A19:B19"/>
    <mergeCell ref="A20:B20"/>
    <mergeCell ref="K17:K18"/>
    <mergeCell ref="L17:L18"/>
    <mergeCell ref="M17:M18"/>
    <mergeCell ref="N17:N18"/>
    <mergeCell ref="O17:O18"/>
    <mergeCell ref="R17:R18"/>
    <mergeCell ref="S17:S18"/>
    <mergeCell ref="T17:T18"/>
    <mergeCell ref="U17:U18"/>
    <mergeCell ref="A29:B34"/>
    <mergeCell ref="D29:E29"/>
    <mergeCell ref="F29:G29"/>
    <mergeCell ref="H29:I29"/>
    <mergeCell ref="J29:K29"/>
    <mergeCell ref="D30:E30"/>
    <mergeCell ref="F30:G30"/>
    <mergeCell ref="H30:I30"/>
    <mergeCell ref="A21:B21"/>
    <mergeCell ref="C26:C27"/>
    <mergeCell ref="D27:E27"/>
    <mergeCell ref="F27:G27"/>
    <mergeCell ref="H27:I27"/>
    <mergeCell ref="J27:K27"/>
    <mergeCell ref="J30:K30"/>
    <mergeCell ref="D31:E31"/>
    <mergeCell ref="D33:E33"/>
    <mergeCell ref="F33:G33"/>
    <mergeCell ref="H33:I33"/>
    <mergeCell ref="J33:K33"/>
    <mergeCell ref="J32:K32"/>
    <mergeCell ref="D38:E38"/>
    <mergeCell ref="F38:G38"/>
    <mergeCell ref="H38:I38"/>
    <mergeCell ref="J38:K38"/>
    <mergeCell ref="D34:E34"/>
    <mergeCell ref="F34:G34"/>
    <mergeCell ref="H34:I34"/>
    <mergeCell ref="J34:K34"/>
    <mergeCell ref="F31:G31"/>
    <mergeCell ref="H31:I31"/>
    <mergeCell ref="J31:K31"/>
    <mergeCell ref="D32:E32"/>
    <mergeCell ref="F32:G32"/>
    <mergeCell ref="H32:I32"/>
    <mergeCell ref="D35:E35"/>
    <mergeCell ref="F35:G35"/>
    <mergeCell ref="H35:I35"/>
    <mergeCell ref="J35:K35"/>
    <mergeCell ref="D36:E36"/>
    <mergeCell ref="F36:G36"/>
    <mergeCell ref="H36:I36"/>
    <mergeCell ref="J36:K36"/>
    <mergeCell ref="D37:E37"/>
    <mergeCell ref="F37:G37"/>
    <mergeCell ref="H37:I37"/>
    <mergeCell ref="J37:K37"/>
    <mergeCell ref="D46:E46"/>
    <mergeCell ref="F46:G46"/>
    <mergeCell ref="H46:I46"/>
    <mergeCell ref="J46:K46"/>
    <mergeCell ref="D39:E39"/>
    <mergeCell ref="F39:G39"/>
    <mergeCell ref="H39:I39"/>
    <mergeCell ref="J39:K39"/>
    <mergeCell ref="D40:E40"/>
    <mergeCell ref="F40:G40"/>
    <mergeCell ref="H40:I40"/>
    <mergeCell ref="J40:K40"/>
    <mergeCell ref="D41:E41"/>
    <mergeCell ref="F41:G41"/>
    <mergeCell ref="H41:I41"/>
    <mergeCell ref="J41:K41"/>
    <mergeCell ref="D42:E42"/>
    <mergeCell ref="F42:G42"/>
    <mergeCell ref="H42:I42"/>
    <mergeCell ref="J42:K42"/>
    <mergeCell ref="D43:E43"/>
    <mergeCell ref="F43:G43"/>
    <mergeCell ref="H43:I43"/>
    <mergeCell ref="J43:K43"/>
    <mergeCell ref="D44:E44"/>
    <mergeCell ref="F44:G44"/>
    <mergeCell ref="H44:I44"/>
    <mergeCell ref="J44:K44"/>
    <mergeCell ref="D45:E45"/>
    <mergeCell ref="F45:G45"/>
    <mergeCell ref="H45:I45"/>
    <mergeCell ref="J45:K45"/>
    <mergeCell ref="D52:E52"/>
    <mergeCell ref="F52:G52"/>
    <mergeCell ref="H52:I52"/>
    <mergeCell ref="J52:K52"/>
    <mergeCell ref="A47:B52"/>
    <mergeCell ref="D47:E47"/>
    <mergeCell ref="F47:G47"/>
    <mergeCell ref="H47:I47"/>
    <mergeCell ref="J47:K47"/>
    <mergeCell ref="D48:E48"/>
    <mergeCell ref="F48:G48"/>
    <mergeCell ref="H48:I48"/>
    <mergeCell ref="J48:K48"/>
    <mergeCell ref="D49:E49"/>
    <mergeCell ref="H54:I54"/>
    <mergeCell ref="J54:K54"/>
    <mergeCell ref="M3:M4"/>
    <mergeCell ref="D55:E55"/>
    <mergeCell ref="F55:G55"/>
    <mergeCell ref="H55:I55"/>
    <mergeCell ref="J55:K55"/>
    <mergeCell ref="D53:E53"/>
    <mergeCell ref="F53:G53"/>
    <mergeCell ref="H53:I53"/>
    <mergeCell ref="J53:K53"/>
    <mergeCell ref="D54:E54"/>
    <mergeCell ref="F54:G54"/>
    <mergeCell ref="F49:G49"/>
    <mergeCell ref="H49:I49"/>
    <mergeCell ref="J49:K49"/>
    <mergeCell ref="D50:E50"/>
    <mergeCell ref="F50:G50"/>
    <mergeCell ref="H50:I50"/>
    <mergeCell ref="J50:K50"/>
    <mergeCell ref="D51:E51"/>
    <mergeCell ref="F51:G51"/>
    <mergeCell ref="H51:I51"/>
    <mergeCell ref="J51:K51"/>
  </mergeCells>
  <phoneticPr fontId="4"/>
  <printOptions horizontalCentered="1"/>
  <pageMargins left="0.78740157480314965" right="0.39370078740157483" top="0.98425196850393704" bottom="0.98425196850393704" header="0.31496062992125984" footer="0.51181102362204722"/>
  <pageSetup paperSize="9" scale="73" orientation="portrait" r:id="rId1"/>
  <headerFooter scaleWithDoc="0" alignWithMargins="0">
    <oddFooter>&amp;C- &amp;P -</oddFooter>
  </headerFooter>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BF297-0C02-4983-85FA-18A0FE18F1ED}">
  <sheetPr>
    <pageSetUpPr fitToPage="1"/>
  </sheetPr>
  <dimension ref="A1:N88"/>
  <sheetViews>
    <sheetView view="pageBreakPreview" topLeftCell="A67" zoomScaleNormal="100" zoomScaleSheetLayoutView="100" workbookViewId="0">
      <selection activeCell="L76" sqref="L76"/>
    </sheetView>
  </sheetViews>
  <sheetFormatPr defaultColWidth="9" defaultRowHeight="13.8"/>
  <cols>
    <col min="1" max="1" width="9" style="497"/>
    <col min="2" max="2" width="1.33203125" style="497" customWidth="1"/>
    <col min="3" max="3" width="12.77734375" style="497" customWidth="1"/>
    <col min="4" max="5" width="12.44140625" style="497" customWidth="1"/>
    <col min="6" max="6" width="9.33203125" style="497" bestFit="1" customWidth="1"/>
    <col min="7" max="7" width="8.88671875" style="497" customWidth="1"/>
    <col min="8" max="8" width="13.44140625" style="497" customWidth="1"/>
    <col min="9" max="9" width="14.88671875" style="497" customWidth="1"/>
    <col min="10" max="10" width="14" style="983" customWidth="1"/>
    <col min="11" max="11" width="9.109375" style="497" bestFit="1" customWidth="1"/>
    <col min="12" max="16384" width="9" style="497"/>
  </cols>
  <sheetData>
    <row r="1" spans="1:14" ht="22.5" customHeight="1">
      <c r="A1" s="595" t="s">
        <v>494</v>
      </c>
      <c r="B1" s="595"/>
      <c r="C1" s="595"/>
      <c r="D1" s="595"/>
      <c r="E1" s="595"/>
      <c r="J1" s="489"/>
    </row>
    <row r="2" spans="1:14" ht="8.25" customHeight="1" thickBot="1">
      <c r="J2" s="489"/>
    </row>
    <row r="3" spans="1:14">
      <c r="A3" s="1291" t="s">
        <v>865</v>
      </c>
      <c r="B3" s="552"/>
      <c r="C3" s="515" t="s">
        <v>866</v>
      </c>
      <c r="D3" s="596" t="s">
        <v>554</v>
      </c>
      <c r="E3" s="596" t="s">
        <v>501</v>
      </c>
      <c r="F3" s="1269" t="s">
        <v>867</v>
      </c>
      <c r="G3" s="1271"/>
      <c r="H3" s="654" t="s">
        <v>868</v>
      </c>
      <c r="I3" s="656" t="s">
        <v>869</v>
      </c>
    </row>
    <row r="4" spans="1:14" ht="14.4" thickBot="1">
      <c r="A4" s="1302"/>
      <c r="B4" s="516" t="s">
        <v>619</v>
      </c>
      <c r="C4" s="548"/>
      <c r="D4" s="1212" t="s">
        <v>870</v>
      </c>
      <c r="E4" s="1212" t="s">
        <v>871</v>
      </c>
      <c r="F4" s="1213" t="s">
        <v>642</v>
      </c>
      <c r="G4" s="418" t="s">
        <v>872</v>
      </c>
      <c r="H4" s="995" t="s">
        <v>873</v>
      </c>
      <c r="I4" s="1214" t="s">
        <v>864</v>
      </c>
    </row>
    <row r="5" spans="1:14" ht="14.25" customHeight="1">
      <c r="A5" s="1543" t="s">
        <v>874</v>
      </c>
      <c r="B5" s="1859" t="s">
        <v>800</v>
      </c>
      <c r="C5" s="1880"/>
      <c r="D5" s="588">
        <v>7849</v>
      </c>
      <c r="E5" s="588">
        <v>7688</v>
      </c>
      <c r="F5" s="1224">
        <f t="shared" ref="F5:F68" si="0">D5-E5</f>
        <v>161</v>
      </c>
      <c r="G5" s="1225">
        <f t="shared" ref="G5:G68" si="1">F5/E5*100</f>
        <v>2.09417273673257</v>
      </c>
      <c r="H5" s="1226">
        <f>D5*100000/I5</f>
        <v>280.77568351654639</v>
      </c>
      <c r="I5" s="1881">
        <v>2795470</v>
      </c>
    </row>
    <row r="6" spans="1:14" ht="14.25" customHeight="1">
      <c r="A6" s="1870"/>
      <c r="B6" s="1860" t="s">
        <v>875</v>
      </c>
      <c r="C6" s="1620"/>
      <c r="D6" s="589">
        <v>43</v>
      </c>
      <c r="E6" s="589">
        <v>43</v>
      </c>
      <c r="F6" s="598">
        <f t="shared" si="0"/>
        <v>0</v>
      </c>
      <c r="G6" s="599">
        <f t="shared" si="1"/>
        <v>0</v>
      </c>
      <c r="H6" s="986">
        <f>D6*100000/I5</f>
        <v>1.5382028782279902</v>
      </c>
      <c r="I6" s="1874"/>
    </row>
    <row r="7" spans="1:14" ht="13.5" customHeight="1">
      <c r="A7" s="1870"/>
      <c r="B7" s="1877" t="s">
        <v>876</v>
      </c>
      <c r="C7" s="1878"/>
      <c r="D7" s="590">
        <v>8916</v>
      </c>
      <c r="E7" s="590">
        <v>8722</v>
      </c>
      <c r="F7" s="600">
        <f>D7-E7</f>
        <v>194</v>
      </c>
      <c r="G7" s="599">
        <f t="shared" si="1"/>
        <v>2.2242604907131391</v>
      </c>
      <c r="H7" s="988">
        <f>D7*100000/I5</f>
        <v>318.94457819257582</v>
      </c>
      <c r="I7" s="1875"/>
      <c r="J7" s="987"/>
      <c r="K7" s="564"/>
      <c r="L7" s="564"/>
      <c r="M7" s="564"/>
      <c r="N7" s="564"/>
    </row>
    <row r="8" spans="1:14" ht="13.5" customHeight="1" thickBot="1">
      <c r="A8" s="1879"/>
      <c r="B8" s="610"/>
      <c r="C8" s="611" t="s">
        <v>877</v>
      </c>
      <c r="D8" s="594">
        <v>937</v>
      </c>
      <c r="E8" s="594">
        <v>927</v>
      </c>
      <c r="F8" s="606">
        <f t="shared" si="0"/>
        <v>10</v>
      </c>
      <c r="G8" s="607">
        <f t="shared" si="1"/>
        <v>1.0787486515641855</v>
      </c>
      <c r="H8" s="984">
        <f>D8*100000/I5</f>
        <v>33.518513881386674</v>
      </c>
      <c r="I8" s="1882"/>
      <c r="J8" s="987"/>
      <c r="K8" s="564"/>
      <c r="L8" s="564"/>
      <c r="M8" s="564"/>
      <c r="N8" s="564"/>
    </row>
    <row r="9" spans="1:14" ht="13.5" customHeight="1">
      <c r="A9" s="1544" t="s">
        <v>878</v>
      </c>
      <c r="B9" s="1871" t="s">
        <v>800</v>
      </c>
      <c r="C9" s="1872"/>
      <c r="D9" s="1219">
        <v>2364</v>
      </c>
      <c r="E9" s="1219">
        <v>2477</v>
      </c>
      <c r="F9" s="1220">
        <f t="shared" si="0"/>
        <v>-113</v>
      </c>
      <c r="G9" s="605">
        <f t="shared" si="1"/>
        <v>-4.5619701251513929</v>
      </c>
      <c r="H9" s="1221">
        <f>D9*100000/I9</f>
        <v>293.37304542069995</v>
      </c>
      <c r="I9" s="1873">
        <v>805800</v>
      </c>
      <c r="J9" s="987"/>
      <c r="K9" s="564"/>
      <c r="L9" s="564"/>
      <c r="M9" s="564"/>
      <c r="N9" s="564"/>
    </row>
    <row r="10" spans="1:14" ht="13.5" customHeight="1">
      <c r="A10" s="1870"/>
      <c r="B10" s="1860" t="s">
        <v>875</v>
      </c>
      <c r="C10" s="1620"/>
      <c r="D10" s="590">
        <v>9</v>
      </c>
      <c r="E10" s="590">
        <v>16</v>
      </c>
      <c r="F10" s="600">
        <f t="shared" si="0"/>
        <v>-7</v>
      </c>
      <c r="G10" s="599">
        <f t="shared" si="1"/>
        <v>-43.75</v>
      </c>
      <c r="H10" s="988">
        <f>D10*100000/I9</f>
        <v>1.1169024571854058</v>
      </c>
      <c r="I10" s="1874"/>
      <c r="J10" s="987"/>
      <c r="K10" s="564"/>
      <c r="L10" s="601"/>
      <c r="M10" s="564"/>
      <c r="N10" s="564"/>
    </row>
    <row r="11" spans="1:14" ht="13.5" customHeight="1">
      <c r="A11" s="1870"/>
      <c r="B11" s="1877" t="s">
        <v>876</v>
      </c>
      <c r="C11" s="1878"/>
      <c r="D11" s="590">
        <v>2699</v>
      </c>
      <c r="E11" s="590">
        <v>2873</v>
      </c>
      <c r="F11" s="600">
        <f t="shared" si="0"/>
        <v>-174</v>
      </c>
      <c r="G11" s="599">
        <f t="shared" si="1"/>
        <v>-6.0563870518621652</v>
      </c>
      <c r="H11" s="988">
        <f>D11*100000/I9</f>
        <v>334.94663688260113</v>
      </c>
      <c r="I11" s="1875"/>
      <c r="J11" s="564"/>
      <c r="K11" s="564"/>
      <c r="L11" s="601"/>
      <c r="M11" s="564"/>
      <c r="N11" s="564"/>
    </row>
    <row r="12" spans="1:14" ht="13.5" customHeight="1" thickBot="1">
      <c r="A12" s="1870"/>
      <c r="B12" s="1215"/>
      <c r="C12" s="1012" t="s">
        <v>877</v>
      </c>
      <c r="D12" s="1216">
        <v>256</v>
      </c>
      <c r="E12" s="1216">
        <v>236</v>
      </c>
      <c r="F12" s="1217">
        <f t="shared" si="0"/>
        <v>20</v>
      </c>
      <c r="G12" s="603">
        <f t="shared" si="1"/>
        <v>8.4745762711864394</v>
      </c>
      <c r="H12" s="1218">
        <f>D12*100000/I9</f>
        <v>31.769669893273765</v>
      </c>
      <c r="I12" s="1876"/>
      <c r="J12" s="987"/>
      <c r="K12" s="564"/>
      <c r="L12" s="564"/>
      <c r="M12" s="564"/>
      <c r="N12" s="564"/>
    </row>
    <row r="13" spans="1:14" ht="14.25" customHeight="1">
      <c r="A13" s="1543" t="s">
        <v>879</v>
      </c>
      <c r="B13" s="1859" t="s">
        <v>800</v>
      </c>
      <c r="C13" s="1880"/>
      <c r="D13" s="1227">
        <v>4291</v>
      </c>
      <c r="E13" s="1227">
        <v>4393</v>
      </c>
      <c r="F13" s="1228">
        <f t="shared" si="0"/>
        <v>-102</v>
      </c>
      <c r="G13" s="1229">
        <f t="shared" si="1"/>
        <v>-2.3218757113589801</v>
      </c>
      <c r="H13" s="1230">
        <f>D13*100000/I13</f>
        <v>218.10611108823818</v>
      </c>
      <c r="I13" s="1881">
        <v>1967391</v>
      </c>
      <c r="J13" s="564"/>
      <c r="K13" s="564"/>
      <c r="L13" s="601"/>
      <c r="M13" s="564"/>
      <c r="N13" s="564"/>
    </row>
    <row r="14" spans="1:14" ht="14.25" customHeight="1">
      <c r="A14" s="1870"/>
      <c r="B14" s="1860" t="s">
        <v>875</v>
      </c>
      <c r="C14" s="1620"/>
      <c r="D14" s="589">
        <v>20</v>
      </c>
      <c r="E14" s="589">
        <v>18</v>
      </c>
      <c r="F14" s="598">
        <f t="shared" si="0"/>
        <v>2</v>
      </c>
      <c r="G14" s="599">
        <f t="shared" si="1"/>
        <v>11.111111111111111</v>
      </c>
      <c r="H14" s="986">
        <f>D14*100000/I13</f>
        <v>1.0165747428955403</v>
      </c>
      <c r="I14" s="1874"/>
      <c r="J14" s="497"/>
    </row>
    <row r="15" spans="1:14" ht="14.25" customHeight="1">
      <c r="A15" s="1870"/>
      <c r="B15" s="1877" t="s">
        <v>876</v>
      </c>
      <c r="C15" s="1878"/>
      <c r="D15" s="589">
        <v>4960</v>
      </c>
      <c r="E15" s="589">
        <v>5150</v>
      </c>
      <c r="F15" s="598">
        <f t="shared" si="0"/>
        <v>-190</v>
      </c>
      <c r="G15" s="599">
        <f t="shared" si="1"/>
        <v>-3.6893203883495143</v>
      </c>
      <c r="H15" s="986">
        <f>D15*100000/I13</f>
        <v>252.110536238094</v>
      </c>
      <c r="I15" s="1875"/>
    </row>
    <row r="16" spans="1:14" ht="13.5" customHeight="1" thickBot="1">
      <c r="A16" s="1013"/>
      <c r="B16" s="610"/>
      <c r="C16" s="611" t="s">
        <v>877</v>
      </c>
      <c r="D16" s="594">
        <v>466</v>
      </c>
      <c r="E16" s="594">
        <v>414</v>
      </c>
      <c r="F16" s="606">
        <f t="shared" si="0"/>
        <v>52</v>
      </c>
      <c r="G16" s="607">
        <f t="shared" si="1"/>
        <v>12.560386473429952</v>
      </c>
      <c r="H16" s="984">
        <f>D16*100000/I13</f>
        <v>23.686191509466092</v>
      </c>
      <c r="I16" s="1882"/>
      <c r="J16" s="987"/>
      <c r="K16" s="564"/>
      <c r="L16" s="564"/>
      <c r="M16" s="564"/>
      <c r="N16" s="564"/>
    </row>
    <row r="17" spans="1:14" ht="14.25" customHeight="1">
      <c r="A17" s="1544" t="s">
        <v>880</v>
      </c>
      <c r="B17" s="1871" t="s">
        <v>800</v>
      </c>
      <c r="C17" s="1872"/>
      <c r="D17" s="592">
        <v>1902</v>
      </c>
      <c r="E17" s="592">
        <v>1885</v>
      </c>
      <c r="F17" s="604">
        <f t="shared" si="0"/>
        <v>17</v>
      </c>
      <c r="G17" s="605">
        <f t="shared" si="1"/>
        <v>0.90185676392572944</v>
      </c>
      <c r="H17" s="1222">
        <f>D17*100000/I17</f>
        <v>173.63520175278438</v>
      </c>
      <c r="I17" s="1873">
        <v>1095400</v>
      </c>
    </row>
    <row r="18" spans="1:14" ht="14.25" customHeight="1">
      <c r="A18" s="1870"/>
      <c r="B18" s="1860" t="s">
        <v>875</v>
      </c>
      <c r="C18" s="1620"/>
      <c r="D18" s="589">
        <v>11</v>
      </c>
      <c r="E18" s="589">
        <v>16</v>
      </c>
      <c r="F18" s="598">
        <f t="shared" si="0"/>
        <v>-5</v>
      </c>
      <c r="G18" s="599">
        <f t="shared" si="1"/>
        <v>-31.25</v>
      </c>
      <c r="H18" s="986">
        <f>D18*100000/I17</f>
        <v>1.0041993792222019</v>
      </c>
      <c r="I18" s="1874"/>
    </row>
    <row r="19" spans="1:14" ht="14.25" customHeight="1">
      <c r="A19" s="1870"/>
      <c r="B19" s="1877" t="s">
        <v>876</v>
      </c>
      <c r="C19" s="1878"/>
      <c r="D19" s="589">
        <v>2266</v>
      </c>
      <c r="E19" s="589">
        <v>2216</v>
      </c>
      <c r="F19" s="598">
        <f t="shared" si="0"/>
        <v>50</v>
      </c>
      <c r="G19" s="599">
        <f t="shared" si="1"/>
        <v>2.256317689530686</v>
      </c>
      <c r="H19" s="986">
        <f>D19*100000/I17</f>
        <v>206.8650721197736</v>
      </c>
      <c r="I19" s="1875"/>
    </row>
    <row r="20" spans="1:14" ht="13.5" customHeight="1" thickBot="1">
      <c r="A20" s="1870"/>
      <c r="B20" s="1215"/>
      <c r="C20" s="1012" t="s">
        <v>877</v>
      </c>
      <c r="D20" s="1216">
        <v>236</v>
      </c>
      <c r="E20" s="1216">
        <v>202</v>
      </c>
      <c r="F20" s="1217">
        <f t="shared" si="0"/>
        <v>34</v>
      </c>
      <c r="G20" s="603">
        <f t="shared" si="1"/>
        <v>16.831683168316832</v>
      </c>
      <c r="H20" s="1218">
        <f>D20*100000/I17</f>
        <v>21.544641226949061</v>
      </c>
      <c r="I20" s="1876"/>
      <c r="J20" s="987"/>
      <c r="K20" s="564"/>
      <c r="L20" s="564"/>
      <c r="M20" s="564"/>
      <c r="N20" s="564"/>
    </row>
    <row r="21" spans="1:14" ht="14.25" customHeight="1">
      <c r="A21" s="1543" t="s">
        <v>881</v>
      </c>
      <c r="B21" s="1859" t="s">
        <v>800</v>
      </c>
      <c r="C21" s="1880"/>
      <c r="D21" s="762">
        <v>2531</v>
      </c>
      <c r="E21" s="762">
        <v>2563</v>
      </c>
      <c r="F21" s="1231">
        <f t="shared" si="0"/>
        <v>-32</v>
      </c>
      <c r="G21" s="1229">
        <f t="shared" si="1"/>
        <v>-1.2485368708544675</v>
      </c>
      <c r="H21" s="1232">
        <f>D21*100000/I21</f>
        <v>187.41206960385043</v>
      </c>
      <c r="I21" s="1881">
        <v>1350500</v>
      </c>
    </row>
    <row r="22" spans="1:14" ht="14.25" customHeight="1">
      <c r="A22" s="1870"/>
      <c r="B22" s="1860" t="s">
        <v>875</v>
      </c>
      <c r="C22" s="1620"/>
      <c r="D22" s="589">
        <v>13</v>
      </c>
      <c r="E22" s="589">
        <v>16</v>
      </c>
      <c r="F22" s="598">
        <f t="shared" si="0"/>
        <v>-3</v>
      </c>
      <c r="G22" s="599">
        <f t="shared" si="1"/>
        <v>-18.75</v>
      </c>
      <c r="H22" s="986">
        <f>D22*100000/I21</f>
        <v>0.96260644205849688</v>
      </c>
      <c r="I22" s="1874"/>
    </row>
    <row r="23" spans="1:14" ht="14.25" customHeight="1">
      <c r="A23" s="1870"/>
      <c r="B23" s="1877" t="s">
        <v>876</v>
      </c>
      <c r="C23" s="1878"/>
      <c r="D23" s="589">
        <v>2875</v>
      </c>
      <c r="E23" s="589">
        <v>2903</v>
      </c>
      <c r="F23" s="598">
        <f t="shared" si="0"/>
        <v>-28</v>
      </c>
      <c r="G23" s="599">
        <f t="shared" si="1"/>
        <v>-0.96451946262487087</v>
      </c>
      <c r="H23" s="986">
        <f>D23*100000/I21</f>
        <v>212.88411699370604</v>
      </c>
      <c r="I23" s="1875"/>
    </row>
    <row r="24" spans="1:14" ht="13.5" customHeight="1" thickBot="1">
      <c r="A24" s="1879"/>
      <c r="B24" s="610"/>
      <c r="C24" s="611" t="s">
        <v>877</v>
      </c>
      <c r="D24" s="594">
        <v>344</v>
      </c>
      <c r="E24" s="594">
        <v>295</v>
      </c>
      <c r="F24" s="606">
        <f t="shared" si="0"/>
        <v>49</v>
      </c>
      <c r="G24" s="607">
        <f t="shared" si="1"/>
        <v>16.610169491525422</v>
      </c>
      <c r="H24" s="984">
        <f>D24*100000/I21</f>
        <v>25.472047389855611</v>
      </c>
      <c r="I24" s="1882"/>
      <c r="J24" s="987"/>
      <c r="K24" s="564"/>
      <c r="L24" s="564"/>
      <c r="M24" s="564"/>
      <c r="N24" s="564"/>
    </row>
    <row r="25" spans="1:14" ht="14.25" customHeight="1">
      <c r="A25" s="1544" t="s">
        <v>882</v>
      </c>
      <c r="B25" s="1871" t="s">
        <v>800</v>
      </c>
      <c r="C25" s="1872"/>
      <c r="D25" s="592">
        <v>2122</v>
      </c>
      <c r="E25" s="592">
        <v>2204</v>
      </c>
      <c r="F25" s="604">
        <f t="shared" si="0"/>
        <v>-82</v>
      </c>
      <c r="G25" s="605">
        <f t="shared" si="1"/>
        <v>-3.7205081669691471</v>
      </c>
      <c r="H25" s="1222">
        <f>D25*100000/I25</f>
        <v>215.45903333827474</v>
      </c>
      <c r="I25" s="1873">
        <v>984874</v>
      </c>
    </row>
    <row r="26" spans="1:14" ht="14.25" customHeight="1">
      <c r="A26" s="1870"/>
      <c r="B26" s="1860" t="s">
        <v>875</v>
      </c>
      <c r="C26" s="1620"/>
      <c r="D26" s="589">
        <v>17</v>
      </c>
      <c r="E26" s="589">
        <v>14</v>
      </c>
      <c r="F26" s="598">
        <f t="shared" si="0"/>
        <v>3</v>
      </c>
      <c r="G26" s="599">
        <f t="shared" si="1"/>
        <v>21.428571428571427</v>
      </c>
      <c r="H26" s="986">
        <f>D26*100000/I25</f>
        <v>1.7261091266497035</v>
      </c>
      <c r="I26" s="1874"/>
    </row>
    <row r="27" spans="1:14" ht="14.25" customHeight="1">
      <c r="A27" s="1870"/>
      <c r="B27" s="1877" t="s">
        <v>876</v>
      </c>
      <c r="C27" s="1878"/>
      <c r="D27" s="589">
        <v>2487</v>
      </c>
      <c r="E27" s="589">
        <v>2563</v>
      </c>
      <c r="F27" s="598">
        <f t="shared" si="0"/>
        <v>-76</v>
      </c>
      <c r="G27" s="599">
        <f t="shared" si="1"/>
        <v>-2.96527506827936</v>
      </c>
      <c r="H27" s="986">
        <f>D27*100000/I25</f>
        <v>252.51961164575366</v>
      </c>
      <c r="I27" s="1875"/>
    </row>
    <row r="28" spans="1:14" ht="13.5" customHeight="1" thickBot="1">
      <c r="A28" s="1870"/>
      <c r="B28" s="1215"/>
      <c r="C28" s="1012" t="s">
        <v>877</v>
      </c>
      <c r="D28" s="1216">
        <v>195</v>
      </c>
      <c r="E28" s="1216">
        <v>240</v>
      </c>
      <c r="F28" s="1217">
        <f t="shared" si="0"/>
        <v>-45</v>
      </c>
      <c r="G28" s="603">
        <f t="shared" si="1"/>
        <v>-18.75</v>
      </c>
      <c r="H28" s="1218">
        <f>D28*100000/I25</f>
        <v>19.799487040981891</v>
      </c>
      <c r="I28" s="1876"/>
      <c r="J28" s="987"/>
      <c r="K28" s="564"/>
      <c r="L28" s="564"/>
      <c r="M28" s="564"/>
      <c r="N28" s="564"/>
    </row>
    <row r="29" spans="1:14" ht="14.25" customHeight="1">
      <c r="A29" s="1543" t="s">
        <v>883</v>
      </c>
      <c r="B29" s="1859" t="s">
        <v>800</v>
      </c>
      <c r="C29" s="1880"/>
      <c r="D29" s="762">
        <v>3113</v>
      </c>
      <c r="E29" s="762">
        <v>2817</v>
      </c>
      <c r="F29" s="1231">
        <f t="shared" si="0"/>
        <v>296</v>
      </c>
      <c r="G29" s="1229">
        <f t="shared" si="1"/>
        <v>10.507632232871849</v>
      </c>
      <c r="H29" s="1232">
        <f>D29*100000/I29</f>
        <v>396.7616702481003</v>
      </c>
      <c r="I29" s="1881">
        <v>784602</v>
      </c>
    </row>
    <row r="30" spans="1:14" ht="14.25" customHeight="1">
      <c r="A30" s="1870"/>
      <c r="B30" s="1860" t="s">
        <v>875</v>
      </c>
      <c r="C30" s="1620"/>
      <c r="D30" s="589">
        <v>27</v>
      </c>
      <c r="E30" s="589">
        <v>10</v>
      </c>
      <c r="F30" s="598">
        <f t="shared" si="0"/>
        <v>17</v>
      </c>
      <c r="G30" s="599">
        <f t="shared" si="1"/>
        <v>170</v>
      </c>
      <c r="H30" s="986">
        <f>D30*100000/I29</f>
        <v>3.4412351740117919</v>
      </c>
      <c r="I30" s="1874"/>
    </row>
    <row r="31" spans="1:14" ht="14.25" customHeight="1">
      <c r="A31" s="1870"/>
      <c r="B31" s="1877" t="s">
        <v>876</v>
      </c>
      <c r="C31" s="1878"/>
      <c r="D31" s="589">
        <v>3466</v>
      </c>
      <c r="E31" s="589">
        <v>3124</v>
      </c>
      <c r="F31" s="598">
        <f t="shared" si="0"/>
        <v>342</v>
      </c>
      <c r="G31" s="599">
        <f t="shared" si="1"/>
        <v>10.947503201024327</v>
      </c>
      <c r="H31" s="986">
        <f>D31*100000/I29</f>
        <v>441.75263381943967</v>
      </c>
      <c r="I31" s="1875"/>
    </row>
    <row r="32" spans="1:14" ht="13.5" customHeight="1" thickBot="1">
      <c r="A32" s="1879"/>
      <c r="B32" s="610"/>
      <c r="C32" s="611" t="s">
        <v>877</v>
      </c>
      <c r="D32" s="594">
        <v>183</v>
      </c>
      <c r="E32" s="594">
        <v>185</v>
      </c>
      <c r="F32" s="606">
        <f t="shared" si="0"/>
        <v>-2</v>
      </c>
      <c r="G32" s="607">
        <f t="shared" si="1"/>
        <v>-1.0810810810810811</v>
      </c>
      <c r="H32" s="984">
        <f>D32*100000/I29</f>
        <v>23.323927290524367</v>
      </c>
      <c r="I32" s="1882"/>
      <c r="J32" s="987"/>
      <c r="K32" s="564"/>
      <c r="L32" s="564"/>
      <c r="M32" s="564"/>
      <c r="N32" s="564"/>
    </row>
    <row r="33" spans="1:14" ht="14.25" customHeight="1">
      <c r="A33" s="1544" t="s">
        <v>884</v>
      </c>
      <c r="B33" s="1871" t="s">
        <v>800</v>
      </c>
      <c r="C33" s="1872"/>
      <c r="D33" s="592">
        <v>7274</v>
      </c>
      <c r="E33" s="592">
        <v>7300</v>
      </c>
      <c r="F33" s="604">
        <f t="shared" si="0"/>
        <v>-26</v>
      </c>
      <c r="G33" s="605">
        <f t="shared" si="1"/>
        <v>-0.35616438356164382</v>
      </c>
      <c r="H33" s="1222">
        <f>D33*100000/I33</f>
        <v>192.96558983696875</v>
      </c>
      <c r="I33" s="1873">
        <v>3769584</v>
      </c>
    </row>
    <row r="34" spans="1:14" ht="14.25" customHeight="1">
      <c r="A34" s="1870"/>
      <c r="B34" s="1860" t="s">
        <v>875</v>
      </c>
      <c r="C34" s="1620"/>
      <c r="D34" s="589">
        <v>42</v>
      </c>
      <c r="E34" s="589">
        <v>41</v>
      </c>
      <c r="F34" s="598">
        <f t="shared" si="0"/>
        <v>1</v>
      </c>
      <c r="G34" s="599">
        <f t="shared" si="1"/>
        <v>2.4390243902439024</v>
      </c>
      <c r="H34" s="986">
        <f>D34*100000/I33</f>
        <v>1.1141812995810678</v>
      </c>
      <c r="I34" s="1874"/>
    </row>
    <row r="35" spans="1:14" ht="14.25" customHeight="1">
      <c r="A35" s="1870"/>
      <c r="B35" s="1877" t="s">
        <v>876</v>
      </c>
      <c r="C35" s="1878"/>
      <c r="D35" s="591">
        <v>8191</v>
      </c>
      <c r="E35" s="591">
        <v>8379</v>
      </c>
      <c r="F35" s="602">
        <f t="shared" si="0"/>
        <v>-188</v>
      </c>
      <c r="G35" s="603">
        <f t="shared" si="1"/>
        <v>-2.2437044993435973</v>
      </c>
      <c r="H35" s="990">
        <f>D35*100000/I33</f>
        <v>217.29188154448872</v>
      </c>
      <c r="I35" s="1875"/>
    </row>
    <row r="36" spans="1:14" ht="13.5" customHeight="1" thickBot="1">
      <c r="A36" s="1870"/>
      <c r="B36" s="1215"/>
      <c r="C36" s="1012" t="s">
        <v>877</v>
      </c>
      <c r="D36" s="1216">
        <v>423</v>
      </c>
      <c r="E36" s="1216">
        <v>425</v>
      </c>
      <c r="F36" s="1217">
        <f t="shared" si="0"/>
        <v>-2</v>
      </c>
      <c r="G36" s="603">
        <f t="shared" si="1"/>
        <v>-0.47058823529411759</v>
      </c>
      <c r="H36" s="1218">
        <f>D36*100000/I33</f>
        <v>11.221397374352183</v>
      </c>
      <c r="I36" s="1876"/>
      <c r="J36" s="987"/>
      <c r="K36" s="564"/>
      <c r="L36" s="564"/>
      <c r="M36" s="564"/>
      <c r="N36" s="564"/>
    </row>
    <row r="37" spans="1:14" ht="14.25" customHeight="1">
      <c r="A37" s="1543" t="s">
        <v>885</v>
      </c>
      <c r="B37" s="1859" t="s">
        <v>800</v>
      </c>
      <c r="C37" s="1880"/>
      <c r="D37" s="588">
        <v>1786</v>
      </c>
      <c r="E37" s="588">
        <v>1859</v>
      </c>
      <c r="F37" s="1224">
        <f t="shared" si="0"/>
        <v>-73</v>
      </c>
      <c r="G37" s="1225">
        <f t="shared" si="1"/>
        <v>-3.9268423883808503</v>
      </c>
      <c r="H37" s="1233">
        <f>D37*100000/I37</f>
        <v>246.88729857466129</v>
      </c>
      <c r="I37" s="1881">
        <v>723407</v>
      </c>
    </row>
    <row r="38" spans="1:14" ht="14.25" customHeight="1">
      <c r="A38" s="1870"/>
      <c r="B38" s="1860" t="s">
        <v>875</v>
      </c>
      <c r="C38" s="1620"/>
      <c r="D38" s="591">
        <v>10</v>
      </c>
      <c r="E38" s="591">
        <v>10</v>
      </c>
      <c r="F38" s="602">
        <f t="shared" si="0"/>
        <v>0</v>
      </c>
      <c r="G38" s="603">
        <f t="shared" si="1"/>
        <v>0</v>
      </c>
      <c r="H38" s="990">
        <f>D38*100000/I37</f>
        <v>1.3823476963866814</v>
      </c>
      <c r="I38" s="1874"/>
    </row>
    <row r="39" spans="1:14" ht="14.25" customHeight="1">
      <c r="A39" s="1870"/>
      <c r="B39" s="1877" t="s">
        <v>876</v>
      </c>
      <c r="C39" s="1878"/>
      <c r="D39" s="589">
        <v>2037</v>
      </c>
      <c r="E39" s="589">
        <v>2090</v>
      </c>
      <c r="F39" s="598">
        <f t="shared" si="0"/>
        <v>-53</v>
      </c>
      <c r="G39" s="599">
        <f t="shared" si="1"/>
        <v>-2.5358851674641145</v>
      </c>
      <c r="H39" s="986">
        <f>D39*100000/I37</f>
        <v>281.58422575396702</v>
      </c>
      <c r="I39" s="1875"/>
    </row>
    <row r="40" spans="1:14" ht="13.5" customHeight="1" thickBot="1">
      <c r="A40" s="1879"/>
      <c r="B40" s="610"/>
      <c r="C40" s="611" t="s">
        <v>877</v>
      </c>
      <c r="D40" s="594">
        <v>101</v>
      </c>
      <c r="E40" s="594">
        <v>83</v>
      </c>
      <c r="F40" s="606">
        <f t="shared" si="0"/>
        <v>18</v>
      </c>
      <c r="G40" s="607">
        <f t="shared" si="1"/>
        <v>21.686746987951807</v>
      </c>
      <c r="H40" s="984">
        <f>D40*100000/I37</f>
        <v>13.961711733505481</v>
      </c>
      <c r="I40" s="1882"/>
      <c r="J40" s="987"/>
      <c r="K40" s="564"/>
      <c r="L40" s="564"/>
      <c r="M40" s="564"/>
      <c r="N40" s="564"/>
    </row>
    <row r="41" spans="1:14" ht="14.25" customHeight="1">
      <c r="A41" s="1544" t="s">
        <v>886</v>
      </c>
      <c r="B41" s="1871" t="s">
        <v>800</v>
      </c>
      <c r="C41" s="1872"/>
      <c r="D41" s="593">
        <v>1092</v>
      </c>
      <c r="E41" s="593">
        <v>1191</v>
      </c>
      <c r="F41" s="609">
        <f t="shared" si="0"/>
        <v>-99</v>
      </c>
      <c r="G41" s="597">
        <f t="shared" si="1"/>
        <v>-8.3123425692695214</v>
      </c>
      <c r="H41" s="1223">
        <f>D41*100000/I41</f>
        <v>142.74080648555665</v>
      </c>
      <c r="I41" s="1873">
        <v>765023</v>
      </c>
    </row>
    <row r="42" spans="1:14" ht="14.25" customHeight="1">
      <c r="A42" s="1870"/>
      <c r="B42" s="1860" t="s">
        <v>875</v>
      </c>
      <c r="C42" s="1620"/>
      <c r="D42" s="591">
        <v>8</v>
      </c>
      <c r="E42" s="591">
        <v>12</v>
      </c>
      <c r="F42" s="602">
        <f t="shared" si="0"/>
        <v>-4</v>
      </c>
      <c r="G42" s="603">
        <f t="shared" si="1"/>
        <v>-33.333333333333329</v>
      </c>
      <c r="H42" s="990">
        <f>D42*100000/I41</f>
        <v>1.045720194033382</v>
      </c>
      <c r="I42" s="1874"/>
    </row>
    <row r="43" spans="1:14" ht="14.25" customHeight="1">
      <c r="A43" s="1870"/>
      <c r="B43" s="1877" t="s">
        <v>876</v>
      </c>
      <c r="C43" s="1878"/>
      <c r="D43" s="589">
        <v>1218</v>
      </c>
      <c r="E43" s="589">
        <v>1361</v>
      </c>
      <c r="F43" s="598">
        <f t="shared" si="0"/>
        <v>-143</v>
      </c>
      <c r="G43" s="599">
        <f t="shared" si="1"/>
        <v>-10.506980161645849</v>
      </c>
      <c r="H43" s="986">
        <f>D43*100000/I41</f>
        <v>159.21089954158242</v>
      </c>
      <c r="I43" s="1875"/>
    </row>
    <row r="44" spans="1:14" ht="13.5" customHeight="1" thickBot="1">
      <c r="A44" s="1870"/>
      <c r="B44" s="1215"/>
      <c r="C44" s="1012" t="s">
        <v>877</v>
      </c>
      <c r="D44" s="1216">
        <v>197</v>
      </c>
      <c r="E44" s="1216">
        <v>188</v>
      </c>
      <c r="F44" s="1217">
        <f t="shared" si="0"/>
        <v>9</v>
      </c>
      <c r="G44" s="603">
        <f t="shared" si="1"/>
        <v>4.7872340425531918</v>
      </c>
      <c r="H44" s="1218">
        <f>D44*100000/I41</f>
        <v>25.75085977807203</v>
      </c>
      <c r="I44" s="1876"/>
      <c r="J44" s="987"/>
      <c r="K44" s="564"/>
      <c r="L44" s="564"/>
      <c r="M44" s="564"/>
      <c r="N44" s="564"/>
    </row>
    <row r="45" spans="1:14" ht="14.25" customHeight="1">
      <c r="A45" s="1543" t="s">
        <v>887</v>
      </c>
      <c r="B45" s="1859" t="s">
        <v>800</v>
      </c>
      <c r="C45" s="1880"/>
      <c r="D45" s="762">
        <v>3135</v>
      </c>
      <c r="E45" s="762">
        <v>3296</v>
      </c>
      <c r="F45" s="1231">
        <f t="shared" si="0"/>
        <v>-161</v>
      </c>
      <c r="G45" s="1229">
        <f t="shared" si="1"/>
        <v>-4.8847087378640772</v>
      </c>
      <c r="H45" s="1233">
        <f>D45*100000/I45</f>
        <v>467.23470085801279</v>
      </c>
      <c r="I45" s="1881">
        <v>670969</v>
      </c>
    </row>
    <row r="46" spans="1:14" ht="14.25" customHeight="1">
      <c r="A46" s="1870"/>
      <c r="B46" s="1860" t="s">
        <v>875</v>
      </c>
      <c r="C46" s="1620"/>
      <c r="D46" s="589">
        <v>11</v>
      </c>
      <c r="E46" s="589">
        <v>19</v>
      </c>
      <c r="F46" s="598">
        <f t="shared" si="0"/>
        <v>-8</v>
      </c>
      <c r="G46" s="599">
        <f t="shared" si="1"/>
        <v>-42.105263157894733</v>
      </c>
      <c r="H46" s="990">
        <f>D46*100000/I45</f>
        <v>1.6394200030105712</v>
      </c>
      <c r="I46" s="1874"/>
    </row>
    <row r="47" spans="1:14" ht="14.25" customHeight="1">
      <c r="A47" s="1870"/>
      <c r="B47" s="1877" t="s">
        <v>888</v>
      </c>
      <c r="C47" s="1878"/>
      <c r="D47" s="591">
        <v>3717</v>
      </c>
      <c r="E47" s="591">
        <v>3954</v>
      </c>
      <c r="F47" s="602">
        <f t="shared" si="0"/>
        <v>-237</v>
      </c>
      <c r="G47" s="603">
        <f t="shared" si="1"/>
        <v>-5.9939301972685888</v>
      </c>
      <c r="H47" s="990">
        <f>D47*100000/I45</f>
        <v>553.97492283548127</v>
      </c>
      <c r="I47" s="1875"/>
    </row>
    <row r="48" spans="1:14" ht="13.5" customHeight="1" thickBot="1">
      <c r="A48" s="1879"/>
      <c r="B48" s="610"/>
      <c r="C48" s="611" t="s">
        <v>877</v>
      </c>
      <c r="D48" s="594">
        <v>162</v>
      </c>
      <c r="E48" s="594">
        <v>153</v>
      </c>
      <c r="F48" s="606">
        <f t="shared" si="0"/>
        <v>9</v>
      </c>
      <c r="G48" s="607">
        <f t="shared" si="1"/>
        <v>5.8823529411764701</v>
      </c>
      <c r="H48" s="984">
        <f>D48*100000/I45</f>
        <v>24.144185498882958</v>
      </c>
      <c r="I48" s="1882"/>
      <c r="J48" s="987"/>
      <c r="K48" s="564"/>
      <c r="L48" s="564"/>
      <c r="M48" s="564"/>
      <c r="N48" s="564"/>
    </row>
    <row r="49" spans="1:14" ht="14.25" customHeight="1">
      <c r="A49" s="1544" t="s">
        <v>889</v>
      </c>
      <c r="B49" s="1871" t="s">
        <v>800</v>
      </c>
      <c r="C49" s="1872"/>
      <c r="D49" s="592">
        <v>4799</v>
      </c>
      <c r="E49" s="592">
        <v>4795</v>
      </c>
      <c r="F49" s="604">
        <f t="shared" si="0"/>
        <v>4</v>
      </c>
      <c r="G49" s="605">
        <f t="shared" si="1"/>
        <v>8.3420229405630861E-2</v>
      </c>
      <c r="H49" s="1223">
        <f>D49*100000/I49</f>
        <v>620.12038010962908</v>
      </c>
      <c r="I49" s="1873">
        <v>773882</v>
      </c>
    </row>
    <row r="50" spans="1:14" ht="14.25" customHeight="1">
      <c r="A50" s="1870"/>
      <c r="B50" s="1860" t="s">
        <v>875</v>
      </c>
      <c r="C50" s="1620"/>
      <c r="D50" s="589">
        <v>9</v>
      </c>
      <c r="E50" s="589">
        <v>13</v>
      </c>
      <c r="F50" s="598">
        <f t="shared" si="0"/>
        <v>-4</v>
      </c>
      <c r="G50" s="599">
        <f t="shared" si="1"/>
        <v>-30.76923076923077</v>
      </c>
      <c r="H50" s="990">
        <f>D50*100000/I49</f>
        <v>1.1629679977050764</v>
      </c>
      <c r="I50" s="1874"/>
    </row>
    <row r="51" spans="1:14" ht="14.25" customHeight="1">
      <c r="A51" s="1870"/>
      <c r="B51" s="1877" t="s">
        <v>876</v>
      </c>
      <c r="C51" s="1878"/>
      <c r="D51" s="589">
        <v>5982</v>
      </c>
      <c r="E51" s="589">
        <v>6064</v>
      </c>
      <c r="F51" s="598">
        <f t="shared" si="0"/>
        <v>-82</v>
      </c>
      <c r="G51" s="599">
        <f t="shared" si="1"/>
        <v>-1.3522427440633245</v>
      </c>
      <c r="H51" s="986">
        <f>D51*100000/I49</f>
        <v>772.98606247464079</v>
      </c>
      <c r="I51" s="1875"/>
    </row>
    <row r="52" spans="1:14" ht="13.5" customHeight="1" thickBot="1">
      <c r="A52" s="1870"/>
      <c r="B52" s="1215"/>
      <c r="C52" s="1012" t="s">
        <v>877</v>
      </c>
      <c r="D52" s="1216">
        <v>192</v>
      </c>
      <c r="E52" s="1216">
        <v>166</v>
      </c>
      <c r="F52" s="1217">
        <f t="shared" si="0"/>
        <v>26</v>
      </c>
      <c r="G52" s="603">
        <f t="shared" si="1"/>
        <v>15.66265060240964</v>
      </c>
      <c r="H52" s="1218">
        <f>D52*100000/I49</f>
        <v>24.80998395104163</v>
      </c>
      <c r="I52" s="1876"/>
      <c r="J52" s="987"/>
      <c r="K52" s="564"/>
      <c r="L52" s="564"/>
      <c r="M52" s="564"/>
      <c r="N52" s="564"/>
    </row>
    <row r="53" spans="1:14" ht="14.25" customHeight="1">
      <c r="A53" s="1543" t="s">
        <v>890</v>
      </c>
      <c r="B53" s="1859" t="s">
        <v>800</v>
      </c>
      <c r="C53" s="1880"/>
      <c r="D53" s="762">
        <v>8341</v>
      </c>
      <c r="E53" s="762">
        <v>8378</v>
      </c>
      <c r="F53" s="1231">
        <f t="shared" si="0"/>
        <v>-37</v>
      </c>
      <c r="G53" s="1229">
        <f t="shared" si="1"/>
        <v>-0.44163284793506802</v>
      </c>
      <c r="H53" s="1232">
        <f>D53*100000/I53</f>
        <v>357.65219621002728</v>
      </c>
      <c r="I53" s="1881">
        <v>2332154</v>
      </c>
    </row>
    <row r="54" spans="1:14" ht="14.25" customHeight="1">
      <c r="A54" s="1870"/>
      <c r="B54" s="1860" t="s">
        <v>875</v>
      </c>
      <c r="C54" s="1620"/>
      <c r="D54" s="589">
        <v>27</v>
      </c>
      <c r="E54" s="589">
        <v>35</v>
      </c>
      <c r="F54" s="598">
        <f t="shared" si="0"/>
        <v>-8</v>
      </c>
      <c r="G54" s="599">
        <f t="shared" si="1"/>
        <v>-22.857142857142858</v>
      </c>
      <c r="H54" s="986">
        <f>D54*100000/I53</f>
        <v>1.1577280059550099</v>
      </c>
      <c r="I54" s="1874"/>
    </row>
    <row r="55" spans="1:14" ht="14.25" customHeight="1">
      <c r="A55" s="1870"/>
      <c r="B55" s="1877" t="s">
        <v>876</v>
      </c>
      <c r="C55" s="1878"/>
      <c r="D55" s="589">
        <v>9667</v>
      </c>
      <c r="E55" s="589">
        <v>9735</v>
      </c>
      <c r="F55" s="598">
        <f t="shared" si="0"/>
        <v>-68</v>
      </c>
      <c r="G55" s="599">
        <f t="shared" si="1"/>
        <v>-0.69851052901900357</v>
      </c>
      <c r="H55" s="986">
        <f>D55*100000/I53</f>
        <v>414.50950494692887</v>
      </c>
      <c r="I55" s="1875"/>
    </row>
    <row r="56" spans="1:14" ht="13.5" customHeight="1" thickBot="1">
      <c r="A56" s="1879"/>
      <c r="B56" s="610"/>
      <c r="C56" s="611" t="s">
        <v>877</v>
      </c>
      <c r="D56" s="594">
        <v>229</v>
      </c>
      <c r="E56" s="594">
        <v>231</v>
      </c>
      <c r="F56" s="606">
        <f t="shared" si="0"/>
        <v>-2</v>
      </c>
      <c r="G56" s="607">
        <f t="shared" si="1"/>
        <v>-0.86580086580086579</v>
      </c>
      <c r="H56" s="984">
        <f>D56*100000/I53</f>
        <v>9.8192486430998986</v>
      </c>
      <c r="I56" s="1882"/>
      <c r="J56" s="987"/>
      <c r="K56" s="564"/>
      <c r="L56" s="564"/>
      <c r="M56" s="564"/>
      <c r="N56" s="564"/>
    </row>
    <row r="57" spans="1:14" ht="14.25" customHeight="1">
      <c r="A57" s="1544" t="s">
        <v>891</v>
      </c>
      <c r="B57" s="1871" t="s">
        <v>800</v>
      </c>
      <c r="C57" s="1872"/>
      <c r="D57" s="592">
        <v>2312</v>
      </c>
      <c r="E57" s="592">
        <v>2288</v>
      </c>
      <c r="F57" s="604">
        <f t="shared" si="0"/>
        <v>24</v>
      </c>
      <c r="G57" s="605">
        <f t="shared" si="1"/>
        <v>1.048951048951049</v>
      </c>
      <c r="H57" s="1222">
        <f>D57*100000/I57</f>
        <v>161.0273433065349</v>
      </c>
      <c r="I57" s="1873">
        <v>1435781</v>
      </c>
    </row>
    <row r="58" spans="1:14" ht="14.25" customHeight="1">
      <c r="A58" s="1870"/>
      <c r="B58" s="1860" t="s">
        <v>875</v>
      </c>
      <c r="C58" s="1620"/>
      <c r="D58" s="589">
        <v>24</v>
      </c>
      <c r="E58" s="589">
        <v>21</v>
      </c>
      <c r="F58" s="598">
        <f t="shared" si="0"/>
        <v>3</v>
      </c>
      <c r="G58" s="599">
        <f t="shared" si="1"/>
        <v>14.285714285714285</v>
      </c>
      <c r="H58" s="986">
        <f>D58*100000/I57</f>
        <v>1.6715641173688744</v>
      </c>
      <c r="I58" s="1874"/>
    </row>
    <row r="59" spans="1:14" ht="14.25" customHeight="1">
      <c r="A59" s="1870"/>
      <c r="B59" s="1877" t="s">
        <v>876</v>
      </c>
      <c r="C59" s="1878"/>
      <c r="D59" s="589">
        <v>2587</v>
      </c>
      <c r="E59" s="589">
        <v>2581</v>
      </c>
      <c r="F59" s="598">
        <f t="shared" si="0"/>
        <v>6</v>
      </c>
      <c r="G59" s="599">
        <f t="shared" si="1"/>
        <v>0.2324680356450988</v>
      </c>
      <c r="H59" s="986">
        <f>D59*100000/I57</f>
        <v>180.18068215138661</v>
      </c>
      <c r="I59" s="1875"/>
    </row>
    <row r="60" spans="1:14" ht="13.5" customHeight="1" thickBot="1">
      <c r="A60" s="1870"/>
      <c r="B60" s="1215"/>
      <c r="C60" s="1012" t="s">
        <v>877</v>
      </c>
      <c r="D60" s="1216">
        <v>540</v>
      </c>
      <c r="E60" s="1216">
        <v>490</v>
      </c>
      <c r="F60" s="1217">
        <f t="shared" si="0"/>
        <v>50</v>
      </c>
      <c r="G60" s="603">
        <f t="shared" si="1"/>
        <v>10.204081632653061</v>
      </c>
      <c r="H60" s="1218">
        <f>D60*100000/I57</f>
        <v>37.610192640799674</v>
      </c>
      <c r="I60" s="1876"/>
      <c r="J60" s="987"/>
      <c r="K60" s="564"/>
      <c r="L60" s="564"/>
      <c r="M60" s="564"/>
      <c r="N60" s="564"/>
    </row>
    <row r="61" spans="1:14" ht="14.25" customHeight="1">
      <c r="A61" s="1543" t="s">
        <v>892</v>
      </c>
      <c r="B61" s="1859" t="s">
        <v>800</v>
      </c>
      <c r="C61" s="1880"/>
      <c r="D61" s="762">
        <v>3959</v>
      </c>
      <c r="E61" s="762">
        <v>4051</v>
      </c>
      <c r="F61" s="1231">
        <f t="shared" si="0"/>
        <v>-92</v>
      </c>
      <c r="G61" s="1229">
        <f t="shared" si="1"/>
        <v>-2.2710441866205877</v>
      </c>
      <c r="H61" s="1232">
        <f>D61*100000/I61</f>
        <v>265.54501454159112</v>
      </c>
      <c r="I61" s="1881">
        <v>1490896</v>
      </c>
    </row>
    <row r="62" spans="1:14" ht="14.25" customHeight="1">
      <c r="A62" s="1870"/>
      <c r="B62" s="1860" t="s">
        <v>875</v>
      </c>
      <c r="C62" s="1620"/>
      <c r="D62" s="589">
        <v>25</v>
      </c>
      <c r="E62" s="589">
        <v>21</v>
      </c>
      <c r="F62" s="598">
        <f t="shared" si="0"/>
        <v>4</v>
      </c>
      <c r="G62" s="599">
        <f t="shared" si="1"/>
        <v>19.047619047619047</v>
      </c>
      <c r="H62" s="986">
        <f>D62*100000/I61</f>
        <v>1.6768439918009037</v>
      </c>
      <c r="I62" s="1874"/>
    </row>
    <row r="63" spans="1:14" ht="14.25" customHeight="1">
      <c r="A63" s="1870"/>
      <c r="B63" s="1877" t="s">
        <v>876</v>
      </c>
      <c r="C63" s="1878"/>
      <c r="D63" s="589">
        <v>4616</v>
      </c>
      <c r="E63" s="589">
        <v>4697</v>
      </c>
      <c r="F63" s="598">
        <f t="shared" si="0"/>
        <v>-81</v>
      </c>
      <c r="G63" s="599">
        <f t="shared" si="1"/>
        <v>-1.7245050031935278</v>
      </c>
      <c r="H63" s="986">
        <f>D63*100000/I61</f>
        <v>309.61247464611887</v>
      </c>
      <c r="I63" s="1875"/>
    </row>
    <row r="64" spans="1:14" ht="13.5" customHeight="1" thickBot="1">
      <c r="A64" s="1879"/>
      <c r="B64" s="610"/>
      <c r="C64" s="611" t="s">
        <v>877</v>
      </c>
      <c r="D64" s="594">
        <v>245</v>
      </c>
      <c r="E64" s="594">
        <v>251</v>
      </c>
      <c r="F64" s="606">
        <f t="shared" si="0"/>
        <v>-6</v>
      </c>
      <c r="G64" s="607">
        <f t="shared" si="1"/>
        <v>-2.3904382470119523</v>
      </c>
      <c r="H64" s="984">
        <f>D64*100000/I61</f>
        <v>16.433071119648854</v>
      </c>
      <c r="I64" s="1882"/>
      <c r="J64" s="987"/>
      <c r="K64" s="564"/>
      <c r="L64" s="564"/>
      <c r="M64" s="564"/>
      <c r="N64" s="564"/>
    </row>
    <row r="65" spans="1:14" ht="14.25" customHeight="1">
      <c r="A65" s="1544" t="s">
        <v>893</v>
      </c>
      <c r="B65" s="1871" t="s">
        <v>800</v>
      </c>
      <c r="C65" s="1872"/>
      <c r="D65" s="592">
        <v>2155</v>
      </c>
      <c r="E65" s="592">
        <v>2280</v>
      </c>
      <c r="F65" s="604">
        <f t="shared" si="0"/>
        <v>-125</v>
      </c>
      <c r="G65" s="605">
        <f t="shared" si="1"/>
        <v>-5.4824561403508767</v>
      </c>
      <c r="H65" s="1222">
        <f>D65*100000/I65</f>
        <v>302.55338206946516</v>
      </c>
      <c r="I65" s="1873">
        <v>712271</v>
      </c>
    </row>
    <row r="66" spans="1:14" ht="14.25" customHeight="1">
      <c r="A66" s="1870"/>
      <c r="B66" s="1860" t="s">
        <v>875</v>
      </c>
      <c r="C66" s="1620"/>
      <c r="D66" s="589">
        <v>9</v>
      </c>
      <c r="E66" s="589">
        <v>20</v>
      </c>
      <c r="F66" s="598">
        <f t="shared" si="0"/>
        <v>-11</v>
      </c>
      <c r="G66" s="599">
        <f t="shared" si="1"/>
        <v>-55.000000000000007</v>
      </c>
      <c r="H66" s="986">
        <f>D66*100000/I65</f>
        <v>1.2635640086427777</v>
      </c>
      <c r="I66" s="1874"/>
    </row>
    <row r="67" spans="1:14" ht="14.25" customHeight="1">
      <c r="A67" s="1870"/>
      <c r="B67" s="1877" t="s">
        <v>876</v>
      </c>
      <c r="C67" s="1878"/>
      <c r="D67" s="589">
        <v>2468</v>
      </c>
      <c r="E67" s="589">
        <v>2519</v>
      </c>
      <c r="F67" s="598">
        <f t="shared" si="0"/>
        <v>-51</v>
      </c>
      <c r="G67" s="599">
        <f t="shared" si="1"/>
        <v>-2.0246129416435092</v>
      </c>
      <c r="H67" s="986">
        <f>D67*100000/I65</f>
        <v>346.49733037004177</v>
      </c>
      <c r="I67" s="1875"/>
    </row>
    <row r="68" spans="1:14" ht="13.5" customHeight="1" thickBot="1">
      <c r="A68" s="1870"/>
      <c r="B68" s="1215"/>
      <c r="C68" s="1012" t="s">
        <v>877</v>
      </c>
      <c r="D68" s="1216">
        <v>232</v>
      </c>
      <c r="E68" s="1216">
        <v>248</v>
      </c>
      <c r="F68" s="1217">
        <f t="shared" si="0"/>
        <v>-16</v>
      </c>
      <c r="G68" s="603">
        <f t="shared" si="1"/>
        <v>-6.4516129032258061</v>
      </c>
      <c r="H68" s="1218">
        <f>D68*100000/I65</f>
        <v>32.571872222791605</v>
      </c>
      <c r="I68" s="1876"/>
      <c r="J68" s="987"/>
      <c r="K68" s="564"/>
      <c r="L68" s="564"/>
      <c r="M68" s="564"/>
      <c r="N68" s="564"/>
    </row>
    <row r="69" spans="1:14" ht="14.25" customHeight="1">
      <c r="A69" s="1543" t="s">
        <v>894</v>
      </c>
      <c r="B69" s="1859" t="s">
        <v>800</v>
      </c>
      <c r="C69" s="1880"/>
      <c r="D69" s="762">
        <v>1914</v>
      </c>
      <c r="E69" s="762">
        <v>1891</v>
      </c>
      <c r="F69" s="1231">
        <f t="shared" ref="F69:F84" si="2">D69-E69</f>
        <v>23</v>
      </c>
      <c r="G69" s="1229">
        <f t="shared" ref="G69:G84" si="3">F69/E69*100</f>
        <v>1.2162876784769965</v>
      </c>
      <c r="H69" s="1232">
        <f>D69*100000/I69</f>
        <v>162.33573472610721</v>
      </c>
      <c r="I69" s="1881">
        <v>1179038</v>
      </c>
    </row>
    <row r="70" spans="1:14" ht="14.25" customHeight="1">
      <c r="A70" s="1870"/>
      <c r="B70" s="1860" t="s">
        <v>875</v>
      </c>
      <c r="C70" s="1620"/>
      <c r="D70" s="589">
        <v>18</v>
      </c>
      <c r="E70" s="589">
        <v>18</v>
      </c>
      <c r="F70" s="598">
        <f t="shared" si="2"/>
        <v>0</v>
      </c>
      <c r="G70" s="599">
        <f t="shared" si="3"/>
        <v>0</v>
      </c>
      <c r="H70" s="986">
        <f>D70*100000/I69</f>
        <v>1.5266683516561808</v>
      </c>
      <c r="I70" s="1874"/>
    </row>
    <row r="71" spans="1:14" ht="14.25" customHeight="1">
      <c r="A71" s="1870"/>
      <c r="B71" s="1877" t="s">
        <v>876</v>
      </c>
      <c r="C71" s="1878"/>
      <c r="D71" s="589">
        <v>2210</v>
      </c>
      <c r="E71" s="589">
        <v>2172</v>
      </c>
      <c r="F71" s="598">
        <f t="shared" si="2"/>
        <v>38</v>
      </c>
      <c r="G71" s="599">
        <f t="shared" si="3"/>
        <v>1.7495395948434622</v>
      </c>
      <c r="H71" s="986">
        <f>D71*100000/I69</f>
        <v>187.44094762000884</v>
      </c>
      <c r="I71" s="1875"/>
    </row>
    <row r="72" spans="1:14" ht="13.5" customHeight="1" thickBot="1">
      <c r="A72" s="1879"/>
      <c r="B72" s="610"/>
      <c r="C72" s="611" t="s">
        <v>877</v>
      </c>
      <c r="D72" s="594">
        <v>330</v>
      </c>
      <c r="E72" s="594">
        <v>337</v>
      </c>
      <c r="F72" s="606">
        <f t="shared" si="2"/>
        <v>-7</v>
      </c>
      <c r="G72" s="607">
        <f t="shared" si="3"/>
        <v>-2.0771513353115725</v>
      </c>
      <c r="H72" s="984">
        <f>D72*100000/I69</f>
        <v>27.988919780363315</v>
      </c>
      <c r="I72" s="1882"/>
      <c r="J72" s="987"/>
      <c r="K72" s="564"/>
      <c r="L72" s="564"/>
      <c r="M72" s="564"/>
      <c r="N72" s="564"/>
    </row>
    <row r="73" spans="1:14" ht="14.25" customHeight="1">
      <c r="A73" s="1544" t="s">
        <v>895</v>
      </c>
      <c r="B73" s="1871" t="s">
        <v>800</v>
      </c>
      <c r="C73" s="1872"/>
      <c r="D73" s="592">
        <v>3364</v>
      </c>
      <c r="E73" s="592">
        <v>3520</v>
      </c>
      <c r="F73" s="604">
        <f t="shared" si="2"/>
        <v>-156</v>
      </c>
      <c r="G73" s="605">
        <f t="shared" si="3"/>
        <v>-4.4318181818181817</v>
      </c>
      <c r="H73" s="1222">
        <f>D73*100000/I73</f>
        <v>370.91718204381544</v>
      </c>
      <c r="I73" s="1873">
        <v>906941</v>
      </c>
    </row>
    <row r="74" spans="1:14" ht="14.25" customHeight="1">
      <c r="A74" s="1870"/>
      <c r="B74" s="1860" t="s">
        <v>875</v>
      </c>
      <c r="C74" s="1620"/>
      <c r="D74" s="589">
        <v>9</v>
      </c>
      <c r="E74" s="589">
        <v>17</v>
      </c>
      <c r="F74" s="598">
        <f t="shared" si="2"/>
        <v>-8</v>
      </c>
      <c r="G74" s="599">
        <f t="shared" si="3"/>
        <v>-47.058823529411761</v>
      </c>
      <c r="H74" s="986">
        <f>D74*100000/I73</f>
        <v>0.99234680094956562</v>
      </c>
      <c r="I74" s="1874"/>
    </row>
    <row r="75" spans="1:14" ht="14.25" customHeight="1">
      <c r="A75" s="1870"/>
      <c r="B75" s="1877" t="s">
        <v>876</v>
      </c>
      <c r="C75" s="1878"/>
      <c r="D75" s="589">
        <v>4303</v>
      </c>
      <c r="E75" s="589">
        <v>4520</v>
      </c>
      <c r="F75" s="598">
        <f t="shared" si="2"/>
        <v>-217</v>
      </c>
      <c r="G75" s="599">
        <f t="shared" si="3"/>
        <v>-4.8008849557522124</v>
      </c>
      <c r="H75" s="986">
        <f>D75*100000/I73</f>
        <v>474.45203160955344</v>
      </c>
      <c r="I75" s="1875"/>
    </row>
    <row r="76" spans="1:14" ht="13.5" customHeight="1" thickBot="1">
      <c r="A76" s="1870"/>
      <c r="B76" s="1215"/>
      <c r="C76" s="1012" t="s">
        <v>877</v>
      </c>
      <c r="D76" s="1216">
        <v>119</v>
      </c>
      <c r="E76" s="1216">
        <v>146</v>
      </c>
      <c r="F76" s="1217">
        <f t="shared" si="2"/>
        <v>-27</v>
      </c>
      <c r="G76" s="603">
        <f t="shared" si="3"/>
        <v>-18.493150684931507</v>
      </c>
      <c r="H76" s="1218">
        <f>D76*100000/I73</f>
        <v>13.121029923666478</v>
      </c>
      <c r="I76" s="1876"/>
      <c r="J76" s="987"/>
      <c r="K76" s="564"/>
      <c r="L76" s="564"/>
      <c r="M76" s="564"/>
      <c r="N76" s="564"/>
    </row>
    <row r="77" spans="1:14" ht="14.25" customHeight="1">
      <c r="A77" s="1543" t="s">
        <v>896</v>
      </c>
      <c r="B77" s="1859" t="s">
        <v>800</v>
      </c>
      <c r="C77" s="1880"/>
      <c r="D77" s="762">
        <v>5001</v>
      </c>
      <c r="E77" s="762">
        <v>5446</v>
      </c>
      <c r="F77" s="1231">
        <f t="shared" si="2"/>
        <v>-445</v>
      </c>
      <c r="G77" s="1229">
        <f t="shared" si="3"/>
        <v>-8.1711347778185832</v>
      </c>
      <c r="H77" s="1232">
        <f>D77*100000/I77</f>
        <v>301.38416145175444</v>
      </c>
      <c r="I77" s="1881">
        <v>1659344</v>
      </c>
    </row>
    <row r="78" spans="1:14" ht="14.25" customHeight="1">
      <c r="A78" s="1870"/>
      <c r="B78" s="1860" t="s">
        <v>875</v>
      </c>
      <c r="C78" s="1620"/>
      <c r="D78" s="589">
        <v>21</v>
      </c>
      <c r="E78" s="589">
        <v>15</v>
      </c>
      <c r="F78" s="598">
        <f t="shared" si="2"/>
        <v>6</v>
      </c>
      <c r="G78" s="599">
        <f t="shared" si="3"/>
        <v>40</v>
      </c>
      <c r="H78" s="986">
        <f>D78*100000/I77</f>
        <v>1.2655603660241637</v>
      </c>
      <c r="I78" s="1874"/>
    </row>
    <row r="79" spans="1:14" ht="14.25" customHeight="1">
      <c r="A79" s="1870"/>
      <c r="B79" s="1877" t="s">
        <v>876</v>
      </c>
      <c r="C79" s="1878"/>
      <c r="D79" s="592">
        <v>5964</v>
      </c>
      <c r="E79" s="592">
        <v>6683</v>
      </c>
      <c r="F79" s="604">
        <f t="shared" si="2"/>
        <v>-719</v>
      </c>
      <c r="G79" s="605">
        <f t="shared" si="3"/>
        <v>-10.758641328744575</v>
      </c>
      <c r="H79" s="989">
        <f>D79*100000/I77</f>
        <v>359.41914395086252</v>
      </c>
      <c r="I79" s="1875"/>
    </row>
    <row r="80" spans="1:14" ht="13.5" customHeight="1" thickBot="1">
      <c r="A80" s="1879"/>
      <c r="B80" s="610"/>
      <c r="C80" s="611" t="s">
        <v>877</v>
      </c>
      <c r="D80" s="594">
        <v>174</v>
      </c>
      <c r="E80" s="594">
        <v>202</v>
      </c>
      <c r="F80" s="606">
        <f t="shared" si="2"/>
        <v>-28</v>
      </c>
      <c r="G80" s="607">
        <f t="shared" si="3"/>
        <v>-13.861386138613863</v>
      </c>
      <c r="H80" s="984">
        <f>D80*100000/I77</f>
        <v>10.486071604200214</v>
      </c>
      <c r="I80" s="1882"/>
      <c r="J80" s="987"/>
      <c r="K80" s="564"/>
      <c r="L80" s="564"/>
      <c r="M80" s="564"/>
      <c r="N80" s="564"/>
    </row>
    <row r="81" spans="1:11" ht="14.25" customHeight="1">
      <c r="A81" s="1544" t="s">
        <v>897</v>
      </c>
      <c r="B81" s="1871" t="s">
        <v>800</v>
      </c>
      <c r="C81" s="1872"/>
      <c r="D81" s="592">
        <v>1471</v>
      </c>
      <c r="E81" s="592">
        <v>1491</v>
      </c>
      <c r="F81" s="604">
        <f t="shared" si="2"/>
        <v>-20</v>
      </c>
      <c r="G81" s="605">
        <f t="shared" si="3"/>
        <v>-1.3413816230717639</v>
      </c>
      <c r="H81" s="1222">
        <f>D81*100000/I81</f>
        <v>199.445998402805</v>
      </c>
      <c r="I81" s="1873">
        <v>737543</v>
      </c>
    </row>
    <row r="82" spans="1:11" ht="14.25" customHeight="1">
      <c r="A82" s="1870"/>
      <c r="B82" s="1860" t="s">
        <v>875</v>
      </c>
      <c r="C82" s="1620"/>
      <c r="D82" s="589">
        <v>10</v>
      </c>
      <c r="E82" s="589">
        <v>18</v>
      </c>
      <c r="F82" s="598">
        <f t="shared" si="2"/>
        <v>-8</v>
      </c>
      <c r="G82" s="599">
        <f t="shared" si="3"/>
        <v>-44.444444444444443</v>
      </c>
      <c r="H82" s="986">
        <f>D82*100000/I81</f>
        <v>1.3558531502570019</v>
      </c>
      <c r="I82" s="1874"/>
    </row>
    <row r="83" spans="1:11" ht="14.25" customHeight="1">
      <c r="A83" s="1870"/>
      <c r="B83" s="1877" t="s">
        <v>876</v>
      </c>
      <c r="C83" s="1878"/>
      <c r="D83" s="593">
        <v>1716</v>
      </c>
      <c r="E83" s="593">
        <v>1746</v>
      </c>
      <c r="F83" s="609">
        <f t="shared" si="2"/>
        <v>-30</v>
      </c>
      <c r="G83" s="597">
        <f t="shared" si="3"/>
        <v>-1.7182130584192441</v>
      </c>
      <c r="H83" s="985">
        <f>D83*100000/I81</f>
        <v>232.66440058410154</v>
      </c>
      <c r="I83" s="1875"/>
    </row>
    <row r="84" spans="1:11" ht="15" customHeight="1" thickBot="1">
      <c r="A84" s="1879"/>
      <c r="B84" s="610"/>
      <c r="C84" s="611" t="s">
        <v>877</v>
      </c>
      <c r="D84" s="594">
        <v>214</v>
      </c>
      <c r="E84" s="594">
        <v>210</v>
      </c>
      <c r="F84" s="606">
        <f t="shared" si="2"/>
        <v>4</v>
      </c>
      <c r="G84" s="607">
        <f t="shared" si="3"/>
        <v>1.9047619047619049</v>
      </c>
      <c r="H84" s="984">
        <f>D84*100000/I81</f>
        <v>29.015257415499843</v>
      </c>
      <c r="I84" s="1883"/>
    </row>
    <row r="85" spans="1:11" ht="18.75" customHeight="1">
      <c r="A85" s="1869"/>
      <c r="B85" s="1869"/>
      <c r="C85" s="1869"/>
      <c r="D85" s="1869"/>
      <c r="E85" s="1869"/>
      <c r="F85" s="1869"/>
      <c r="G85" s="1869"/>
      <c r="H85" s="1869"/>
      <c r="I85" s="1869"/>
      <c r="K85" s="687"/>
    </row>
    <row r="87" spans="1:11">
      <c r="C87" s="500"/>
    </row>
    <row r="88" spans="1:11">
      <c r="C88" s="500"/>
    </row>
  </sheetData>
  <mergeCells count="103">
    <mergeCell ref="A3:A4"/>
    <mergeCell ref="F3:G3"/>
    <mergeCell ref="A5:A8"/>
    <mergeCell ref="B5:C5"/>
    <mergeCell ref="I5:I8"/>
    <mergeCell ref="B6:C6"/>
    <mergeCell ref="B7:C7"/>
    <mergeCell ref="A9:A12"/>
    <mergeCell ref="B9:C9"/>
    <mergeCell ref="I9:I12"/>
    <mergeCell ref="B10:C10"/>
    <mergeCell ref="B11:C11"/>
    <mergeCell ref="A13:A15"/>
    <mergeCell ref="B13:C13"/>
    <mergeCell ref="B14:C14"/>
    <mergeCell ref="B15:C15"/>
    <mergeCell ref="A17:A20"/>
    <mergeCell ref="B17:C17"/>
    <mergeCell ref="I17:I20"/>
    <mergeCell ref="B18:C18"/>
    <mergeCell ref="B19:C19"/>
    <mergeCell ref="I13:I16"/>
    <mergeCell ref="A21:A24"/>
    <mergeCell ref="B21:C21"/>
    <mergeCell ref="I21:I24"/>
    <mergeCell ref="B22:C22"/>
    <mergeCell ref="B23:C23"/>
    <mergeCell ref="A25:A28"/>
    <mergeCell ref="B25:C25"/>
    <mergeCell ref="I25:I28"/>
    <mergeCell ref="B26:C26"/>
    <mergeCell ref="B27:C27"/>
    <mergeCell ref="A29:A32"/>
    <mergeCell ref="B29:C29"/>
    <mergeCell ref="I29:I32"/>
    <mergeCell ref="B30:C30"/>
    <mergeCell ref="B31:C31"/>
    <mergeCell ref="A33:A36"/>
    <mergeCell ref="B33:C33"/>
    <mergeCell ref="I33:I36"/>
    <mergeCell ref="B34:C34"/>
    <mergeCell ref="B35:C35"/>
    <mergeCell ref="A37:A40"/>
    <mergeCell ref="B37:C37"/>
    <mergeCell ref="I37:I40"/>
    <mergeCell ref="B38:C38"/>
    <mergeCell ref="B39:C39"/>
    <mergeCell ref="A41:A44"/>
    <mergeCell ref="B41:C41"/>
    <mergeCell ref="I41:I44"/>
    <mergeCell ref="B42:C42"/>
    <mergeCell ref="B43:C43"/>
    <mergeCell ref="A45:A48"/>
    <mergeCell ref="B45:C45"/>
    <mergeCell ref="I45:I48"/>
    <mergeCell ref="B46:C46"/>
    <mergeCell ref="B47:C47"/>
    <mergeCell ref="A49:A52"/>
    <mergeCell ref="B49:C49"/>
    <mergeCell ref="I49:I52"/>
    <mergeCell ref="B50:C50"/>
    <mergeCell ref="B51:C51"/>
    <mergeCell ref="A53:A56"/>
    <mergeCell ref="B53:C53"/>
    <mergeCell ref="I53:I56"/>
    <mergeCell ref="B54:C54"/>
    <mergeCell ref="B55:C55"/>
    <mergeCell ref="A57:A60"/>
    <mergeCell ref="B57:C57"/>
    <mergeCell ref="I57:I60"/>
    <mergeCell ref="B58:C58"/>
    <mergeCell ref="B59:C59"/>
    <mergeCell ref="A61:A64"/>
    <mergeCell ref="B61:C61"/>
    <mergeCell ref="I61:I64"/>
    <mergeCell ref="B62:C62"/>
    <mergeCell ref="B63:C63"/>
    <mergeCell ref="A65:A68"/>
    <mergeCell ref="B65:C65"/>
    <mergeCell ref="I65:I68"/>
    <mergeCell ref="B66:C66"/>
    <mergeCell ref="B67:C67"/>
    <mergeCell ref="A69:A72"/>
    <mergeCell ref="B69:C69"/>
    <mergeCell ref="I69:I72"/>
    <mergeCell ref="B70:C70"/>
    <mergeCell ref="B71:C71"/>
    <mergeCell ref="A81:A84"/>
    <mergeCell ref="B81:C81"/>
    <mergeCell ref="I81:I84"/>
    <mergeCell ref="B82:C82"/>
    <mergeCell ref="B83:C83"/>
    <mergeCell ref="A85:I85"/>
    <mergeCell ref="A73:A76"/>
    <mergeCell ref="B73:C73"/>
    <mergeCell ref="I73:I76"/>
    <mergeCell ref="B74:C74"/>
    <mergeCell ref="B75:C75"/>
    <mergeCell ref="A77:A80"/>
    <mergeCell ref="B77:C77"/>
    <mergeCell ref="I77:I80"/>
    <mergeCell ref="B78:C78"/>
    <mergeCell ref="B79:C79"/>
  </mergeCells>
  <phoneticPr fontId="4"/>
  <printOptions horizontalCentered="1"/>
  <pageMargins left="0.78740157480314965" right="0.39370078740157483" top="0.98425196850393704" bottom="0.98425196850393704" header="0.31496062992125984" footer="0.51181102362204722"/>
  <pageSetup paperSize="9" scale="60" orientation="portrait" r:id="rId1"/>
  <headerFooter scaleWithDoc="0" alignWithMargins="0">
    <oddFooter>&amp;C- &amp;P -</oddFooter>
  </headerFooter>
  <rowBreaks count="1" manualBreakCount="1">
    <brk id="64" max="8"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30C64-E031-4FEB-B039-629CCCC74E4B}">
  <sheetPr>
    <pageSetUpPr fitToPage="1"/>
  </sheetPr>
  <dimension ref="A1:AD39"/>
  <sheetViews>
    <sheetView view="pageBreakPreview" topLeftCell="A30" zoomScale="80" zoomScaleNormal="100" zoomScaleSheetLayoutView="80" workbookViewId="0">
      <selection activeCell="S43" sqref="S43"/>
    </sheetView>
  </sheetViews>
  <sheetFormatPr defaultColWidth="9" defaultRowHeight="13.8"/>
  <cols>
    <col min="1" max="1" width="2.88671875" style="497" customWidth="1"/>
    <col min="2" max="3" width="1.44140625" style="497" customWidth="1"/>
    <col min="4" max="4" width="9" style="497"/>
    <col min="5" max="16" width="6.6640625" style="497" customWidth="1"/>
    <col min="17" max="17" width="7.6640625" style="497" customWidth="1"/>
    <col min="18" max="16384" width="9" style="497"/>
  </cols>
  <sheetData>
    <row r="1" spans="1:30" s="674" customFormat="1" ht="21.75" customHeight="1">
      <c r="A1" s="673" t="s">
        <v>571</v>
      </c>
    </row>
    <row r="3" spans="1:30" ht="15">
      <c r="A3" s="650" t="s">
        <v>143</v>
      </c>
      <c r="B3" s="650"/>
      <c r="C3" s="650"/>
      <c r="D3" s="650"/>
      <c r="E3" s="650"/>
      <c r="F3" s="650"/>
      <c r="G3" s="650"/>
      <c r="H3" s="650"/>
      <c r="I3" s="650"/>
      <c r="J3" s="650"/>
      <c r="K3" s="650"/>
      <c r="L3" s="650"/>
      <c r="M3" s="650"/>
      <c r="N3" s="650"/>
      <c r="O3" s="650"/>
      <c r="P3" s="650"/>
      <c r="Q3" s="650"/>
    </row>
    <row r="4" spans="1:30">
      <c r="R4" s="675"/>
      <c r="S4" s="675"/>
      <c r="T4" s="675"/>
      <c r="U4" s="675"/>
      <c r="V4" s="675"/>
      <c r="W4" s="675"/>
      <c r="X4" s="675"/>
      <c r="Y4" s="675"/>
      <c r="Z4" s="675"/>
      <c r="AA4" s="675"/>
      <c r="AB4" s="675"/>
      <c r="AC4" s="675"/>
      <c r="AD4" s="675"/>
    </row>
    <row r="5" spans="1:30" ht="14.4" thickBot="1">
      <c r="A5" s="497" t="s">
        <v>144</v>
      </c>
      <c r="L5" s="1385" t="s">
        <v>145</v>
      </c>
      <c r="M5" s="1385"/>
      <c r="N5" s="1385"/>
      <c r="O5" s="1385"/>
      <c r="P5" s="1385"/>
      <c r="Q5" s="1385"/>
      <c r="R5" s="675"/>
      <c r="S5" s="675"/>
      <c r="T5" s="675"/>
      <c r="U5" s="675"/>
      <c r="V5" s="675"/>
      <c r="W5" s="675"/>
      <c r="X5" s="675"/>
      <c r="Y5" s="675"/>
      <c r="Z5" s="675"/>
      <c r="AA5" s="675"/>
      <c r="AB5" s="675"/>
      <c r="AC5" s="675"/>
      <c r="AD5" s="675"/>
    </row>
    <row r="6" spans="1:30">
      <c r="A6" s="676"/>
      <c r="B6" s="677"/>
      <c r="C6" s="677"/>
      <c r="D6" s="678" t="s">
        <v>146</v>
      </c>
      <c r="E6" s="1386">
        <v>1</v>
      </c>
      <c r="F6" s="1387">
        <v>2</v>
      </c>
      <c r="G6" s="1387">
        <v>3</v>
      </c>
      <c r="H6" s="1387">
        <v>4</v>
      </c>
      <c r="I6" s="1387">
        <v>5</v>
      </c>
      <c r="J6" s="1387">
        <v>6</v>
      </c>
      <c r="K6" s="1387">
        <v>7</v>
      </c>
      <c r="L6" s="1387">
        <v>8</v>
      </c>
      <c r="M6" s="1387">
        <v>9</v>
      </c>
      <c r="N6" s="1387">
        <v>10</v>
      </c>
      <c r="O6" s="1387">
        <v>11</v>
      </c>
      <c r="P6" s="1389">
        <v>12</v>
      </c>
      <c r="Q6" s="1390" t="s">
        <v>147</v>
      </c>
    </row>
    <row r="7" spans="1:30" ht="14.4" thickBot="1">
      <c r="A7" s="679" t="s">
        <v>148</v>
      </c>
      <c r="B7" s="680"/>
      <c r="C7" s="680"/>
      <c r="D7" s="680"/>
      <c r="E7" s="1313"/>
      <c r="F7" s="1388"/>
      <c r="G7" s="1388"/>
      <c r="H7" s="1388"/>
      <c r="I7" s="1388"/>
      <c r="J7" s="1388"/>
      <c r="K7" s="1388"/>
      <c r="L7" s="1388"/>
      <c r="M7" s="1388"/>
      <c r="N7" s="1388"/>
      <c r="O7" s="1388"/>
      <c r="P7" s="1304"/>
      <c r="Q7" s="1391"/>
    </row>
    <row r="8" spans="1:30" ht="24" customHeight="1">
      <c r="A8" s="1369" t="s">
        <v>149</v>
      </c>
      <c r="B8" s="1381" t="s">
        <v>150</v>
      </c>
      <c r="C8" s="1382"/>
      <c r="D8" s="1383"/>
      <c r="E8" s="485">
        <v>644</v>
      </c>
      <c r="F8" s="486">
        <v>593</v>
      </c>
      <c r="G8" s="486">
        <v>653</v>
      </c>
      <c r="H8" s="486">
        <v>628</v>
      </c>
      <c r="I8" s="486">
        <v>599</v>
      </c>
      <c r="J8" s="486">
        <v>654</v>
      </c>
      <c r="K8" s="486">
        <v>704</v>
      </c>
      <c r="L8" s="486">
        <v>619</v>
      </c>
      <c r="M8" s="486">
        <v>639</v>
      </c>
      <c r="N8" s="486">
        <v>686</v>
      </c>
      <c r="O8" s="486">
        <v>613</v>
      </c>
      <c r="P8" s="487">
        <v>817</v>
      </c>
      <c r="Q8" s="264">
        <f t="shared" ref="Q8:Q31" si="0">SUM(E8:P8)</f>
        <v>7849</v>
      </c>
      <c r="S8" s="664"/>
    </row>
    <row r="9" spans="1:30" ht="24" customHeight="1">
      <c r="A9" s="1370"/>
      <c r="B9" s="1365" t="s">
        <v>151</v>
      </c>
      <c r="C9" s="1375"/>
      <c r="D9" s="1376"/>
      <c r="E9" s="1014">
        <v>2</v>
      </c>
      <c r="F9" s="1015">
        <v>3</v>
      </c>
      <c r="G9" s="1015">
        <v>3</v>
      </c>
      <c r="H9" s="1015">
        <v>4</v>
      </c>
      <c r="I9" s="1015">
        <v>3</v>
      </c>
      <c r="J9" s="1015">
        <v>2</v>
      </c>
      <c r="K9" s="1015">
        <v>2</v>
      </c>
      <c r="L9" s="1015">
        <v>2</v>
      </c>
      <c r="M9" s="1015">
        <v>2</v>
      </c>
      <c r="N9" s="1015">
        <v>7</v>
      </c>
      <c r="O9" s="1015">
        <v>8</v>
      </c>
      <c r="P9" s="1016">
        <v>5</v>
      </c>
      <c r="Q9" s="265">
        <f t="shared" si="0"/>
        <v>43</v>
      </c>
      <c r="S9" s="664"/>
    </row>
    <row r="10" spans="1:30" ht="24" customHeight="1">
      <c r="A10" s="1370"/>
      <c r="B10" s="681"/>
      <c r="C10" s="1377" t="s">
        <v>503</v>
      </c>
      <c r="D10" s="1368"/>
      <c r="E10" s="1017">
        <v>0</v>
      </c>
      <c r="F10" s="1015">
        <v>0</v>
      </c>
      <c r="G10" s="1015">
        <v>0</v>
      </c>
      <c r="H10" s="1015">
        <v>0</v>
      </c>
      <c r="I10" s="1015">
        <v>0</v>
      </c>
      <c r="J10" s="1015">
        <v>0</v>
      </c>
      <c r="K10" s="1015">
        <v>0</v>
      </c>
      <c r="L10" s="1015">
        <v>0</v>
      </c>
      <c r="M10" s="1015">
        <v>0</v>
      </c>
      <c r="N10" s="1015">
        <v>1</v>
      </c>
      <c r="O10" s="1015">
        <v>0</v>
      </c>
      <c r="P10" s="1015">
        <v>0</v>
      </c>
      <c r="Q10" s="266">
        <f t="shared" si="0"/>
        <v>1</v>
      </c>
      <c r="S10" s="664"/>
    </row>
    <row r="11" spans="1:30" ht="24" customHeight="1">
      <c r="A11" s="1370"/>
      <c r="B11" s="682"/>
      <c r="C11" s="1378" t="s">
        <v>152</v>
      </c>
      <c r="D11" s="1379"/>
      <c r="E11" s="1017">
        <v>1</v>
      </c>
      <c r="F11" s="1015">
        <v>0</v>
      </c>
      <c r="G11" s="1015">
        <v>3</v>
      </c>
      <c r="H11" s="1015">
        <v>0</v>
      </c>
      <c r="I11" s="1015">
        <v>2</v>
      </c>
      <c r="J11" s="1015">
        <v>0</v>
      </c>
      <c r="K11" s="1015">
        <v>1</v>
      </c>
      <c r="L11" s="1015">
        <v>1</v>
      </c>
      <c r="M11" s="1015">
        <v>1</v>
      </c>
      <c r="N11" s="1015">
        <v>2</v>
      </c>
      <c r="O11" s="1015">
        <v>3</v>
      </c>
      <c r="P11" s="1018">
        <v>0</v>
      </c>
      <c r="Q11" s="267">
        <f t="shared" si="0"/>
        <v>14</v>
      </c>
    </row>
    <row r="12" spans="1:30" ht="24" customHeight="1">
      <c r="A12" s="1370"/>
      <c r="B12" s="1365" t="s">
        <v>153</v>
      </c>
      <c r="C12" s="1375"/>
      <c r="D12" s="1376"/>
      <c r="E12" s="1014">
        <v>714</v>
      </c>
      <c r="F12" s="1015">
        <v>691</v>
      </c>
      <c r="G12" s="1015">
        <v>749</v>
      </c>
      <c r="H12" s="1015">
        <v>703</v>
      </c>
      <c r="I12" s="1015">
        <v>688</v>
      </c>
      <c r="J12" s="1015">
        <v>763</v>
      </c>
      <c r="K12" s="1015">
        <v>802</v>
      </c>
      <c r="L12" s="1015">
        <v>695</v>
      </c>
      <c r="M12" s="1015">
        <v>729</v>
      </c>
      <c r="N12" s="1015">
        <v>776</v>
      </c>
      <c r="O12" s="1015">
        <v>680</v>
      </c>
      <c r="P12" s="1016">
        <v>926</v>
      </c>
      <c r="Q12" s="266">
        <f t="shared" si="0"/>
        <v>8916</v>
      </c>
    </row>
    <row r="13" spans="1:30" ht="24" customHeight="1">
      <c r="A13" s="1370"/>
      <c r="B13" s="681"/>
      <c r="C13" s="1377" t="s">
        <v>503</v>
      </c>
      <c r="D13" s="1368"/>
      <c r="E13" s="1017">
        <v>24</v>
      </c>
      <c r="F13" s="1015">
        <v>30</v>
      </c>
      <c r="G13" s="1015">
        <v>39</v>
      </c>
      <c r="H13" s="1015">
        <v>31</v>
      </c>
      <c r="I13" s="1015">
        <v>22</v>
      </c>
      <c r="J13" s="1015">
        <v>32</v>
      </c>
      <c r="K13" s="1015">
        <v>42</v>
      </c>
      <c r="L13" s="1015">
        <v>30</v>
      </c>
      <c r="M13" s="1015">
        <v>25</v>
      </c>
      <c r="N13" s="1015">
        <v>28</v>
      </c>
      <c r="O13" s="1015">
        <v>28</v>
      </c>
      <c r="P13" s="1018">
        <v>35</v>
      </c>
      <c r="Q13" s="265">
        <f t="shared" si="0"/>
        <v>366</v>
      </c>
    </row>
    <row r="14" spans="1:30" ht="24" customHeight="1">
      <c r="A14" s="1370"/>
      <c r="B14" s="681"/>
      <c r="C14" s="1378" t="s">
        <v>152</v>
      </c>
      <c r="D14" s="1379"/>
      <c r="E14" s="1017">
        <v>96</v>
      </c>
      <c r="F14" s="1015">
        <v>99</v>
      </c>
      <c r="G14" s="1015">
        <v>85</v>
      </c>
      <c r="H14" s="1015">
        <v>107</v>
      </c>
      <c r="I14" s="1015">
        <v>87</v>
      </c>
      <c r="J14" s="1015">
        <v>90</v>
      </c>
      <c r="K14" s="1015">
        <v>83</v>
      </c>
      <c r="L14" s="1015">
        <v>98</v>
      </c>
      <c r="M14" s="1015">
        <v>81</v>
      </c>
      <c r="N14" s="1015">
        <v>100</v>
      </c>
      <c r="O14" s="1015">
        <v>71</v>
      </c>
      <c r="P14" s="1018">
        <v>125</v>
      </c>
      <c r="Q14" s="265">
        <f>SUM(E14:P14)</f>
        <v>1122</v>
      </c>
    </row>
    <row r="15" spans="1:30" ht="24" customHeight="1">
      <c r="A15" s="1370"/>
      <c r="B15" s="683"/>
      <c r="C15" s="1365" t="s">
        <v>154</v>
      </c>
      <c r="D15" s="1366"/>
      <c r="E15" s="1017">
        <v>61</v>
      </c>
      <c r="F15" s="1015">
        <v>57</v>
      </c>
      <c r="G15" s="1015">
        <v>70</v>
      </c>
      <c r="H15" s="1015">
        <v>83</v>
      </c>
      <c r="I15" s="1015">
        <v>68</v>
      </c>
      <c r="J15" s="1015">
        <v>88</v>
      </c>
      <c r="K15" s="1015">
        <v>97</v>
      </c>
      <c r="L15" s="1015">
        <v>72</v>
      </c>
      <c r="M15" s="1015">
        <v>82</v>
      </c>
      <c r="N15" s="1015">
        <v>84</v>
      </c>
      <c r="O15" s="1015">
        <v>68</v>
      </c>
      <c r="P15" s="1018">
        <v>107</v>
      </c>
      <c r="Q15" s="265">
        <f>SUM(E15:P15)</f>
        <v>937</v>
      </c>
    </row>
    <row r="16" spans="1:30" ht="24" customHeight="1">
      <c r="A16" s="1370"/>
      <c r="B16" s="683"/>
      <c r="C16" s="683"/>
      <c r="D16" s="684" t="s">
        <v>503</v>
      </c>
      <c r="E16" s="1019">
        <v>2</v>
      </c>
      <c r="F16" s="1020">
        <v>2</v>
      </c>
      <c r="G16" s="1020">
        <v>2</v>
      </c>
      <c r="H16" s="1020">
        <v>2</v>
      </c>
      <c r="I16" s="1020">
        <v>2</v>
      </c>
      <c r="J16" s="1020">
        <v>4</v>
      </c>
      <c r="K16" s="1020">
        <v>3</v>
      </c>
      <c r="L16" s="1020" t="s">
        <v>570</v>
      </c>
      <c r="M16" s="1020">
        <v>3</v>
      </c>
      <c r="N16" s="1020">
        <v>2</v>
      </c>
      <c r="O16" s="1020">
        <v>1</v>
      </c>
      <c r="P16" s="1021">
        <v>4</v>
      </c>
      <c r="Q16" s="266">
        <f>SUM(E16:P16)</f>
        <v>27</v>
      </c>
    </row>
    <row r="17" spans="1:17" ht="24" customHeight="1" thickBot="1">
      <c r="A17" s="1371"/>
      <c r="B17" s="683"/>
      <c r="C17" s="685"/>
      <c r="D17" s="686" t="s">
        <v>152</v>
      </c>
      <c r="E17" s="1022">
        <v>16</v>
      </c>
      <c r="F17" s="1023">
        <v>13</v>
      </c>
      <c r="G17" s="1023">
        <v>19</v>
      </c>
      <c r="H17" s="1023">
        <v>26</v>
      </c>
      <c r="I17" s="1023">
        <v>21</v>
      </c>
      <c r="J17" s="1023">
        <v>25</v>
      </c>
      <c r="K17" s="1023">
        <v>22</v>
      </c>
      <c r="L17" s="1023">
        <v>24</v>
      </c>
      <c r="M17" s="1023">
        <v>18</v>
      </c>
      <c r="N17" s="1023">
        <v>27</v>
      </c>
      <c r="O17" s="1023">
        <v>19</v>
      </c>
      <c r="P17" s="1024">
        <v>40</v>
      </c>
      <c r="Q17" s="268">
        <f>SUM(E17:P17)</f>
        <v>270</v>
      </c>
    </row>
    <row r="18" spans="1:17" ht="24" customHeight="1">
      <c r="A18" s="1369" t="s">
        <v>155</v>
      </c>
      <c r="B18" s="1381" t="s">
        <v>150</v>
      </c>
      <c r="C18" s="1382"/>
      <c r="D18" s="1383"/>
      <c r="E18" s="1025">
        <v>1270</v>
      </c>
      <c r="F18" s="1026">
        <v>1191</v>
      </c>
      <c r="G18" s="1026">
        <v>1438</v>
      </c>
      <c r="H18" s="1026">
        <v>1259</v>
      </c>
      <c r="I18" s="1026">
        <v>1240</v>
      </c>
      <c r="J18" s="1026">
        <v>1408</v>
      </c>
      <c r="K18" s="1026">
        <v>1426</v>
      </c>
      <c r="L18" s="1026">
        <v>1245</v>
      </c>
      <c r="M18" s="1026">
        <v>1370</v>
      </c>
      <c r="N18" s="1026">
        <v>1487</v>
      </c>
      <c r="O18" s="1026">
        <v>1383</v>
      </c>
      <c r="P18" s="1027">
        <v>1781</v>
      </c>
      <c r="Q18" s="264">
        <f t="shared" si="0"/>
        <v>16498</v>
      </c>
    </row>
    <row r="19" spans="1:17" ht="24" customHeight="1">
      <c r="A19" s="1370"/>
      <c r="B19" s="1365" t="s">
        <v>151</v>
      </c>
      <c r="C19" s="1375"/>
      <c r="D19" s="1376"/>
      <c r="E19" s="1028">
        <v>7</v>
      </c>
      <c r="F19" s="1029">
        <v>6</v>
      </c>
      <c r="G19" s="1029">
        <v>5</v>
      </c>
      <c r="H19" s="1029">
        <v>6</v>
      </c>
      <c r="I19" s="1029">
        <v>9</v>
      </c>
      <c r="J19" s="1029">
        <v>6</v>
      </c>
      <c r="K19" s="1029">
        <v>8</v>
      </c>
      <c r="L19" s="1029">
        <v>5</v>
      </c>
      <c r="M19" s="1029">
        <v>7</v>
      </c>
      <c r="N19" s="1029">
        <v>3</v>
      </c>
      <c r="O19" s="1029">
        <v>8</v>
      </c>
      <c r="P19" s="1030">
        <v>3</v>
      </c>
      <c r="Q19" s="265">
        <f t="shared" si="0"/>
        <v>73</v>
      </c>
    </row>
    <row r="20" spans="1:17" ht="24" customHeight="1">
      <c r="A20" s="1370"/>
      <c r="B20" s="681"/>
      <c r="C20" s="1384" t="s">
        <v>503</v>
      </c>
      <c r="D20" s="1379"/>
      <c r="E20" s="1028">
        <v>0</v>
      </c>
      <c r="F20" s="1029">
        <v>0</v>
      </c>
      <c r="G20" s="1029">
        <v>0</v>
      </c>
      <c r="H20" s="1029">
        <v>0</v>
      </c>
      <c r="I20" s="1029">
        <v>0</v>
      </c>
      <c r="J20" s="1029">
        <v>0</v>
      </c>
      <c r="K20" s="1029">
        <v>0</v>
      </c>
      <c r="L20" s="1029">
        <v>0</v>
      </c>
      <c r="M20" s="1029">
        <v>0</v>
      </c>
      <c r="N20" s="1029">
        <v>0</v>
      </c>
      <c r="O20" s="1029">
        <v>2</v>
      </c>
      <c r="P20" s="1030">
        <v>0</v>
      </c>
      <c r="Q20" s="266">
        <f t="shared" si="0"/>
        <v>2</v>
      </c>
    </row>
    <row r="21" spans="1:17" ht="24" customHeight="1">
      <c r="A21" s="1370"/>
      <c r="B21" s="682"/>
      <c r="C21" s="1378" t="s">
        <v>152</v>
      </c>
      <c r="D21" s="1379"/>
      <c r="E21" s="1028">
        <v>2</v>
      </c>
      <c r="F21" s="1029">
        <v>2</v>
      </c>
      <c r="G21" s="1029">
        <v>4</v>
      </c>
      <c r="H21" s="1029">
        <v>3</v>
      </c>
      <c r="I21" s="1029">
        <v>6</v>
      </c>
      <c r="J21" s="1029">
        <v>2</v>
      </c>
      <c r="K21" s="1029">
        <v>3</v>
      </c>
      <c r="L21" s="1029">
        <v>4</v>
      </c>
      <c r="M21" s="1029">
        <v>1</v>
      </c>
      <c r="N21" s="1029">
        <v>1</v>
      </c>
      <c r="O21" s="1029">
        <v>5</v>
      </c>
      <c r="P21" s="1030">
        <v>1</v>
      </c>
      <c r="Q21" s="265">
        <f t="shared" si="0"/>
        <v>34</v>
      </c>
    </row>
    <row r="22" spans="1:17" ht="24" customHeight="1">
      <c r="A22" s="1370"/>
      <c r="B22" s="1365" t="s">
        <v>153</v>
      </c>
      <c r="C22" s="1375"/>
      <c r="D22" s="1376"/>
      <c r="E22" s="1028">
        <v>1481</v>
      </c>
      <c r="F22" s="1029">
        <v>1374</v>
      </c>
      <c r="G22" s="1029">
        <v>1671</v>
      </c>
      <c r="H22" s="1029">
        <v>1413</v>
      </c>
      <c r="I22" s="1029">
        <v>1402</v>
      </c>
      <c r="J22" s="1029">
        <v>1617</v>
      </c>
      <c r="K22" s="1029">
        <v>1602</v>
      </c>
      <c r="L22" s="1029">
        <v>1416</v>
      </c>
      <c r="M22" s="1029">
        <v>1572</v>
      </c>
      <c r="N22" s="1029">
        <v>1691</v>
      </c>
      <c r="O22" s="1029">
        <v>1574</v>
      </c>
      <c r="P22" s="1030">
        <v>2024</v>
      </c>
      <c r="Q22" s="266">
        <f t="shared" si="0"/>
        <v>18837</v>
      </c>
    </row>
    <row r="23" spans="1:17" ht="24" customHeight="1">
      <c r="A23" s="1370"/>
      <c r="B23" s="681"/>
      <c r="C23" s="1384" t="s">
        <v>503</v>
      </c>
      <c r="D23" s="1379"/>
      <c r="E23" s="1028">
        <v>73</v>
      </c>
      <c r="F23" s="1029">
        <v>84</v>
      </c>
      <c r="G23" s="1029">
        <v>93</v>
      </c>
      <c r="H23" s="1029">
        <v>77</v>
      </c>
      <c r="I23" s="1029">
        <v>118</v>
      </c>
      <c r="J23" s="1029">
        <v>102</v>
      </c>
      <c r="K23" s="1029">
        <v>103</v>
      </c>
      <c r="L23" s="1029">
        <v>92</v>
      </c>
      <c r="M23" s="1029">
        <v>97</v>
      </c>
      <c r="N23" s="1029">
        <v>112</v>
      </c>
      <c r="O23" s="1029">
        <v>100</v>
      </c>
      <c r="P23" s="1030">
        <v>119</v>
      </c>
      <c r="Q23" s="265">
        <f t="shared" si="0"/>
        <v>1170</v>
      </c>
    </row>
    <row r="24" spans="1:17" ht="24" customHeight="1">
      <c r="A24" s="1370"/>
      <c r="B24" s="681"/>
      <c r="C24" s="1365" t="s">
        <v>152</v>
      </c>
      <c r="D24" s="1368"/>
      <c r="E24" s="1028">
        <v>235</v>
      </c>
      <c r="F24" s="1029">
        <v>217</v>
      </c>
      <c r="G24" s="1029">
        <v>253</v>
      </c>
      <c r="H24" s="1029">
        <v>224</v>
      </c>
      <c r="I24" s="1029">
        <v>195</v>
      </c>
      <c r="J24" s="1029">
        <v>214</v>
      </c>
      <c r="K24" s="1029">
        <v>214</v>
      </c>
      <c r="L24" s="1029">
        <v>209</v>
      </c>
      <c r="M24" s="1029">
        <v>208</v>
      </c>
      <c r="N24" s="1029">
        <v>259</v>
      </c>
      <c r="O24" s="1029">
        <v>236</v>
      </c>
      <c r="P24" s="1030">
        <v>326</v>
      </c>
      <c r="Q24" s="269">
        <f t="shared" si="0"/>
        <v>2790</v>
      </c>
    </row>
    <row r="25" spans="1:17" ht="24" customHeight="1">
      <c r="A25" s="1370"/>
      <c r="B25" s="681"/>
      <c r="C25" s="1365" t="s">
        <v>154</v>
      </c>
      <c r="D25" s="1366"/>
      <c r="E25" s="1031">
        <v>167</v>
      </c>
      <c r="F25" s="1032">
        <v>160</v>
      </c>
      <c r="G25" s="1032">
        <v>186</v>
      </c>
      <c r="H25" s="1032">
        <v>162</v>
      </c>
      <c r="I25" s="1032">
        <v>147</v>
      </c>
      <c r="J25" s="1032">
        <v>173</v>
      </c>
      <c r="K25" s="1032">
        <v>159</v>
      </c>
      <c r="L25" s="1032">
        <v>189</v>
      </c>
      <c r="M25" s="1032">
        <v>171</v>
      </c>
      <c r="N25" s="1032">
        <v>183</v>
      </c>
      <c r="O25" s="1032">
        <v>164</v>
      </c>
      <c r="P25" s="1033">
        <v>260</v>
      </c>
      <c r="Q25" s="265">
        <f t="shared" si="0"/>
        <v>2121</v>
      </c>
    </row>
    <row r="26" spans="1:17" ht="24" customHeight="1">
      <c r="A26" s="1370"/>
      <c r="B26" s="683"/>
      <c r="C26" s="688"/>
      <c r="D26" s="684" t="s">
        <v>503</v>
      </c>
      <c r="E26" s="1028">
        <v>4</v>
      </c>
      <c r="F26" s="1029">
        <v>4</v>
      </c>
      <c r="G26" s="1029">
        <v>5</v>
      </c>
      <c r="H26" s="1029">
        <v>3</v>
      </c>
      <c r="I26" s="1029">
        <v>11</v>
      </c>
      <c r="J26" s="1029">
        <v>9</v>
      </c>
      <c r="K26" s="1029">
        <v>8</v>
      </c>
      <c r="L26" s="1029">
        <v>9</v>
      </c>
      <c r="M26" s="1029">
        <v>6</v>
      </c>
      <c r="N26" s="1029">
        <v>8</v>
      </c>
      <c r="O26" s="1029">
        <v>8</v>
      </c>
      <c r="P26" s="1030">
        <v>9</v>
      </c>
      <c r="Q26" s="266">
        <f t="shared" si="0"/>
        <v>84</v>
      </c>
    </row>
    <row r="27" spans="1:17" ht="24" customHeight="1" thickBot="1">
      <c r="A27" s="1371"/>
      <c r="B27" s="685"/>
      <c r="C27" s="685"/>
      <c r="D27" s="686" t="s">
        <v>152</v>
      </c>
      <c r="E27" s="1034">
        <v>63</v>
      </c>
      <c r="F27" s="1035">
        <v>55</v>
      </c>
      <c r="G27" s="1035">
        <v>56</v>
      </c>
      <c r="H27" s="1035">
        <v>54</v>
      </c>
      <c r="I27" s="1035">
        <v>47</v>
      </c>
      <c r="J27" s="1035">
        <v>50</v>
      </c>
      <c r="K27" s="1035">
        <v>43</v>
      </c>
      <c r="L27" s="1035">
        <v>59</v>
      </c>
      <c r="M27" s="1035">
        <v>53</v>
      </c>
      <c r="N27" s="1035">
        <v>59</v>
      </c>
      <c r="O27" s="1035">
        <v>57</v>
      </c>
      <c r="P27" s="1036">
        <v>81</v>
      </c>
      <c r="Q27" s="268">
        <f t="shared" si="0"/>
        <v>677</v>
      </c>
    </row>
    <row r="28" spans="1:17" ht="24" customHeight="1">
      <c r="A28" s="1369" t="s">
        <v>156</v>
      </c>
      <c r="B28" s="1372" t="s">
        <v>150</v>
      </c>
      <c r="C28" s="1373"/>
      <c r="D28" s="1374"/>
      <c r="E28" s="1031">
        <v>1966</v>
      </c>
      <c r="F28" s="1037">
        <v>1828</v>
      </c>
      <c r="G28" s="1037">
        <v>2164</v>
      </c>
      <c r="H28" s="1037">
        <v>1938</v>
      </c>
      <c r="I28" s="1037">
        <v>1882</v>
      </c>
      <c r="J28" s="1037">
        <v>2117</v>
      </c>
      <c r="K28" s="1037">
        <v>2194</v>
      </c>
      <c r="L28" s="1037">
        <v>1930</v>
      </c>
      <c r="M28" s="1037">
        <v>2060</v>
      </c>
      <c r="N28" s="1037">
        <v>2234</v>
      </c>
      <c r="O28" s="1037">
        <v>2056</v>
      </c>
      <c r="P28" s="1038">
        <v>2687</v>
      </c>
      <c r="Q28" s="266">
        <f t="shared" si="0"/>
        <v>25056</v>
      </c>
    </row>
    <row r="29" spans="1:17" ht="24" customHeight="1">
      <c r="A29" s="1370"/>
      <c r="B29" s="1365" t="s">
        <v>151</v>
      </c>
      <c r="C29" s="1375"/>
      <c r="D29" s="1376"/>
      <c r="E29" s="1028">
        <v>9</v>
      </c>
      <c r="F29" s="1039">
        <v>9</v>
      </c>
      <c r="G29" s="1039">
        <v>8</v>
      </c>
      <c r="H29" s="1039">
        <v>12</v>
      </c>
      <c r="I29" s="1039">
        <v>12</v>
      </c>
      <c r="J29" s="1039">
        <v>8</v>
      </c>
      <c r="K29" s="1039">
        <v>10</v>
      </c>
      <c r="L29" s="1039">
        <v>8</v>
      </c>
      <c r="M29" s="1039">
        <v>10</v>
      </c>
      <c r="N29" s="1039">
        <v>10</v>
      </c>
      <c r="O29" s="1039">
        <v>16</v>
      </c>
      <c r="P29" s="1040">
        <v>8</v>
      </c>
      <c r="Q29" s="265">
        <f t="shared" si="0"/>
        <v>120</v>
      </c>
    </row>
    <row r="30" spans="1:17" ht="24" customHeight="1">
      <c r="A30" s="1370"/>
      <c r="B30" s="681"/>
      <c r="C30" s="1377" t="s">
        <v>503</v>
      </c>
      <c r="D30" s="1368"/>
      <c r="E30" s="1028">
        <v>0</v>
      </c>
      <c r="F30" s="1039">
        <v>0</v>
      </c>
      <c r="G30" s="1039">
        <v>0</v>
      </c>
      <c r="H30" s="1039">
        <v>0</v>
      </c>
      <c r="I30" s="1039">
        <v>0</v>
      </c>
      <c r="J30" s="1039">
        <v>0</v>
      </c>
      <c r="K30" s="1039">
        <v>0</v>
      </c>
      <c r="L30" s="1039">
        <v>0</v>
      </c>
      <c r="M30" s="1039">
        <v>0</v>
      </c>
      <c r="N30" s="1039">
        <v>1</v>
      </c>
      <c r="O30" s="1039">
        <v>2</v>
      </c>
      <c r="P30" s="1040">
        <v>0</v>
      </c>
      <c r="Q30" s="266">
        <f t="shared" si="0"/>
        <v>3</v>
      </c>
    </row>
    <row r="31" spans="1:17" ht="24" customHeight="1">
      <c r="A31" s="1370"/>
      <c r="B31" s="682"/>
      <c r="C31" s="1378" t="s">
        <v>152</v>
      </c>
      <c r="D31" s="1379"/>
      <c r="E31" s="1028">
        <v>3</v>
      </c>
      <c r="F31" s="1039">
        <v>2</v>
      </c>
      <c r="G31" s="1039">
        <v>7</v>
      </c>
      <c r="H31" s="1039">
        <v>5</v>
      </c>
      <c r="I31" s="1039">
        <v>8</v>
      </c>
      <c r="J31" s="1039">
        <v>2</v>
      </c>
      <c r="K31" s="1039">
        <v>4</v>
      </c>
      <c r="L31" s="1039">
        <v>5</v>
      </c>
      <c r="M31" s="1039">
        <v>2</v>
      </c>
      <c r="N31" s="1039">
        <v>3</v>
      </c>
      <c r="O31" s="1039">
        <v>8</v>
      </c>
      <c r="P31" s="1040">
        <v>1</v>
      </c>
      <c r="Q31" s="265">
        <f t="shared" si="0"/>
        <v>50</v>
      </c>
    </row>
    <row r="32" spans="1:17" ht="24" customHeight="1">
      <c r="A32" s="1370"/>
      <c r="B32" s="1365" t="s">
        <v>153</v>
      </c>
      <c r="C32" s="1375"/>
      <c r="D32" s="1376"/>
      <c r="E32" s="1028">
        <v>2270</v>
      </c>
      <c r="F32" s="1039">
        <v>2123</v>
      </c>
      <c r="G32" s="1039">
        <v>2536</v>
      </c>
      <c r="H32" s="1039">
        <v>2187</v>
      </c>
      <c r="I32" s="1039">
        <v>2171</v>
      </c>
      <c r="J32" s="1039">
        <v>2458</v>
      </c>
      <c r="K32" s="1039">
        <v>2511</v>
      </c>
      <c r="L32" s="1039">
        <v>2219</v>
      </c>
      <c r="M32" s="1039">
        <v>2372</v>
      </c>
      <c r="N32" s="1039">
        <v>2578</v>
      </c>
      <c r="O32" s="1039">
        <v>2344</v>
      </c>
      <c r="P32" s="1040">
        <v>3096</v>
      </c>
      <c r="Q32" s="266">
        <f t="shared" ref="Q32:Q37" si="1">SUM(E32:P32)</f>
        <v>28865</v>
      </c>
    </row>
    <row r="33" spans="1:17" ht="24" customHeight="1">
      <c r="A33" s="1370"/>
      <c r="B33" s="681"/>
      <c r="C33" s="1377" t="s">
        <v>503</v>
      </c>
      <c r="D33" s="1368"/>
      <c r="E33" s="1028">
        <v>100</v>
      </c>
      <c r="F33" s="1039">
        <v>115</v>
      </c>
      <c r="G33" s="1039">
        <v>136</v>
      </c>
      <c r="H33" s="1039">
        <v>109</v>
      </c>
      <c r="I33" s="1039">
        <v>145</v>
      </c>
      <c r="J33" s="1039">
        <v>134</v>
      </c>
      <c r="K33" s="1039">
        <v>147</v>
      </c>
      <c r="L33" s="1039">
        <v>125</v>
      </c>
      <c r="M33" s="1039">
        <v>122</v>
      </c>
      <c r="N33" s="1039">
        <v>141</v>
      </c>
      <c r="O33" s="1039">
        <v>137</v>
      </c>
      <c r="P33" s="1040">
        <v>163</v>
      </c>
      <c r="Q33" s="265">
        <f t="shared" si="1"/>
        <v>1574</v>
      </c>
    </row>
    <row r="34" spans="1:17" ht="24" customHeight="1">
      <c r="A34" s="1370"/>
      <c r="B34" s="681"/>
      <c r="C34" s="1365" t="s">
        <v>152</v>
      </c>
      <c r="D34" s="1368"/>
      <c r="E34" s="1041">
        <v>343</v>
      </c>
      <c r="F34" s="1042">
        <v>318</v>
      </c>
      <c r="G34" s="1042">
        <v>343</v>
      </c>
      <c r="H34" s="1042">
        <v>337</v>
      </c>
      <c r="I34" s="1042">
        <v>287</v>
      </c>
      <c r="J34" s="1042">
        <v>308</v>
      </c>
      <c r="K34" s="1042">
        <v>303</v>
      </c>
      <c r="L34" s="1042">
        <v>311</v>
      </c>
      <c r="M34" s="1042">
        <v>295</v>
      </c>
      <c r="N34" s="1042">
        <v>370</v>
      </c>
      <c r="O34" s="1042">
        <v>312</v>
      </c>
      <c r="P34" s="1043">
        <v>458</v>
      </c>
      <c r="Q34" s="266">
        <f t="shared" si="1"/>
        <v>3985</v>
      </c>
    </row>
    <row r="35" spans="1:17" ht="24" customHeight="1">
      <c r="A35" s="1370"/>
      <c r="B35" s="681"/>
      <c r="C35" s="1365" t="s">
        <v>154</v>
      </c>
      <c r="D35" s="1366"/>
      <c r="E35" s="1028">
        <v>229</v>
      </c>
      <c r="F35" s="1039">
        <v>220</v>
      </c>
      <c r="G35" s="1039">
        <v>261</v>
      </c>
      <c r="H35" s="1039">
        <v>252</v>
      </c>
      <c r="I35" s="1039">
        <v>216</v>
      </c>
      <c r="J35" s="1039">
        <v>264</v>
      </c>
      <c r="K35" s="1039">
        <v>261</v>
      </c>
      <c r="L35" s="1039">
        <v>263</v>
      </c>
      <c r="M35" s="1039">
        <v>256</v>
      </c>
      <c r="N35" s="1039">
        <v>273</v>
      </c>
      <c r="O35" s="1039">
        <v>233</v>
      </c>
      <c r="P35" s="1040">
        <v>372</v>
      </c>
      <c r="Q35" s="265">
        <f t="shared" si="1"/>
        <v>3100</v>
      </c>
    </row>
    <row r="36" spans="1:17" ht="24" customHeight="1">
      <c r="A36" s="1370"/>
      <c r="B36" s="683"/>
      <c r="C36" s="683"/>
      <c r="D36" s="684" t="s">
        <v>503</v>
      </c>
      <c r="E36" s="1044">
        <v>6</v>
      </c>
      <c r="F36" s="1045">
        <v>6</v>
      </c>
      <c r="G36" s="1045">
        <v>8</v>
      </c>
      <c r="H36" s="1045">
        <v>5</v>
      </c>
      <c r="I36" s="1045">
        <v>13</v>
      </c>
      <c r="J36" s="1045">
        <v>13</v>
      </c>
      <c r="K36" s="1045">
        <v>11</v>
      </c>
      <c r="L36" s="1045">
        <v>9</v>
      </c>
      <c r="M36" s="1045">
        <v>9</v>
      </c>
      <c r="N36" s="1045">
        <v>10</v>
      </c>
      <c r="O36" s="1045">
        <v>9</v>
      </c>
      <c r="P36" s="1046">
        <v>13</v>
      </c>
      <c r="Q36" s="266">
        <f t="shared" si="1"/>
        <v>112</v>
      </c>
    </row>
    <row r="37" spans="1:17" ht="24" customHeight="1" thickBot="1">
      <c r="A37" s="1371"/>
      <c r="B37" s="685"/>
      <c r="C37" s="685"/>
      <c r="D37" s="686" t="s">
        <v>152</v>
      </c>
      <c r="E37" s="1034">
        <v>79</v>
      </c>
      <c r="F37" s="1047">
        <v>68</v>
      </c>
      <c r="G37" s="1047">
        <v>76</v>
      </c>
      <c r="H37" s="1047">
        <v>81</v>
      </c>
      <c r="I37" s="1047">
        <v>68</v>
      </c>
      <c r="J37" s="1047">
        <v>76</v>
      </c>
      <c r="K37" s="1047">
        <v>65</v>
      </c>
      <c r="L37" s="1047">
        <v>83</v>
      </c>
      <c r="M37" s="1047">
        <v>71</v>
      </c>
      <c r="N37" s="1047">
        <v>87</v>
      </c>
      <c r="O37" s="1047">
        <v>76</v>
      </c>
      <c r="P37" s="1048">
        <v>121</v>
      </c>
      <c r="Q37" s="268">
        <f t="shared" si="1"/>
        <v>951</v>
      </c>
    </row>
    <row r="38" spans="1:17" s="779" customFormat="1" ht="20.399999999999999" customHeight="1">
      <c r="A38" s="1892" t="s">
        <v>904</v>
      </c>
      <c r="B38" s="1892"/>
      <c r="C38" s="1892"/>
      <c r="D38" s="1892"/>
      <c r="E38" s="1892"/>
      <c r="F38" s="1892"/>
      <c r="G38" s="1892"/>
      <c r="H38" s="1892"/>
      <c r="I38" s="1892"/>
      <c r="J38" s="1892"/>
      <c r="K38" s="1892"/>
      <c r="L38" s="1892"/>
      <c r="M38" s="1892"/>
      <c r="N38" s="1892"/>
      <c r="O38" s="1892"/>
      <c r="P38" s="1892"/>
      <c r="Q38" s="1892"/>
    </row>
    <row r="39" spans="1:17" s="779" customFormat="1" ht="16.2">
      <c r="A39" s="1893" t="s">
        <v>905</v>
      </c>
      <c r="B39" s="1893"/>
      <c r="C39" s="1893"/>
      <c r="D39" s="1893"/>
      <c r="E39" s="1893"/>
      <c r="F39" s="1893"/>
      <c r="G39" s="1893"/>
      <c r="H39" s="1893"/>
      <c r="I39" s="1893"/>
      <c r="J39" s="1893"/>
      <c r="K39" s="1893"/>
      <c r="L39" s="1893"/>
      <c r="M39" s="1893"/>
      <c r="N39" s="1893"/>
      <c r="O39" s="1893"/>
      <c r="P39" s="1893"/>
      <c r="Q39" s="1893"/>
    </row>
  </sheetData>
  <mergeCells count="43">
    <mergeCell ref="A38:Q38"/>
    <mergeCell ref="A39:Q39"/>
    <mergeCell ref="L5:Q5"/>
    <mergeCell ref="E6:E7"/>
    <mergeCell ref="F6:F7"/>
    <mergeCell ref="G6:G7"/>
    <mergeCell ref="H6:H7"/>
    <mergeCell ref="I6:I7"/>
    <mergeCell ref="J6:J7"/>
    <mergeCell ref="K6:K7"/>
    <mergeCell ref="L6:L7"/>
    <mergeCell ref="M6:M7"/>
    <mergeCell ref="N6:N7"/>
    <mergeCell ref="O6:O7"/>
    <mergeCell ref="P6:P7"/>
    <mergeCell ref="Q6:Q7"/>
    <mergeCell ref="A8:A17"/>
    <mergeCell ref="B8:D8"/>
    <mergeCell ref="B9:D9"/>
    <mergeCell ref="C10:D10"/>
    <mergeCell ref="C11:D11"/>
    <mergeCell ref="B12:D12"/>
    <mergeCell ref="C13:D13"/>
    <mergeCell ref="C14:D14"/>
    <mergeCell ref="C15:D15"/>
    <mergeCell ref="B19:D19"/>
    <mergeCell ref="C20:D20"/>
    <mergeCell ref="C21:D21"/>
    <mergeCell ref="B22:D22"/>
    <mergeCell ref="C23:D23"/>
    <mergeCell ref="C35:D35"/>
    <mergeCell ref="C24:D24"/>
    <mergeCell ref="C25:D25"/>
    <mergeCell ref="A28:A37"/>
    <mergeCell ref="B28:D28"/>
    <mergeCell ref="B29:D29"/>
    <mergeCell ref="C30:D30"/>
    <mergeCell ref="C31:D31"/>
    <mergeCell ref="B32:D32"/>
    <mergeCell ref="C33:D33"/>
    <mergeCell ref="C34:D34"/>
    <mergeCell ref="A18:A27"/>
    <mergeCell ref="B18:D18"/>
  </mergeCells>
  <phoneticPr fontId="4"/>
  <printOptions horizontalCentered="1"/>
  <pageMargins left="0.78740157480314965" right="0.39370078740157483" top="0.98425196850393704" bottom="0.98425196850393704" header="0.31496062992125984" footer="0.51181102362204722"/>
  <pageSetup paperSize="9" scale="87" firstPageNumber="0" orientation="portrait" r:id="rId1"/>
  <headerFooter scaleWithDoc="0" alignWithMargins="0">
    <oddFooter>&amp;C- &amp;P -</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9B1BF-4913-40E6-A155-4C3F8F60CC83}">
  <sheetPr>
    <pageSetUpPr fitToPage="1"/>
  </sheetPr>
  <dimension ref="A1:U46"/>
  <sheetViews>
    <sheetView view="pageBreakPreview" topLeftCell="A26" zoomScaleNormal="100" zoomScaleSheetLayoutView="100" workbookViewId="0">
      <selection activeCell="A46" sqref="A46:XFD46"/>
    </sheetView>
  </sheetViews>
  <sheetFormatPr defaultColWidth="9" defaultRowHeight="13.8"/>
  <cols>
    <col min="1" max="1" width="1.21875" style="500" customWidth="1"/>
    <col min="2" max="2" width="9.109375" style="500" customWidth="1"/>
    <col min="3" max="15" width="7.109375" style="500" customWidth="1"/>
    <col min="16" max="17" width="9" style="500"/>
    <col min="18" max="18" width="9.44140625" style="500" customWidth="1"/>
    <col min="19" max="16384" width="9" style="500"/>
  </cols>
  <sheetData>
    <row r="1" spans="1:21" ht="18.75" customHeight="1">
      <c r="A1" s="595" t="s">
        <v>157</v>
      </c>
      <c r="B1" s="595"/>
    </row>
    <row r="2" spans="1:21" ht="13.5" customHeight="1"/>
    <row r="3" spans="1:21" ht="14.4" thickBot="1">
      <c r="A3" s="500" t="s">
        <v>158</v>
      </c>
      <c r="K3" s="1260" t="s">
        <v>159</v>
      </c>
      <c r="L3" s="1260"/>
      <c r="M3" s="1260"/>
      <c r="N3" s="1260"/>
      <c r="O3" s="1260"/>
    </row>
    <row r="4" spans="1:21">
      <c r="A4" s="1420" t="s">
        <v>160</v>
      </c>
      <c r="B4" s="1421"/>
      <c r="C4" s="1422" t="s">
        <v>161</v>
      </c>
      <c r="D4" s="1424" t="s">
        <v>162</v>
      </c>
      <c r="E4" s="1424" t="s">
        <v>163</v>
      </c>
      <c r="F4" s="1424" t="s">
        <v>164</v>
      </c>
      <c r="G4" s="1424" t="s">
        <v>165</v>
      </c>
      <c r="H4" s="1424" t="s">
        <v>166</v>
      </c>
      <c r="I4" s="1424" t="s">
        <v>167</v>
      </c>
      <c r="J4" s="1424" t="s">
        <v>168</v>
      </c>
      <c r="K4" s="1426" t="s">
        <v>169</v>
      </c>
      <c r="L4" s="1424" t="s">
        <v>170</v>
      </c>
      <c r="M4" s="1426" t="s">
        <v>171</v>
      </c>
      <c r="N4" s="1424" t="s">
        <v>172</v>
      </c>
      <c r="O4" s="1428" t="s">
        <v>173</v>
      </c>
    </row>
    <row r="5" spans="1:21" ht="20.100000000000001" customHeight="1" thickBot="1">
      <c r="A5" s="796" t="s">
        <v>174</v>
      </c>
      <c r="B5" s="553"/>
      <c r="C5" s="1423"/>
      <c r="D5" s="1425"/>
      <c r="E5" s="1425"/>
      <c r="F5" s="1425"/>
      <c r="G5" s="1425"/>
      <c r="H5" s="1425"/>
      <c r="I5" s="1425"/>
      <c r="J5" s="1425"/>
      <c r="K5" s="1427"/>
      <c r="L5" s="1425"/>
      <c r="M5" s="1427"/>
      <c r="N5" s="1425"/>
      <c r="O5" s="1429"/>
      <c r="Q5" s="1069"/>
      <c r="R5" s="612" t="s">
        <v>572</v>
      </c>
      <c r="S5" s="612" t="s">
        <v>573</v>
      </c>
      <c r="T5" s="612" t="s">
        <v>574</v>
      </c>
      <c r="U5" s="612" t="s">
        <v>575</v>
      </c>
    </row>
    <row r="6" spans="1:21" ht="24" customHeight="1">
      <c r="A6" s="1413" t="s">
        <v>175</v>
      </c>
      <c r="B6" s="1414"/>
      <c r="C6" s="1049">
        <v>854</v>
      </c>
      <c r="D6" s="1050">
        <v>156</v>
      </c>
      <c r="E6" s="1050">
        <v>222</v>
      </c>
      <c r="F6" s="1050">
        <v>115</v>
      </c>
      <c r="G6" s="1050">
        <v>804</v>
      </c>
      <c r="H6" s="1050">
        <v>292</v>
      </c>
      <c r="I6" s="1050">
        <v>169</v>
      </c>
      <c r="J6" s="1050">
        <v>161</v>
      </c>
      <c r="K6" s="1050">
        <v>283</v>
      </c>
      <c r="L6" s="1050">
        <v>318</v>
      </c>
      <c r="M6" s="1050">
        <v>219</v>
      </c>
      <c r="N6" s="1050">
        <v>477</v>
      </c>
      <c r="O6" s="1051">
        <v>461</v>
      </c>
      <c r="Q6" s="612" t="s">
        <v>576</v>
      </c>
      <c r="R6" s="490">
        <f>C10</f>
        <v>148029</v>
      </c>
      <c r="S6" s="490">
        <f>C6</f>
        <v>854</v>
      </c>
      <c r="T6" s="490">
        <f>C7</f>
        <v>1</v>
      </c>
      <c r="U6" s="490">
        <f>C8</f>
        <v>1006</v>
      </c>
    </row>
    <row r="7" spans="1:21" ht="24" customHeight="1">
      <c r="A7" s="1404" t="s">
        <v>176</v>
      </c>
      <c r="B7" s="1395"/>
      <c r="C7" s="1052">
        <v>1</v>
      </c>
      <c r="D7" s="1053">
        <v>0</v>
      </c>
      <c r="E7" s="1053">
        <v>3</v>
      </c>
      <c r="F7" s="1053">
        <v>2</v>
      </c>
      <c r="G7" s="1053">
        <v>2</v>
      </c>
      <c r="H7" s="1053">
        <v>4</v>
      </c>
      <c r="I7" s="1053">
        <v>0</v>
      </c>
      <c r="J7" s="1053">
        <v>0</v>
      </c>
      <c r="K7" s="1053">
        <v>0</v>
      </c>
      <c r="L7" s="1053">
        <v>1</v>
      </c>
      <c r="M7" s="1053">
        <v>3</v>
      </c>
      <c r="N7" s="1053">
        <v>7</v>
      </c>
      <c r="O7" s="1054">
        <v>2</v>
      </c>
      <c r="Q7" s="612" t="s">
        <v>577</v>
      </c>
      <c r="R7" s="490">
        <f>D10</f>
        <v>109409</v>
      </c>
      <c r="S7" s="490">
        <f>D6</f>
        <v>156</v>
      </c>
      <c r="T7" s="490">
        <f>D7</f>
        <v>0</v>
      </c>
      <c r="U7" s="490">
        <f>D8</f>
        <v>176</v>
      </c>
    </row>
    <row r="8" spans="1:21" ht="24" customHeight="1">
      <c r="A8" s="1394" t="s">
        <v>177</v>
      </c>
      <c r="B8" s="1395"/>
      <c r="C8" s="1055">
        <v>1006</v>
      </c>
      <c r="D8" s="1056">
        <v>176</v>
      </c>
      <c r="E8" s="1056">
        <v>248</v>
      </c>
      <c r="F8" s="1056">
        <v>133</v>
      </c>
      <c r="G8" s="1056">
        <v>897</v>
      </c>
      <c r="H8" s="1056">
        <v>313</v>
      </c>
      <c r="I8" s="1056">
        <v>204</v>
      </c>
      <c r="J8" s="1056">
        <v>180</v>
      </c>
      <c r="K8" s="1056">
        <v>324</v>
      </c>
      <c r="L8" s="1056">
        <v>365</v>
      </c>
      <c r="M8" s="1056">
        <v>242</v>
      </c>
      <c r="N8" s="1056">
        <v>526</v>
      </c>
      <c r="O8" s="1057">
        <v>528</v>
      </c>
      <c r="Q8" s="612" t="s">
        <v>578</v>
      </c>
      <c r="R8" s="490">
        <f>E10</f>
        <v>83410</v>
      </c>
      <c r="S8" s="490">
        <f>E6</f>
        <v>222</v>
      </c>
      <c r="T8" s="490">
        <f>E7</f>
        <v>3</v>
      </c>
      <c r="U8" s="490">
        <f>E8</f>
        <v>248</v>
      </c>
    </row>
    <row r="9" spans="1:21" ht="29.25" customHeight="1" thickBot="1">
      <c r="A9" s="519"/>
      <c r="B9" s="689" t="s">
        <v>579</v>
      </c>
      <c r="C9" s="1058">
        <v>83</v>
      </c>
      <c r="D9" s="316">
        <v>30</v>
      </c>
      <c r="E9" s="316">
        <v>23</v>
      </c>
      <c r="F9" s="316">
        <v>14</v>
      </c>
      <c r="G9" s="316">
        <v>80</v>
      </c>
      <c r="H9" s="316">
        <v>38</v>
      </c>
      <c r="I9" s="316">
        <v>28</v>
      </c>
      <c r="J9" s="316">
        <v>23</v>
      </c>
      <c r="K9" s="316">
        <v>18</v>
      </c>
      <c r="L9" s="316">
        <v>37</v>
      </c>
      <c r="M9" s="316">
        <v>23</v>
      </c>
      <c r="N9" s="316">
        <v>72</v>
      </c>
      <c r="O9" s="1059">
        <v>69</v>
      </c>
      <c r="Q9" s="612" t="s">
        <v>580</v>
      </c>
      <c r="R9" s="490">
        <f>F10</f>
        <v>63354</v>
      </c>
      <c r="S9" s="490">
        <f>F6</f>
        <v>115</v>
      </c>
      <c r="T9" s="490">
        <f>F7</f>
        <v>2</v>
      </c>
      <c r="U9" s="490">
        <f>F8</f>
        <v>133</v>
      </c>
    </row>
    <row r="10" spans="1:21" ht="24" customHeight="1" thickBot="1">
      <c r="A10" s="1400" t="s">
        <v>178</v>
      </c>
      <c r="B10" s="1401"/>
      <c r="C10" s="1060">
        <v>148029</v>
      </c>
      <c r="D10" s="1061">
        <v>109409</v>
      </c>
      <c r="E10" s="1061">
        <v>83410</v>
      </c>
      <c r="F10" s="1061">
        <v>63354</v>
      </c>
      <c r="G10" s="1061">
        <v>117575</v>
      </c>
      <c r="H10" s="1061">
        <v>113740</v>
      </c>
      <c r="I10" s="1061">
        <v>80421</v>
      </c>
      <c r="J10" s="1061">
        <v>59565</v>
      </c>
      <c r="K10" s="1061">
        <v>87662</v>
      </c>
      <c r="L10" s="1061">
        <v>84800</v>
      </c>
      <c r="M10" s="1061">
        <v>96540</v>
      </c>
      <c r="N10" s="1061">
        <v>187682</v>
      </c>
      <c r="O10" s="1062">
        <v>176447</v>
      </c>
      <c r="Q10" s="612" t="s">
        <v>581</v>
      </c>
      <c r="R10" s="490">
        <f>G10</f>
        <v>117575</v>
      </c>
      <c r="S10" s="490">
        <f>G6</f>
        <v>804</v>
      </c>
      <c r="T10" s="490">
        <f>G7</f>
        <v>2</v>
      </c>
      <c r="U10" s="490">
        <f>G8</f>
        <v>897</v>
      </c>
    </row>
    <row r="11" spans="1:21" ht="20.100000000000001" customHeight="1" thickBot="1">
      <c r="C11" s="690"/>
      <c r="D11" s="690"/>
      <c r="E11" s="690"/>
      <c r="F11" s="690"/>
      <c r="G11" s="690"/>
      <c r="H11" s="690"/>
      <c r="I11" s="690"/>
      <c r="J11" s="690"/>
      <c r="K11" s="690"/>
      <c r="L11" s="690"/>
      <c r="M11" s="690"/>
      <c r="N11" s="690"/>
      <c r="O11" s="690"/>
      <c r="Q11" s="612" t="s">
        <v>582</v>
      </c>
      <c r="R11" s="490">
        <f>H10</f>
        <v>113740</v>
      </c>
      <c r="S11" s="490">
        <f>H6</f>
        <v>292</v>
      </c>
      <c r="T11" s="490">
        <f>H7</f>
        <v>4</v>
      </c>
      <c r="U11" s="490">
        <f>H8</f>
        <v>313</v>
      </c>
    </row>
    <row r="12" spans="1:21" ht="20.100000000000001" customHeight="1">
      <c r="A12" s="1417" t="s">
        <v>160</v>
      </c>
      <c r="B12" s="1318"/>
      <c r="C12" s="1418" t="s">
        <v>179</v>
      </c>
      <c r="D12" s="1407" t="s">
        <v>180</v>
      </c>
      <c r="E12" s="1407" t="s">
        <v>181</v>
      </c>
      <c r="F12" s="1407" t="s">
        <v>182</v>
      </c>
      <c r="G12" s="1407" t="s">
        <v>183</v>
      </c>
      <c r="H12" s="1405" t="s">
        <v>184</v>
      </c>
      <c r="I12" s="1405" t="s">
        <v>185</v>
      </c>
      <c r="J12" s="1407" t="s">
        <v>186</v>
      </c>
      <c r="K12" s="1405" t="s">
        <v>187</v>
      </c>
      <c r="L12" s="1407" t="s">
        <v>188</v>
      </c>
      <c r="M12" s="1407" t="s">
        <v>189</v>
      </c>
      <c r="N12" s="1409" t="s">
        <v>190</v>
      </c>
      <c r="O12" s="1410"/>
      <c r="Q12" s="612" t="s">
        <v>583</v>
      </c>
      <c r="R12" s="490">
        <f>I10</f>
        <v>80421</v>
      </c>
      <c r="S12" s="490">
        <f>I6</f>
        <v>169</v>
      </c>
      <c r="T12" s="490">
        <f>I7</f>
        <v>0</v>
      </c>
      <c r="U12" s="490">
        <f>I8</f>
        <v>204</v>
      </c>
    </row>
    <row r="13" spans="1:21" ht="20.100000000000001" customHeight="1" thickBot="1">
      <c r="A13" s="553" t="s">
        <v>174</v>
      </c>
      <c r="B13" s="553"/>
      <c r="C13" s="1419"/>
      <c r="D13" s="1408"/>
      <c r="E13" s="1408"/>
      <c r="F13" s="1408"/>
      <c r="G13" s="1408"/>
      <c r="H13" s="1406"/>
      <c r="I13" s="1406"/>
      <c r="J13" s="1408"/>
      <c r="K13" s="1406"/>
      <c r="L13" s="1408"/>
      <c r="M13" s="1408"/>
      <c r="N13" s="1411"/>
      <c r="O13" s="1412"/>
      <c r="Q13" s="1063" t="s">
        <v>584</v>
      </c>
      <c r="R13" s="490">
        <f>J10</f>
        <v>59565</v>
      </c>
      <c r="S13" s="490">
        <f>J6</f>
        <v>161</v>
      </c>
      <c r="T13" s="490">
        <f>J7</f>
        <v>0</v>
      </c>
      <c r="U13" s="490">
        <f>J8</f>
        <v>180</v>
      </c>
    </row>
    <row r="14" spans="1:21" ht="24" customHeight="1">
      <c r="A14" s="1413" t="s">
        <v>175</v>
      </c>
      <c r="B14" s="1414"/>
      <c r="C14" s="1049">
        <v>255</v>
      </c>
      <c r="D14" s="1050">
        <v>296</v>
      </c>
      <c r="E14" s="1050">
        <v>169</v>
      </c>
      <c r="F14" s="1050">
        <v>355</v>
      </c>
      <c r="G14" s="1050">
        <v>280</v>
      </c>
      <c r="H14" s="1050">
        <v>369</v>
      </c>
      <c r="I14" s="1050">
        <v>260</v>
      </c>
      <c r="J14" s="1050">
        <v>344</v>
      </c>
      <c r="K14" s="1050">
        <v>283</v>
      </c>
      <c r="L14" s="1050">
        <v>413</v>
      </c>
      <c r="M14" s="1050">
        <v>294</v>
      </c>
      <c r="N14" s="1415">
        <f>SUM(C6:O6)+SUM(C14:M14)</f>
        <v>7849</v>
      </c>
      <c r="O14" s="1416"/>
      <c r="Q14" s="612" t="s">
        <v>585</v>
      </c>
      <c r="R14" s="490">
        <f>K10</f>
        <v>87662</v>
      </c>
      <c r="S14" s="490">
        <f>K6</f>
        <v>283</v>
      </c>
      <c r="T14" s="490">
        <f>K7</f>
        <v>0</v>
      </c>
      <c r="U14" s="490">
        <f>K8</f>
        <v>324</v>
      </c>
    </row>
    <row r="15" spans="1:21" ht="24" customHeight="1">
      <c r="A15" s="1404" t="s">
        <v>176</v>
      </c>
      <c r="B15" s="1395"/>
      <c r="C15" s="1052">
        <v>1</v>
      </c>
      <c r="D15" s="1053">
        <v>2</v>
      </c>
      <c r="E15" s="1053">
        <v>1</v>
      </c>
      <c r="F15" s="1053">
        <v>1</v>
      </c>
      <c r="G15" s="1053">
        <v>1</v>
      </c>
      <c r="H15" s="1053">
        <v>1</v>
      </c>
      <c r="I15" s="1053">
        <v>5</v>
      </c>
      <c r="J15" s="1053">
        <v>0</v>
      </c>
      <c r="K15" s="1053">
        <v>3</v>
      </c>
      <c r="L15" s="1053">
        <v>3</v>
      </c>
      <c r="M15" s="1053">
        <v>0</v>
      </c>
      <c r="N15" s="1392">
        <f>SUM(C7:O7)+SUM(C15:M15)</f>
        <v>43</v>
      </c>
      <c r="O15" s="1393"/>
      <c r="P15" s="690"/>
      <c r="Q15" s="612" t="s">
        <v>586</v>
      </c>
      <c r="R15" s="490">
        <f>L10</f>
        <v>84800</v>
      </c>
      <c r="S15" s="490">
        <f>L6</f>
        <v>318</v>
      </c>
      <c r="T15" s="490">
        <f>L7</f>
        <v>1</v>
      </c>
      <c r="U15" s="490">
        <f>L8</f>
        <v>365</v>
      </c>
    </row>
    <row r="16" spans="1:21" ht="24" customHeight="1">
      <c r="A16" s="1394" t="s">
        <v>177</v>
      </c>
      <c r="B16" s="1395"/>
      <c r="C16" s="1064">
        <v>306</v>
      </c>
      <c r="D16" s="1056">
        <v>334</v>
      </c>
      <c r="E16" s="1056">
        <v>179</v>
      </c>
      <c r="F16" s="1056">
        <v>390</v>
      </c>
      <c r="G16" s="1056">
        <v>315</v>
      </c>
      <c r="H16" s="1056">
        <v>411</v>
      </c>
      <c r="I16" s="1056">
        <v>295</v>
      </c>
      <c r="J16" s="1056">
        <v>397</v>
      </c>
      <c r="K16" s="1056">
        <v>338</v>
      </c>
      <c r="L16" s="1056">
        <v>471</v>
      </c>
      <c r="M16" s="1056">
        <v>338</v>
      </c>
      <c r="N16" s="1396">
        <f>SUM(C8:O8)+SUM(C16:M16)</f>
        <v>8916</v>
      </c>
      <c r="O16" s="1397"/>
      <c r="Q16" s="612" t="s">
        <v>587</v>
      </c>
      <c r="R16" s="490">
        <f>M10</f>
        <v>96540</v>
      </c>
      <c r="S16" s="490">
        <f>M6</f>
        <v>219</v>
      </c>
      <c r="T16" s="490">
        <f>M7</f>
        <v>3</v>
      </c>
      <c r="U16" s="490">
        <f>M8</f>
        <v>242</v>
      </c>
    </row>
    <row r="17" spans="1:21" ht="30" customHeight="1" thickBot="1">
      <c r="A17" s="519"/>
      <c r="B17" s="689" t="s">
        <v>579</v>
      </c>
      <c r="C17" s="1065">
        <v>23</v>
      </c>
      <c r="D17" s="316">
        <v>51</v>
      </c>
      <c r="E17" s="316">
        <v>11</v>
      </c>
      <c r="F17" s="316">
        <v>47</v>
      </c>
      <c r="G17" s="316">
        <v>23</v>
      </c>
      <c r="H17" s="316">
        <v>42</v>
      </c>
      <c r="I17" s="316">
        <v>33</v>
      </c>
      <c r="J17" s="316">
        <v>48</v>
      </c>
      <c r="K17" s="316">
        <v>44</v>
      </c>
      <c r="L17" s="316">
        <v>57</v>
      </c>
      <c r="M17" s="1066">
        <v>20</v>
      </c>
      <c r="N17" s="1398">
        <f>SUM(C9:O9)+SUM(C17:M17)</f>
        <v>937</v>
      </c>
      <c r="O17" s="1399"/>
      <c r="Q17" s="612" t="s">
        <v>588</v>
      </c>
      <c r="R17" s="490">
        <f>N10</f>
        <v>187682</v>
      </c>
      <c r="S17" s="490">
        <f>N6</f>
        <v>477</v>
      </c>
      <c r="T17" s="490">
        <f>N7</f>
        <v>7</v>
      </c>
      <c r="U17" s="490">
        <f>N8</f>
        <v>526</v>
      </c>
    </row>
    <row r="18" spans="1:21" ht="24" customHeight="1" thickBot="1">
      <c r="A18" s="1400" t="s">
        <v>178</v>
      </c>
      <c r="B18" s="1401"/>
      <c r="C18" s="1067">
        <v>87575</v>
      </c>
      <c r="D18" s="1061">
        <v>127563</v>
      </c>
      <c r="E18" s="1061">
        <v>90080</v>
      </c>
      <c r="F18" s="1061">
        <v>168294</v>
      </c>
      <c r="G18" s="1061">
        <v>111155</v>
      </c>
      <c r="H18" s="1061">
        <v>112677</v>
      </c>
      <c r="I18" s="1061">
        <v>116730</v>
      </c>
      <c r="J18" s="1061">
        <v>152487</v>
      </c>
      <c r="K18" s="1061">
        <v>129226</v>
      </c>
      <c r="L18" s="1061">
        <v>185220</v>
      </c>
      <c r="M18" s="1068">
        <v>105829</v>
      </c>
      <c r="N18" s="1402">
        <f>SUM(C10:O10)+SUM(C18:M18)</f>
        <v>2795470</v>
      </c>
      <c r="O18" s="1403"/>
      <c r="Q18" s="612" t="s">
        <v>589</v>
      </c>
      <c r="R18" s="490">
        <f>O10</f>
        <v>176447</v>
      </c>
      <c r="S18" s="490">
        <f>O6</f>
        <v>461</v>
      </c>
      <c r="T18" s="490">
        <f>O7</f>
        <v>2</v>
      </c>
      <c r="U18" s="490">
        <f>O8</f>
        <v>528</v>
      </c>
    </row>
    <row r="19" spans="1:21" s="1945" customFormat="1" ht="15">
      <c r="A19" s="1946" t="s">
        <v>906</v>
      </c>
      <c r="B19" s="1946"/>
      <c r="H19" s="1956"/>
      <c r="Q19" s="1957" t="s">
        <v>966</v>
      </c>
      <c r="R19" s="1958">
        <f>C18</f>
        <v>87575</v>
      </c>
      <c r="S19" s="1958">
        <f>C14</f>
        <v>255</v>
      </c>
      <c r="T19" s="1958">
        <f>C15</f>
        <v>1</v>
      </c>
      <c r="U19" s="1958">
        <f>C16</f>
        <v>306</v>
      </c>
    </row>
    <row r="20" spans="1:21" s="1945" customFormat="1" ht="15">
      <c r="A20" s="1946" t="s">
        <v>964</v>
      </c>
      <c r="B20" s="1946"/>
      <c r="Q20" s="1957" t="s">
        <v>967</v>
      </c>
      <c r="R20" s="1958">
        <f>D18</f>
        <v>127563</v>
      </c>
      <c r="S20" s="1958">
        <f>D14</f>
        <v>296</v>
      </c>
      <c r="T20" s="1958">
        <f>D15</f>
        <v>2</v>
      </c>
      <c r="U20" s="1958">
        <f>D16</f>
        <v>334</v>
      </c>
    </row>
    <row r="21" spans="1:21">
      <c r="Q21" s="612" t="s">
        <v>592</v>
      </c>
      <c r="R21" s="490">
        <f>E18</f>
        <v>90080</v>
      </c>
      <c r="S21" s="490">
        <f>E14</f>
        <v>169</v>
      </c>
      <c r="T21" s="490">
        <f>E15</f>
        <v>1</v>
      </c>
      <c r="U21" s="490">
        <f>E16</f>
        <v>179</v>
      </c>
    </row>
    <row r="22" spans="1:21">
      <c r="Q22" s="612" t="s">
        <v>593</v>
      </c>
      <c r="R22" s="490">
        <f>F18</f>
        <v>168294</v>
      </c>
      <c r="S22" s="490">
        <f>F14</f>
        <v>355</v>
      </c>
      <c r="T22" s="490">
        <f>F15</f>
        <v>1</v>
      </c>
      <c r="U22" s="490">
        <f>F16</f>
        <v>390</v>
      </c>
    </row>
    <row r="23" spans="1:21">
      <c r="Q23" s="612" t="s">
        <v>594</v>
      </c>
      <c r="R23" s="490">
        <f>G18</f>
        <v>111155</v>
      </c>
      <c r="S23" s="490">
        <f>G14</f>
        <v>280</v>
      </c>
      <c r="T23" s="490">
        <f>G15</f>
        <v>1</v>
      </c>
      <c r="U23" s="490">
        <f>G16</f>
        <v>315</v>
      </c>
    </row>
    <row r="24" spans="1:21">
      <c r="Q24" s="612" t="s">
        <v>595</v>
      </c>
      <c r="R24" s="490">
        <f>H18</f>
        <v>112677</v>
      </c>
      <c r="S24" s="490">
        <f>H14</f>
        <v>369</v>
      </c>
      <c r="T24" s="490">
        <f>H15</f>
        <v>1</v>
      </c>
      <c r="U24" s="490">
        <f>H16</f>
        <v>411</v>
      </c>
    </row>
    <row r="25" spans="1:21">
      <c r="Q25" s="612" t="s">
        <v>596</v>
      </c>
      <c r="R25" s="490">
        <f>I18</f>
        <v>116730</v>
      </c>
      <c r="S25" s="490">
        <f>I14</f>
        <v>260</v>
      </c>
      <c r="T25" s="490">
        <f>I15</f>
        <v>5</v>
      </c>
      <c r="U25" s="490">
        <f>I16</f>
        <v>295</v>
      </c>
    </row>
    <row r="26" spans="1:21">
      <c r="Q26" s="612" t="s">
        <v>597</v>
      </c>
      <c r="R26" s="490">
        <f>J18</f>
        <v>152487</v>
      </c>
      <c r="S26" s="490">
        <f>J14</f>
        <v>344</v>
      </c>
      <c r="T26" s="490">
        <f>J15</f>
        <v>0</v>
      </c>
      <c r="U26" s="490">
        <f>J16</f>
        <v>397</v>
      </c>
    </row>
    <row r="27" spans="1:21">
      <c r="Q27" s="612" t="s">
        <v>598</v>
      </c>
      <c r="R27" s="490">
        <f>K18</f>
        <v>129226</v>
      </c>
      <c r="S27" s="490">
        <f>K14</f>
        <v>283</v>
      </c>
      <c r="T27" s="490">
        <f>K15</f>
        <v>3</v>
      </c>
      <c r="U27" s="490">
        <f>K16</f>
        <v>338</v>
      </c>
    </row>
    <row r="28" spans="1:21">
      <c r="Q28" s="612" t="s">
        <v>599</v>
      </c>
      <c r="R28" s="490">
        <f>L18</f>
        <v>185220</v>
      </c>
      <c r="S28" s="490">
        <f>L14</f>
        <v>413</v>
      </c>
      <c r="T28" s="490">
        <f>L15</f>
        <v>3</v>
      </c>
      <c r="U28" s="490">
        <f>L16</f>
        <v>471</v>
      </c>
    </row>
    <row r="29" spans="1:21">
      <c r="Q29" s="612" t="s">
        <v>600</v>
      </c>
      <c r="R29" s="490">
        <f>M18</f>
        <v>105829</v>
      </c>
      <c r="S29" s="490">
        <f>M14</f>
        <v>294</v>
      </c>
      <c r="T29" s="490">
        <f>M15</f>
        <v>0</v>
      </c>
      <c r="U29" s="490">
        <f>M16</f>
        <v>338</v>
      </c>
    </row>
    <row r="30" spans="1:21">
      <c r="Q30" s="612" t="s">
        <v>601</v>
      </c>
      <c r="R30" s="490">
        <f>SUM(R6:R29)</f>
        <v>2795470</v>
      </c>
      <c r="S30" s="490">
        <f>SUM(S6:S29)</f>
        <v>7849</v>
      </c>
      <c r="T30" s="490">
        <f>SUM(T6:T29)</f>
        <v>43</v>
      </c>
      <c r="U30" s="490">
        <f>SUM(U6:U29)</f>
        <v>8916</v>
      </c>
    </row>
    <row r="46" spans="2:21" s="1945" customFormat="1" ht="15">
      <c r="B46" s="1946" t="s">
        <v>907</v>
      </c>
      <c r="H46" s="1959"/>
      <c r="Q46" s="1960"/>
      <c r="R46" s="1961"/>
      <c r="S46" s="1961"/>
      <c r="T46" s="1961"/>
      <c r="U46" s="1961"/>
    </row>
  </sheetData>
  <mergeCells count="41">
    <mergeCell ref="A6:B6"/>
    <mergeCell ref="K3:O3"/>
    <mergeCell ref="A4:B4"/>
    <mergeCell ref="C4:C5"/>
    <mergeCell ref="D4:D5"/>
    <mergeCell ref="E4:E5"/>
    <mergeCell ref="F4:F5"/>
    <mergeCell ref="G4:G5"/>
    <mergeCell ref="H4:H5"/>
    <mergeCell ref="I4:I5"/>
    <mergeCell ref="J4:J5"/>
    <mergeCell ref="K4:K5"/>
    <mergeCell ref="L4:L5"/>
    <mergeCell ref="M4:M5"/>
    <mergeCell ref="N4:N5"/>
    <mergeCell ref="O4:O5"/>
    <mergeCell ref="A7:B7"/>
    <mergeCell ref="A8:B8"/>
    <mergeCell ref="A10:B10"/>
    <mergeCell ref="A12:B12"/>
    <mergeCell ref="C12:C13"/>
    <mergeCell ref="K12:K13"/>
    <mergeCell ref="L12:L13"/>
    <mergeCell ref="M12:M13"/>
    <mergeCell ref="N12:O13"/>
    <mergeCell ref="A14:B14"/>
    <mergeCell ref="N14:O14"/>
    <mergeCell ref="E12:E13"/>
    <mergeCell ref="F12:F13"/>
    <mergeCell ref="G12:G13"/>
    <mergeCell ref="H12:H13"/>
    <mergeCell ref="I12:I13"/>
    <mergeCell ref="J12:J13"/>
    <mergeCell ref="D12:D13"/>
    <mergeCell ref="N15:O15"/>
    <mergeCell ref="A16:B16"/>
    <mergeCell ref="N16:O16"/>
    <mergeCell ref="N17:O17"/>
    <mergeCell ref="A18:B18"/>
    <mergeCell ref="N18:O18"/>
    <mergeCell ref="A15:B15"/>
  </mergeCells>
  <phoneticPr fontId="4"/>
  <printOptions horizontalCentered="1"/>
  <pageMargins left="0.78740157480314965" right="0.39370078740157483" top="0.98425196850393704" bottom="0.98425196850393704" header="0.31496062992125984" footer="0.51181102362204722"/>
  <pageSetup paperSize="9" scale="88" firstPageNumber="0" orientation="portrait" r:id="rId1"/>
  <headerFooter scaleWithDoc="0" alignWithMargins="0">
    <oddFooter>&amp;C- &amp;P -</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A3E6D-E636-481D-8D8B-4469985306DB}">
  <sheetPr>
    <pageSetUpPr fitToPage="1"/>
  </sheetPr>
  <dimension ref="A1:I22"/>
  <sheetViews>
    <sheetView view="pageBreakPreview" topLeftCell="A11" zoomScaleNormal="100" zoomScaleSheetLayoutView="100" workbookViewId="0">
      <selection activeCell="A13" sqref="A13:XFD13"/>
    </sheetView>
  </sheetViews>
  <sheetFormatPr defaultColWidth="9" defaultRowHeight="13.8"/>
  <cols>
    <col min="1" max="1" width="11.77734375" style="497" customWidth="1"/>
    <col min="2" max="2" width="10.33203125" style="497" customWidth="1"/>
    <col min="3" max="3" width="11" style="497" customWidth="1"/>
    <col min="4" max="4" width="10.88671875" style="497" customWidth="1"/>
    <col min="5" max="5" width="10.77734375" style="497" customWidth="1"/>
    <col min="6" max="6" width="10.33203125" style="497" customWidth="1"/>
    <col min="7" max="9" width="10.77734375" style="497" customWidth="1"/>
    <col min="10" max="10" width="9" style="497"/>
    <col min="11" max="11" width="11" style="497" customWidth="1"/>
    <col min="12" max="16384" width="9" style="497"/>
  </cols>
  <sheetData>
    <row r="1" spans="1:9" ht="15">
      <c r="A1" s="650" t="s">
        <v>192</v>
      </c>
      <c r="B1" s="650"/>
    </row>
    <row r="2" spans="1:9">
      <c r="A2" s="500" t="s">
        <v>193</v>
      </c>
      <c r="B2" s="500"/>
      <c r="C2" s="500"/>
      <c r="D2" s="500"/>
      <c r="E2" s="500"/>
      <c r="F2" s="500"/>
      <c r="G2" s="500"/>
      <c r="H2" s="500"/>
    </row>
    <row r="3" spans="1:9" ht="14.4" thickBot="1"/>
    <row r="4" spans="1:9" ht="5.25" customHeight="1" thickBot="1">
      <c r="A4" s="1430" t="s">
        <v>194</v>
      </c>
      <c r="B4" s="1291" t="s">
        <v>195</v>
      </c>
      <c r="C4" s="1433"/>
      <c r="D4" s="1291" t="s">
        <v>196</v>
      </c>
      <c r="E4" s="1433"/>
      <c r="F4" s="1291" t="s">
        <v>197</v>
      </c>
      <c r="G4" s="1314"/>
      <c r="H4" s="809"/>
      <c r="I4" s="810"/>
    </row>
    <row r="5" spans="1:9" ht="18" customHeight="1">
      <c r="A5" s="1431"/>
      <c r="B5" s="1434"/>
      <c r="C5" s="1317"/>
      <c r="D5" s="1434"/>
      <c r="E5" s="1317"/>
      <c r="F5" s="1434"/>
      <c r="G5" s="1317"/>
      <c r="H5" s="1435" t="s">
        <v>198</v>
      </c>
      <c r="I5" s="1271"/>
    </row>
    <row r="6" spans="1:9" ht="18" customHeight="1" thickBot="1">
      <c r="A6" s="1432"/>
      <c r="B6" s="841" t="s">
        <v>554</v>
      </c>
      <c r="C6" s="225" t="s">
        <v>501</v>
      </c>
      <c r="D6" s="841" t="s">
        <v>554</v>
      </c>
      <c r="E6" s="225" t="s">
        <v>501</v>
      </c>
      <c r="F6" s="841" t="s">
        <v>554</v>
      </c>
      <c r="G6" s="225" t="s">
        <v>501</v>
      </c>
      <c r="H6" s="841" t="s">
        <v>554</v>
      </c>
      <c r="I6" s="225" t="s">
        <v>501</v>
      </c>
    </row>
    <row r="7" spans="1:9" ht="18" customHeight="1">
      <c r="A7" s="1008" t="s">
        <v>199</v>
      </c>
      <c r="B7" s="1070">
        <v>1694</v>
      </c>
      <c r="C7" s="48">
        <v>1651</v>
      </c>
      <c r="D7" s="1071">
        <v>10</v>
      </c>
      <c r="E7" s="226">
        <v>13</v>
      </c>
      <c r="F7" s="227">
        <v>2017</v>
      </c>
      <c r="G7" s="49">
        <v>1944</v>
      </c>
      <c r="H7" s="227">
        <v>185</v>
      </c>
      <c r="I7" s="49">
        <v>164</v>
      </c>
    </row>
    <row r="8" spans="1:9" ht="18" customHeight="1">
      <c r="A8" s="228" t="s">
        <v>200</v>
      </c>
      <c r="B8" s="1072">
        <v>2173</v>
      </c>
      <c r="C8" s="50">
        <v>2168</v>
      </c>
      <c r="D8" s="1073">
        <v>11</v>
      </c>
      <c r="E8" s="321">
        <v>15</v>
      </c>
      <c r="F8" s="51">
        <v>2538</v>
      </c>
      <c r="G8" s="50">
        <v>2529</v>
      </c>
      <c r="H8" s="51">
        <v>240</v>
      </c>
      <c r="I8" s="50">
        <v>234</v>
      </c>
    </row>
    <row r="9" spans="1:9" ht="18" customHeight="1">
      <c r="A9" s="1009" t="s">
        <v>201</v>
      </c>
      <c r="B9" s="1074">
        <v>383</v>
      </c>
      <c r="C9" s="49">
        <v>429</v>
      </c>
      <c r="D9" s="224">
        <v>1</v>
      </c>
      <c r="E9" s="229">
        <v>1</v>
      </c>
      <c r="F9" s="227">
        <v>442</v>
      </c>
      <c r="G9" s="49">
        <v>495</v>
      </c>
      <c r="H9" s="227">
        <v>40</v>
      </c>
      <c r="I9" s="49">
        <v>54</v>
      </c>
    </row>
    <row r="10" spans="1:9" ht="18" customHeight="1">
      <c r="A10" s="228" t="s">
        <v>202</v>
      </c>
      <c r="B10" s="1072">
        <v>449</v>
      </c>
      <c r="C10" s="50">
        <v>367</v>
      </c>
      <c r="D10" s="1073">
        <v>1</v>
      </c>
      <c r="E10" s="321">
        <v>2</v>
      </c>
      <c r="F10" s="51">
        <v>518</v>
      </c>
      <c r="G10" s="50">
        <v>433</v>
      </c>
      <c r="H10" s="51">
        <v>38</v>
      </c>
      <c r="I10" s="50">
        <v>42</v>
      </c>
    </row>
    <row r="11" spans="1:9" ht="18" customHeight="1" thickBot="1">
      <c r="A11" s="230" t="s">
        <v>203</v>
      </c>
      <c r="B11" s="1075">
        <v>3150</v>
      </c>
      <c r="C11" s="52">
        <v>3073</v>
      </c>
      <c r="D11" s="1076">
        <v>20</v>
      </c>
      <c r="E11" s="231">
        <v>12</v>
      </c>
      <c r="F11" s="53">
        <v>3401</v>
      </c>
      <c r="G11" s="52">
        <v>3321</v>
      </c>
      <c r="H11" s="53">
        <v>434</v>
      </c>
      <c r="I11" s="52">
        <v>433</v>
      </c>
    </row>
    <row r="12" spans="1:9" ht="18" customHeight="1" thickBot="1">
      <c r="A12" s="1010" t="s">
        <v>190</v>
      </c>
      <c r="B12" s="232">
        <f t="shared" ref="B12:G12" si="0">SUM(B7:B11)</f>
        <v>7849</v>
      </c>
      <c r="C12" s="233">
        <f>SUM(C7:C11)</f>
        <v>7688</v>
      </c>
      <c r="D12" s="232">
        <f>SUM(D7:D11)</f>
        <v>43</v>
      </c>
      <c r="E12" s="233">
        <f>SUM(E7:E11)</f>
        <v>43</v>
      </c>
      <c r="F12" s="54">
        <f t="shared" si="0"/>
        <v>8916</v>
      </c>
      <c r="G12" s="233">
        <f t="shared" si="0"/>
        <v>8722</v>
      </c>
      <c r="H12" s="54">
        <f>SUM(H7:H11)</f>
        <v>937</v>
      </c>
      <c r="I12" s="233">
        <f>SUM(I7:I11)</f>
        <v>927</v>
      </c>
    </row>
    <row r="13" spans="1:9" s="680" customFormat="1" ht="15">
      <c r="A13" s="1939" t="s">
        <v>907</v>
      </c>
      <c r="H13" s="1956"/>
    </row>
    <row r="14" spans="1:9">
      <c r="I14" s="489"/>
    </row>
    <row r="15" spans="1:9">
      <c r="I15" s="489"/>
    </row>
    <row r="16" spans="1:9">
      <c r="I16" s="489"/>
    </row>
    <row r="17" spans="3:9" ht="13.2" customHeight="1">
      <c r="I17" s="489"/>
    </row>
    <row r="18" spans="3:9">
      <c r="I18" s="489"/>
    </row>
    <row r="19" spans="3:9">
      <c r="C19" s="497" t="s">
        <v>204</v>
      </c>
      <c r="I19" s="489"/>
    </row>
    <row r="20" spans="3:9">
      <c r="I20" s="489"/>
    </row>
    <row r="21" spans="3:9">
      <c r="I21" s="489"/>
    </row>
    <row r="22" spans="3:9">
      <c r="I22" s="489"/>
    </row>
  </sheetData>
  <mergeCells count="5">
    <mergeCell ref="A4:A6"/>
    <mergeCell ref="B4:C5"/>
    <mergeCell ref="D4:E5"/>
    <mergeCell ref="F4:G5"/>
    <mergeCell ref="H5:I5"/>
  </mergeCells>
  <phoneticPr fontId="4"/>
  <printOptions horizontalCentered="1"/>
  <pageMargins left="0.78740157480314965" right="0.39370078740157483" top="0.98425196850393704" bottom="0.98425196850393704" header="0.31496062992125984" footer="0.51181102362204722"/>
  <pageSetup paperSize="9" scale="94" firstPageNumber="0" orientation="portrait" r:id="rId1"/>
  <headerFooter scaleWithDoc="0" alignWithMargins="0">
    <oddFooter>&amp;C- &amp;P -</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ECDC5-C58F-4A1B-98AB-7DAFF185986E}">
  <sheetPr>
    <pageSetUpPr fitToPage="1"/>
  </sheetPr>
  <dimension ref="A1:T86"/>
  <sheetViews>
    <sheetView view="pageBreakPreview" topLeftCell="A24" zoomScale="80" zoomScaleNormal="100" zoomScaleSheetLayoutView="80" workbookViewId="0">
      <selection activeCell="A46" sqref="A46"/>
    </sheetView>
  </sheetViews>
  <sheetFormatPr defaultColWidth="9" defaultRowHeight="13.8"/>
  <cols>
    <col min="1" max="1" width="3" style="500" customWidth="1"/>
    <col min="2" max="2" width="3.6640625" style="500" customWidth="1"/>
    <col min="3" max="3" width="15.33203125" style="500" customWidth="1"/>
    <col min="4" max="5" width="7.109375" style="500" customWidth="1"/>
    <col min="6" max="7" width="7.6640625" style="500" customWidth="1"/>
    <col min="8" max="8" width="3" style="500" customWidth="1"/>
    <col min="9" max="9" width="3.6640625" style="500" customWidth="1"/>
    <col min="10" max="10" width="15.88671875" style="500" customWidth="1"/>
    <col min="11" max="11" width="9.109375" style="500" bestFit="1" customWidth="1"/>
    <col min="12" max="12" width="7.109375" style="500" customWidth="1"/>
    <col min="13" max="14" width="7.6640625" style="500" customWidth="1"/>
    <col min="15" max="15" width="13.33203125" style="500" customWidth="1"/>
    <col min="16" max="16" width="10.77734375" style="500" customWidth="1"/>
    <col min="17" max="17" width="9.21875" style="500" customWidth="1"/>
    <col min="18" max="16384" width="9" style="500"/>
  </cols>
  <sheetData>
    <row r="1" spans="1:20" ht="16.5" customHeight="1" thickBot="1">
      <c r="A1" s="500" t="s">
        <v>518</v>
      </c>
      <c r="H1" s="1260" t="s">
        <v>205</v>
      </c>
      <c r="I1" s="1260"/>
      <c r="J1" s="1260"/>
      <c r="K1" s="1260"/>
      <c r="L1" s="1260"/>
      <c r="M1" s="1260"/>
      <c r="N1" s="1301"/>
      <c r="O1" s="690"/>
    </row>
    <row r="2" spans="1:20" ht="6" customHeight="1">
      <c r="A2" s="691"/>
      <c r="B2" s="1305" t="s">
        <v>519</v>
      </c>
      <c r="C2" s="1448"/>
      <c r="D2" s="1451" t="s">
        <v>206</v>
      </c>
      <c r="E2" s="1453" t="s">
        <v>207</v>
      </c>
      <c r="F2" s="1455" t="s">
        <v>208</v>
      </c>
      <c r="G2" s="692"/>
      <c r="H2" s="691"/>
      <c r="I2" s="1305" t="s">
        <v>519</v>
      </c>
      <c r="J2" s="1448"/>
      <c r="K2" s="1451" t="s">
        <v>209</v>
      </c>
      <c r="L2" s="1451" t="s">
        <v>210</v>
      </c>
      <c r="M2" s="1455" t="s">
        <v>211</v>
      </c>
      <c r="N2" s="692"/>
    </row>
    <row r="3" spans="1:20" ht="20.25" customHeight="1">
      <c r="A3" s="528"/>
      <c r="B3" s="1449"/>
      <c r="C3" s="1450"/>
      <c r="D3" s="1452"/>
      <c r="E3" s="1454"/>
      <c r="F3" s="1452"/>
      <c r="G3" s="693" t="s">
        <v>212</v>
      </c>
      <c r="H3" s="528"/>
      <c r="I3" s="1449"/>
      <c r="J3" s="1450"/>
      <c r="K3" s="1452"/>
      <c r="L3" s="1452"/>
      <c r="M3" s="1456"/>
      <c r="N3" s="693" t="s">
        <v>212</v>
      </c>
    </row>
    <row r="4" spans="1:20" ht="15.9" customHeight="1">
      <c r="A4" s="1441" t="s">
        <v>520</v>
      </c>
      <c r="B4" s="1443" t="s">
        <v>521</v>
      </c>
      <c r="C4" s="694" t="s">
        <v>213</v>
      </c>
      <c r="D4" s="709">
        <v>220</v>
      </c>
      <c r="E4" s="709">
        <v>2</v>
      </c>
      <c r="F4" s="1078">
        <v>252</v>
      </c>
      <c r="G4" s="666">
        <v>24</v>
      </c>
      <c r="H4" s="1441" t="s">
        <v>520</v>
      </c>
      <c r="I4" s="1443" t="s">
        <v>522</v>
      </c>
      <c r="J4" s="696" t="s">
        <v>214</v>
      </c>
      <c r="K4" s="189">
        <v>98</v>
      </c>
      <c r="L4" s="189">
        <v>1</v>
      </c>
      <c r="M4" s="188">
        <v>107</v>
      </c>
      <c r="N4" s="217">
        <v>12</v>
      </c>
      <c r="P4" s="1069"/>
      <c r="Q4" s="708" t="s">
        <v>532</v>
      </c>
      <c r="R4" s="708" t="s">
        <v>533</v>
      </c>
      <c r="S4" s="708" t="s">
        <v>534</v>
      </c>
      <c r="T4" s="708" t="s">
        <v>535</v>
      </c>
    </row>
    <row r="5" spans="1:20" ht="15.9" customHeight="1">
      <c r="A5" s="1441"/>
      <c r="B5" s="1444"/>
      <c r="C5" s="694" t="s">
        <v>215</v>
      </c>
      <c r="D5" s="709">
        <v>156</v>
      </c>
      <c r="E5" s="709">
        <v>1</v>
      </c>
      <c r="F5" s="1078">
        <v>190</v>
      </c>
      <c r="G5" s="666">
        <v>16</v>
      </c>
      <c r="H5" s="1441"/>
      <c r="I5" s="1443"/>
      <c r="J5" s="697" t="s">
        <v>216</v>
      </c>
      <c r="K5" s="194">
        <v>97</v>
      </c>
      <c r="L5" s="194">
        <v>0</v>
      </c>
      <c r="M5" s="195">
        <v>115</v>
      </c>
      <c r="N5" s="217">
        <v>11</v>
      </c>
      <c r="P5" s="708" t="s">
        <v>527</v>
      </c>
      <c r="Q5" s="709">
        <f>SUM(D4:D15)</f>
        <v>1694</v>
      </c>
      <c r="R5" s="709">
        <f>SUM(E4:E15)</f>
        <v>10</v>
      </c>
      <c r="S5" s="709">
        <f>SUM(F4:F15)</f>
        <v>2017</v>
      </c>
      <c r="T5" s="709">
        <f>SUM(G4:G15)</f>
        <v>185</v>
      </c>
    </row>
    <row r="6" spans="1:20" ht="15.9" customHeight="1">
      <c r="A6" s="1441"/>
      <c r="B6" s="1444"/>
      <c r="C6" s="694" t="s">
        <v>217</v>
      </c>
      <c r="D6" s="709">
        <v>279</v>
      </c>
      <c r="E6" s="709">
        <v>2</v>
      </c>
      <c r="F6" s="1078">
        <v>332</v>
      </c>
      <c r="G6" s="666">
        <v>28</v>
      </c>
      <c r="H6" s="1441"/>
      <c r="I6" s="1443"/>
      <c r="J6" s="699" t="s">
        <v>218</v>
      </c>
      <c r="K6" s="189">
        <v>64</v>
      </c>
      <c r="L6" s="189">
        <v>0</v>
      </c>
      <c r="M6" s="188">
        <v>78</v>
      </c>
      <c r="N6" s="217">
        <v>6</v>
      </c>
      <c r="P6" s="708" t="s">
        <v>528</v>
      </c>
      <c r="Q6" s="709">
        <f>SUM(D16:D44)</f>
        <v>2173</v>
      </c>
      <c r="R6" s="709">
        <f>SUM(E16:E44)</f>
        <v>11</v>
      </c>
      <c r="S6" s="709">
        <f>SUM(F16:F44)</f>
        <v>2538</v>
      </c>
      <c r="T6" s="709">
        <f>SUM(G16:G44)</f>
        <v>240</v>
      </c>
    </row>
    <row r="7" spans="1:20" ht="15.9" customHeight="1">
      <c r="A7" s="1441"/>
      <c r="B7" s="1444"/>
      <c r="C7" s="694" t="s">
        <v>219</v>
      </c>
      <c r="D7" s="709">
        <v>96</v>
      </c>
      <c r="E7" s="709">
        <v>0</v>
      </c>
      <c r="F7" s="1078">
        <v>110</v>
      </c>
      <c r="G7" s="666">
        <v>7</v>
      </c>
      <c r="H7" s="1441"/>
      <c r="I7" s="1443"/>
      <c r="J7" s="699" t="s">
        <v>220</v>
      </c>
      <c r="K7" s="189">
        <v>48</v>
      </c>
      <c r="L7" s="189">
        <v>0</v>
      </c>
      <c r="M7" s="188">
        <v>54</v>
      </c>
      <c r="N7" s="217">
        <v>2</v>
      </c>
      <c r="P7" s="708" t="s">
        <v>529</v>
      </c>
      <c r="Q7" s="709">
        <f>SUM(K4:K12)</f>
        <v>383</v>
      </c>
      <c r="R7" s="709">
        <f>SUM(L4:L12)</f>
        <v>1</v>
      </c>
      <c r="S7" s="709">
        <f>SUM(M4:M12)</f>
        <v>442</v>
      </c>
      <c r="T7" s="709">
        <f>SUM(N4:N12)</f>
        <v>40</v>
      </c>
    </row>
    <row r="8" spans="1:20" ht="15.9" customHeight="1">
      <c r="A8" s="1441"/>
      <c r="B8" s="1444"/>
      <c r="C8" s="694" t="s">
        <v>221</v>
      </c>
      <c r="D8" s="709">
        <v>118</v>
      </c>
      <c r="E8" s="709">
        <v>0</v>
      </c>
      <c r="F8" s="1078">
        <v>154</v>
      </c>
      <c r="G8" s="666">
        <v>10</v>
      </c>
      <c r="H8" s="1441"/>
      <c r="I8" s="1443"/>
      <c r="J8" s="699" t="s">
        <v>222</v>
      </c>
      <c r="K8" s="189">
        <v>30</v>
      </c>
      <c r="L8" s="189">
        <v>0</v>
      </c>
      <c r="M8" s="188">
        <v>33</v>
      </c>
      <c r="N8" s="217">
        <v>3</v>
      </c>
      <c r="P8" s="708" t="s">
        <v>530</v>
      </c>
      <c r="Q8" s="709">
        <f>SUM(K13:K43)</f>
        <v>449</v>
      </c>
      <c r="R8" s="709">
        <f>SUM(L13:L43)</f>
        <v>1</v>
      </c>
      <c r="S8" s="709">
        <f>SUM(M13:M43)</f>
        <v>518</v>
      </c>
      <c r="T8" s="709">
        <f>SUM(N13:N43)</f>
        <v>38</v>
      </c>
    </row>
    <row r="9" spans="1:20" ht="15.9" customHeight="1">
      <c r="A9" s="1441"/>
      <c r="B9" s="1444"/>
      <c r="C9" s="694" t="s">
        <v>223</v>
      </c>
      <c r="D9" s="709">
        <v>32</v>
      </c>
      <c r="E9" s="709">
        <v>1</v>
      </c>
      <c r="F9" s="1078">
        <v>37</v>
      </c>
      <c r="G9" s="666">
        <v>4</v>
      </c>
      <c r="H9" s="1441"/>
      <c r="I9" s="1443"/>
      <c r="J9" s="699" t="s">
        <v>224</v>
      </c>
      <c r="K9" s="189">
        <v>13</v>
      </c>
      <c r="L9" s="189">
        <v>0</v>
      </c>
      <c r="M9" s="188">
        <v>14</v>
      </c>
      <c r="N9" s="217">
        <v>1</v>
      </c>
      <c r="P9" s="708" t="s">
        <v>531</v>
      </c>
      <c r="Q9" s="709">
        <f>K45</f>
        <v>3150</v>
      </c>
      <c r="R9" s="709">
        <f>L45</f>
        <v>20</v>
      </c>
      <c r="S9" s="709">
        <f>M45</f>
        <v>3401</v>
      </c>
      <c r="T9" s="709">
        <f>N45</f>
        <v>434</v>
      </c>
    </row>
    <row r="10" spans="1:20" ht="15.9" customHeight="1">
      <c r="A10" s="1441"/>
      <c r="B10" s="1444"/>
      <c r="C10" s="694" t="s">
        <v>225</v>
      </c>
      <c r="D10" s="709">
        <v>80</v>
      </c>
      <c r="E10" s="709">
        <v>0</v>
      </c>
      <c r="F10" s="1078">
        <v>96</v>
      </c>
      <c r="G10" s="666">
        <v>13</v>
      </c>
      <c r="H10" s="1441"/>
      <c r="I10" s="1443"/>
      <c r="J10" s="699" t="s">
        <v>226</v>
      </c>
      <c r="K10" s="189">
        <v>13</v>
      </c>
      <c r="L10" s="189">
        <v>0</v>
      </c>
      <c r="M10" s="188">
        <v>15</v>
      </c>
      <c r="N10" s="217">
        <v>3</v>
      </c>
      <c r="P10" s="1077" t="s">
        <v>536</v>
      </c>
      <c r="Q10" s="690">
        <f>Q5+Q6+Q7+Q8+Q9</f>
        <v>7849</v>
      </c>
      <c r="R10" s="690">
        <f>R5+R6+R7+R8+R9</f>
        <v>43</v>
      </c>
      <c r="S10" s="690">
        <f>S5+S6+S7+S8+S9</f>
        <v>8916</v>
      </c>
      <c r="T10" s="690">
        <f>T5+T6+T7+T8+T9</f>
        <v>937</v>
      </c>
    </row>
    <row r="11" spans="1:20" ht="15.9" customHeight="1">
      <c r="A11" s="1441"/>
      <c r="B11" s="1444"/>
      <c r="C11" s="694" t="s">
        <v>227</v>
      </c>
      <c r="D11" s="709">
        <v>101</v>
      </c>
      <c r="E11" s="709">
        <v>2</v>
      </c>
      <c r="F11" s="1078">
        <v>117</v>
      </c>
      <c r="G11" s="666">
        <v>14</v>
      </c>
      <c r="H11" s="1441"/>
      <c r="I11" s="1443"/>
      <c r="J11" s="699" t="s">
        <v>228</v>
      </c>
      <c r="K11" s="189">
        <v>12</v>
      </c>
      <c r="L11" s="189">
        <v>0</v>
      </c>
      <c r="M11" s="188">
        <v>13</v>
      </c>
      <c r="N11" s="217">
        <v>2</v>
      </c>
      <c r="P11" s="690"/>
      <c r="Q11" s="690"/>
      <c r="R11" s="690"/>
    </row>
    <row r="12" spans="1:20" ht="15.9" customHeight="1">
      <c r="A12" s="1441"/>
      <c r="B12" s="1444"/>
      <c r="C12" s="694" t="s">
        <v>229</v>
      </c>
      <c r="D12" s="709">
        <v>121</v>
      </c>
      <c r="E12" s="709">
        <v>0</v>
      </c>
      <c r="F12" s="1078">
        <v>140</v>
      </c>
      <c r="G12" s="666">
        <v>12</v>
      </c>
      <c r="H12" s="1441"/>
      <c r="I12" s="1443"/>
      <c r="J12" s="699" t="s">
        <v>230</v>
      </c>
      <c r="K12" s="189">
        <v>8</v>
      </c>
      <c r="L12" s="189">
        <v>0</v>
      </c>
      <c r="M12" s="188">
        <v>13</v>
      </c>
      <c r="N12" s="217">
        <v>0</v>
      </c>
    </row>
    <row r="13" spans="1:20" ht="15.9" customHeight="1">
      <c r="A13" s="1441"/>
      <c r="B13" s="1444"/>
      <c r="C13" s="694" t="s">
        <v>231</v>
      </c>
      <c r="D13" s="709">
        <v>21</v>
      </c>
      <c r="E13" s="709">
        <v>0</v>
      </c>
      <c r="F13" s="1078">
        <v>25</v>
      </c>
      <c r="G13" s="666">
        <v>3</v>
      </c>
      <c r="H13" s="1441"/>
      <c r="I13" s="1443" t="s">
        <v>523</v>
      </c>
      <c r="J13" s="696" t="s">
        <v>232</v>
      </c>
      <c r="K13" s="189">
        <v>22</v>
      </c>
      <c r="L13" s="189">
        <v>0</v>
      </c>
      <c r="M13" s="188">
        <v>27</v>
      </c>
      <c r="N13" s="217">
        <v>1</v>
      </c>
    </row>
    <row r="14" spans="1:20" ht="15.9" customHeight="1">
      <c r="A14" s="1441"/>
      <c r="B14" s="1444"/>
      <c r="C14" s="694" t="s">
        <v>233</v>
      </c>
      <c r="D14" s="709">
        <v>146</v>
      </c>
      <c r="E14" s="709">
        <v>2</v>
      </c>
      <c r="F14" s="1078">
        <v>182</v>
      </c>
      <c r="G14" s="666">
        <v>9</v>
      </c>
      <c r="H14" s="1441"/>
      <c r="I14" s="1443"/>
      <c r="J14" s="696" t="s">
        <v>234</v>
      </c>
      <c r="K14" s="189">
        <v>23</v>
      </c>
      <c r="L14" s="189">
        <v>0</v>
      </c>
      <c r="M14" s="188">
        <v>24</v>
      </c>
      <c r="N14" s="217">
        <v>0</v>
      </c>
    </row>
    <row r="15" spans="1:20" ht="15.9" customHeight="1">
      <c r="A15" s="1441"/>
      <c r="B15" s="1444"/>
      <c r="C15" s="694" t="s">
        <v>235</v>
      </c>
      <c r="D15" s="709">
        <v>324</v>
      </c>
      <c r="E15" s="709">
        <v>0</v>
      </c>
      <c r="F15" s="1078">
        <v>382</v>
      </c>
      <c r="G15" s="666">
        <v>45</v>
      </c>
      <c r="H15" s="1441"/>
      <c r="I15" s="1443"/>
      <c r="J15" s="696" t="s">
        <v>236</v>
      </c>
      <c r="K15" s="189">
        <v>23</v>
      </c>
      <c r="L15" s="189">
        <v>0</v>
      </c>
      <c r="M15" s="188">
        <v>26</v>
      </c>
      <c r="N15" s="217">
        <v>1</v>
      </c>
    </row>
    <row r="16" spans="1:20" ht="15.9" customHeight="1">
      <c r="A16" s="1441"/>
      <c r="B16" s="1443" t="s">
        <v>524</v>
      </c>
      <c r="C16" s="699" t="s">
        <v>237</v>
      </c>
      <c r="D16" s="709">
        <v>89</v>
      </c>
      <c r="E16" s="709">
        <v>0</v>
      </c>
      <c r="F16" s="1078">
        <v>114</v>
      </c>
      <c r="G16" s="666">
        <v>2</v>
      </c>
      <c r="H16" s="1441"/>
      <c r="I16" s="1443"/>
      <c r="J16" s="696" t="s">
        <v>238</v>
      </c>
      <c r="K16" s="189">
        <v>49</v>
      </c>
      <c r="L16" s="189">
        <v>0</v>
      </c>
      <c r="M16" s="188">
        <v>60</v>
      </c>
      <c r="N16" s="217">
        <v>4</v>
      </c>
    </row>
    <row r="17" spans="1:17" ht="15.9" customHeight="1">
      <c r="A17" s="1441"/>
      <c r="B17" s="1443"/>
      <c r="C17" s="699" t="s">
        <v>239</v>
      </c>
      <c r="D17" s="709">
        <v>235</v>
      </c>
      <c r="E17" s="709">
        <v>0</v>
      </c>
      <c r="F17" s="1078">
        <v>282</v>
      </c>
      <c r="G17" s="666">
        <v>15</v>
      </c>
      <c r="H17" s="1441"/>
      <c r="I17" s="1443"/>
      <c r="J17" s="696" t="s">
        <v>240</v>
      </c>
      <c r="K17" s="189">
        <v>31</v>
      </c>
      <c r="L17" s="189">
        <v>0</v>
      </c>
      <c r="M17" s="188">
        <v>35</v>
      </c>
      <c r="N17" s="217">
        <v>0</v>
      </c>
    </row>
    <row r="18" spans="1:17" ht="15.9" customHeight="1">
      <c r="A18" s="1441"/>
      <c r="B18" s="1443"/>
      <c r="C18" s="699" t="s">
        <v>241</v>
      </c>
      <c r="D18" s="709">
        <v>96</v>
      </c>
      <c r="E18" s="709">
        <v>0</v>
      </c>
      <c r="F18" s="1078">
        <v>111</v>
      </c>
      <c r="G18" s="666">
        <v>13</v>
      </c>
      <c r="H18" s="1441"/>
      <c r="I18" s="1443"/>
      <c r="J18" s="696" t="s">
        <v>242</v>
      </c>
      <c r="K18" s="189">
        <v>46</v>
      </c>
      <c r="L18" s="189">
        <v>0</v>
      </c>
      <c r="M18" s="188">
        <v>51</v>
      </c>
      <c r="N18" s="217">
        <v>4</v>
      </c>
      <c r="O18" s="289"/>
    </row>
    <row r="19" spans="1:17" ht="15.9" customHeight="1">
      <c r="A19" s="1441"/>
      <c r="B19" s="1443"/>
      <c r="C19" s="699" t="s">
        <v>243</v>
      </c>
      <c r="D19" s="709">
        <v>66</v>
      </c>
      <c r="E19" s="709">
        <v>0</v>
      </c>
      <c r="F19" s="1078">
        <v>77</v>
      </c>
      <c r="G19" s="666">
        <v>9</v>
      </c>
      <c r="H19" s="1441"/>
      <c r="I19" s="1443"/>
      <c r="J19" s="696" t="s">
        <v>244</v>
      </c>
      <c r="K19" s="189">
        <v>20</v>
      </c>
      <c r="L19" s="189">
        <v>0</v>
      </c>
      <c r="M19" s="188">
        <v>22</v>
      </c>
      <c r="N19" s="217">
        <v>2</v>
      </c>
    </row>
    <row r="20" spans="1:17" ht="15.9" customHeight="1">
      <c r="A20" s="1441"/>
      <c r="B20" s="1443"/>
      <c r="C20" s="699" t="s">
        <v>245</v>
      </c>
      <c r="D20" s="709">
        <v>39</v>
      </c>
      <c r="E20" s="709">
        <v>0</v>
      </c>
      <c r="F20" s="1078">
        <v>44</v>
      </c>
      <c r="G20" s="666">
        <v>5</v>
      </c>
      <c r="H20" s="1441"/>
      <c r="I20" s="1443"/>
      <c r="J20" s="696" t="s">
        <v>246</v>
      </c>
      <c r="K20" s="189">
        <v>18</v>
      </c>
      <c r="L20" s="189">
        <v>0</v>
      </c>
      <c r="M20" s="188">
        <v>18</v>
      </c>
      <c r="N20" s="217">
        <v>1</v>
      </c>
    </row>
    <row r="21" spans="1:17" ht="15.9" customHeight="1">
      <c r="A21" s="1441"/>
      <c r="B21" s="1443"/>
      <c r="C21" s="699" t="s">
        <v>247</v>
      </c>
      <c r="D21" s="709">
        <v>142</v>
      </c>
      <c r="E21" s="709">
        <v>0</v>
      </c>
      <c r="F21" s="1078">
        <v>171</v>
      </c>
      <c r="G21" s="666">
        <v>16</v>
      </c>
      <c r="H21" s="1441"/>
      <c r="I21" s="1443"/>
      <c r="J21" s="696" t="s">
        <v>248</v>
      </c>
      <c r="K21" s="189">
        <v>20</v>
      </c>
      <c r="L21" s="189">
        <v>1</v>
      </c>
      <c r="M21" s="188">
        <v>20</v>
      </c>
      <c r="N21" s="217">
        <v>1</v>
      </c>
    </row>
    <row r="22" spans="1:17" ht="15.9" customHeight="1">
      <c r="A22" s="1441"/>
      <c r="B22" s="1443"/>
      <c r="C22" s="699" t="s">
        <v>249</v>
      </c>
      <c r="D22" s="709">
        <v>159</v>
      </c>
      <c r="E22" s="709">
        <v>1</v>
      </c>
      <c r="F22" s="1078">
        <v>181</v>
      </c>
      <c r="G22" s="666">
        <v>17</v>
      </c>
      <c r="H22" s="1441"/>
      <c r="I22" s="1443"/>
      <c r="J22" s="696" t="s">
        <v>250</v>
      </c>
      <c r="K22" s="189">
        <v>5</v>
      </c>
      <c r="L22" s="189">
        <v>0</v>
      </c>
      <c r="M22" s="188">
        <v>6</v>
      </c>
      <c r="N22" s="217">
        <v>0</v>
      </c>
    </row>
    <row r="23" spans="1:17" ht="15.9" customHeight="1">
      <c r="A23" s="1441"/>
      <c r="B23" s="1443"/>
      <c r="C23" s="699" t="s">
        <v>251</v>
      </c>
      <c r="D23" s="709">
        <v>141</v>
      </c>
      <c r="E23" s="709">
        <v>1</v>
      </c>
      <c r="F23" s="1078">
        <v>159</v>
      </c>
      <c r="G23" s="666">
        <v>21</v>
      </c>
      <c r="H23" s="1441"/>
      <c r="I23" s="1443"/>
      <c r="J23" s="696" t="s">
        <v>252</v>
      </c>
      <c r="K23" s="189">
        <v>14</v>
      </c>
      <c r="L23" s="189">
        <v>0</v>
      </c>
      <c r="M23" s="188">
        <v>17</v>
      </c>
      <c r="N23" s="217">
        <v>2</v>
      </c>
    </row>
    <row r="24" spans="1:17" ht="15.9" customHeight="1">
      <c r="A24" s="1441"/>
      <c r="B24" s="1443"/>
      <c r="C24" s="699" t="s">
        <v>253</v>
      </c>
      <c r="D24" s="709">
        <v>72</v>
      </c>
      <c r="E24" s="709">
        <v>2</v>
      </c>
      <c r="F24" s="1078">
        <v>84</v>
      </c>
      <c r="G24" s="666">
        <v>17</v>
      </c>
      <c r="H24" s="1441"/>
      <c r="I24" s="1443"/>
      <c r="J24" s="696" t="s">
        <v>254</v>
      </c>
      <c r="K24" s="189">
        <v>3</v>
      </c>
      <c r="L24" s="189">
        <v>0</v>
      </c>
      <c r="M24" s="188">
        <v>5</v>
      </c>
      <c r="N24" s="217">
        <v>0</v>
      </c>
    </row>
    <row r="25" spans="1:17" ht="15.9" customHeight="1">
      <c r="A25" s="1441"/>
      <c r="B25" s="1443"/>
      <c r="C25" s="699" t="s">
        <v>255</v>
      </c>
      <c r="D25" s="709">
        <v>18</v>
      </c>
      <c r="E25" s="709">
        <v>0</v>
      </c>
      <c r="F25" s="1078">
        <v>19</v>
      </c>
      <c r="G25" s="666">
        <v>0</v>
      </c>
      <c r="H25" s="1441"/>
      <c r="I25" s="1443"/>
      <c r="J25" s="696" t="s">
        <v>256</v>
      </c>
      <c r="K25" s="189">
        <v>2</v>
      </c>
      <c r="L25" s="189">
        <v>0</v>
      </c>
      <c r="M25" s="188">
        <v>3</v>
      </c>
      <c r="N25" s="217">
        <v>0</v>
      </c>
    </row>
    <row r="26" spans="1:17" ht="15.9" customHeight="1">
      <c r="A26" s="1441"/>
      <c r="B26" s="1443"/>
      <c r="C26" s="699" t="s">
        <v>257</v>
      </c>
      <c r="D26" s="709">
        <v>4</v>
      </c>
      <c r="E26" s="709">
        <v>0</v>
      </c>
      <c r="F26" s="1078">
        <v>5</v>
      </c>
      <c r="G26" s="666">
        <v>0</v>
      </c>
      <c r="H26" s="1441"/>
      <c r="I26" s="1443"/>
      <c r="J26" s="696" t="s">
        <v>258</v>
      </c>
      <c r="K26" s="189">
        <v>9</v>
      </c>
      <c r="L26" s="189">
        <v>0</v>
      </c>
      <c r="M26" s="188">
        <v>9</v>
      </c>
      <c r="N26" s="217">
        <v>1</v>
      </c>
    </row>
    <row r="27" spans="1:17" ht="15.9" customHeight="1">
      <c r="A27" s="1441"/>
      <c r="B27" s="1443"/>
      <c r="C27" s="699" t="s">
        <v>259</v>
      </c>
      <c r="D27" s="709">
        <v>35</v>
      </c>
      <c r="E27" s="709">
        <v>0</v>
      </c>
      <c r="F27" s="1078">
        <v>42</v>
      </c>
      <c r="G27" s="666">
        <v>4</v>
      </c>
      <c r="H27" s="1441"/>
      <c r="I27" s="1443"/>
      <c r="J27" s="696" t="s">
        <v>260</v>
      </c>
      <c r="K27" s="189">
        <v>14</v>
      </c>
      <c r="L27" s="189">
        <v>0</v>
      </c>
      <c r="M27" s="188">
        <v>15</v>
      </c>
      <c r="N27" s="217">
        <v>2</v>
      </c>
    </row>
    <row r="28" spans="1:17" ht="15.9" customHeight="1">
      <c r="A28" s="1441"/>
      <c r="B28" s="1443"/>
      <c r="C28" s="699" t="s">
        <v>222</v>
      </c>
      <c r="D28" s="709">
        <v>33</v>
      </c>
      <c r="E28" s="709">
        <v>1</v>
      </c>
      <c r="F28" s="1078">
        <v>35</v>
      </c>
      <c r="G28" s="666">
        <v>4</v>
      </c>
      <c r="H28" s="1441"/>
      <c r="I28" s="1443"/>
      <c r="J28" s="696" t="s">
        <v>261</v>
      </c>
      <c r="K28" s="189">
        <v>20</v>
      </c>
      <c r="L28" s="189">
        <v>0</v>
      </c>
      <c r="M28" s="188">
        <v>24</v>
      </c>
      <c r="N28" s="217">
        <v>1</v>
      </c>
    </row>
    <row r="29" spans="1:17" ht="15.9" customHeight="1">
      <c r="A29" s="1441"/>
      <c r="B29" s="1443"/>
      <c r="C29" s="699" t="s">
        <v>262</v>
      </c>
      <c r="D29" s="709">
        <v>105</v>
      </c>
      <c r="E29" s="709">
        <v>0</v>
      </c>
      <c r="F29" s="1078">
        <v>116</v>
      </c>
      <c r="G29" s="666">
        <v>10</v>
      </c>
      <c r="H29" s="1441"/>
      <c r="I29" s="1443"/>
      <c r="J29" s="696" t="s">
        <v>263</v>
      </c>
      <c r="K29" s="189">
        <v>16</v>
      </c>
      <c r="L29" s="189">
        <v>0</v>
      </c>
      <c r="M29" s="188">
        <v>22</v>
      </c>
      <c r="N29" s="217">
        <v>1</v>
      </c>
    </row>
    <row r="30" spans="1:17" ht="15.9" customHeight="1">
      <c r="A30" s="1441"/>
      <c r="B30" s="1443"/>
      <c r="C30" s="699" t="s">
        <v>264</v>
      </c>
      <c r="D30" s="709">
        <v>181</v>
      </c>
      <c r="E30" s="709">
        <v>1</v>
      </c>
      <c r="F30" s="1078">
        <v>215</v>
      </c>
      <c r="G30" s="666">
        <v>27</v>
      </c>
      <c r="H30" s="1441"/>
      <c r="I30" s="1443"/>
      <c r="J30" s="696" t="s">
        <v>265</v>
      </c>
      <c r="K30" s="189">
        <v>11</v>
      </c>
      <c r="L30" s="189">
        <v>0</v>
      </c>
      <c r="M30" s="188">
        <v>11</v>
      </c>
      <c r="N30" s="217">
        <v>3</v>
      </c>
    </row>
    <row r="31" spans="1:17" ht="15.9" customHeight="1">
      <c r="A31" s="1441"/>
      <c r="B31" s="1443"/>
      <c r="C31" s="699" t="s">
        <v>266</v>
      </c>
      <c r="D31" s="709">
        <v>59</v>
      </c>
      <c r="E31" s="709">
        <v>2</v>
      </c>
      <c r="F31" s="1078">
        <v>65</v>
      </c>
      <c r="G31" s="666">
        <v>4</v>
      </c>
      <c r="H31" s="1441"/>
      <c r="I31" s="1443"/>
      <c r="J31" s="696" t="s">
        <v>267</v>
      </c>
      <c r="K31" s="189">
        <v>2</v>
      </c>
      <c r="L31" s="189">
        <v>0</v>
      </c>
      <c r="M31" s="188">
        <v>5</v>
      </c>
      <c r="N31" s="217">
        <v>0</v>
      </c>
    </row>
    <row r="32" spans="1:17" ht="15.9" customHeight="1">
      <c r="A32" s="1441"/>
      <c r="B32" s="1443"/>
      <c r="C32" s="699" t="s">
        <v>268</v>
      </c>
      <c r="D32" s="709">
        <v>49</v>
      </c>
      <c r="E32" s="709">
        <v>0</v>
      </c>
      <c r="F32" s="1078">
        <v>53</v>
      </c>
      <c r="G32" s="666">
        <v>4</v>
      </c>
      <c r="H32" s="1441"/>
      <c r="I32" s="1443"/>
      <c r="J32" s="696" t="s">
        <v>269</v>
      </c>
      <c r="K32" s="189">
        <v>13</v>
      </c>
      <c r="L32" s="189">
        <v>0</v>
      </c>
      <c r="M32" s="188">
        <v>15</v>
      </c>
      <c r="N32" s="217">
        <v>1</v>
      </c>
      <c r="P32" s="1436" t="s">
        <v>507</v>
      </c>
      <c r="Q32" s="1437"/>
    </row>
    <row r="33" spans="1:18" ht="15.9" customHeight="1">
      <c r="A33" s="1441"/>
      <c r="B33" s="1443"/>
      <c r="C33" s="699" t="s">
        <v>270</v>
      </c>
      <c r="D33" s="709">
        <v>73</v>
      </c>
      <c r="E33" s="709">
        <v>0</v>
      </c>
      <c r="F33" s="1078">
        <v>83</v>
      </c>
      <c r="G33" s="666">
        <v>10</v>
      </c>
      <c r="H33" s="1441"/>
      <c r="I33" s="1443"/>
      <c r="J33" s="696" t="s">
        <v>271</v>
      </c>
      <c r="K33" s="189">
        <v>8</v>
      </c>
      <c r="L33" s="189">
        <v>0</v>
      </c>
      <c r="M33" s="188">
        <v>9</v>
      </c>
      <c r="N33" s="217">
        <v>2</v>
      </c>
      <c r="P33" s="708" t="s">
        <v>505</v>
      </c>
      <c r="Q33" s="708" t="s">
        <v>506</v>
      </c>
    </row>
    <row r="34" spans="1:18" ht="15.9" customHeight="1">
      <c r="A34" s="1441"/>
      <c r="B34" s="1443"/>
      <c r="C34" s="699" t="s">
        <v>272</v>
      </c>
      <c r="D34" s="709">
        <v>30</v>
      </c>
      <c r="E34" s="709">
        <v>0</v>
      </c>
      <c r="F34" s="1078">
        <v>33</v>
      </c>
      <c r="G34" s="666">
        <v>1</v>
      </c>
      <c r="H34" s="1441"/>
      <c r="I34" s="1443"/>
      <c r="J34" s="696" t="s">
        <v>273</v>
      </c>
      <c r="K34" s="189">
        <v>23</v>
      </c>
      <c r="L34" s="189">
        <v>0</v>
      </c>
      <c r="M34" s="188">
        <v>29</v>
      </c>
      <c r="N34" s="217">
        <v>1</v>
      </c>
      <c r="P34" s="1069">
        <f>SUM(D4:D44)</f>
        <v>3867</v>
      </c>
      <c r="Q34" s="1069">
        <f>SUM(K4:K43)</f>
        <v>832</v>
      </c>
      <c r="R34" s="500">
        <f>P34+Q34</f>
        <v>4699</v>
      </c>
    </row>
    <row r="35" spans="1:18" ht="15.9" customHeight="1">
      <c r="A35" s="1441"/>
      <c r="B35" s="1443"/>
      <c r="C35" s="699" t="s">
        <v>274</v>
      </c>
      <c r="D35" s="709">
        <v>185</v>
      </c>
      <c r="E35" s="709">
        <v>1</v>
      </c>
      <c r="F35" s="1078">
        <v>223</v>
      </c>
      <c r="G35" s="666">
        <v>21</v>
      </c>
      <c r="H35" s="1441"/>
      <c r="I35" s="1443"/>
      <c r="J35" s="696" t="s">
        <v>275</v>
      </c>
      <c r="K35" s="189">
        <v>2</v>
      </c>
      <c r="L35" s="189">
        <v>0</v>
      </c>
      <c r="M35" s="188">
        <v>2</v>
      </c>
      <c r="N35" s="217">
        <v>0</v>
      </c>
    </row>
    <row r="36" spans="1:18" ht="15.9" customHeight="1">
      <c r="A36" s="1441"/>
      <c r="B36" s="1443"/>
      <c r="C36" s="699" t="s">
        <v>276</v>
      </c>
      <c r="D36" s="709">
        <v>86</v>
      </c>
      <c r="E36" s="709">
        <v>0</v>
      </c>
      <c r="F36" s="1078">
        <v>113</v>
      </c>
      <c r="G36" s="666">
        <v>7</v>
      </c>
      <c r="H36" s="1441"/>
      <c r="I36" s="1443"/>
      <c r="J36" s="696" t="s">
        <v>277</v>
      </c>
      <c r="K36" s="189">
        <v>17</v>
      </c>
      <c r="L36" s="189">
        <v>0</v>
      </c>
      <c r="M36" s="188">
        <v>20</v>
      </c>
      <c r="N36" s="217">
        <v>3</v>
      </c>
      <c r="P36" s="1436" t="s">
        <v>508</v>
      </c>
      <c r="Q36" s="1437"/>
    </row>
    <row r="37" spans="1:18" ht="15.9" customHeight="1">
      <c r="A37" s="1441"/>
      <c r="B37" s="1443"/>
      <c r="C37" s="699" t="s">
        <v>278</v>
      </c>
      <c r="D37" s="709">
        <v>51</v>
      </c>
      <c r="E37" s="709">
        <v>0</v>
      </c>
      <c r="F37" s="1078">
        <v>61</v>
      </c>
      <c r="G37" s="666">
        <v>4</v>
      </c>
      <c r="H37" s="1441"/>
      <c r="I37" s="1443"/>
      <c r="J37" s="696" t="s">
        <v>279</v>
      </c>
      <c r="K37" s="189">
        <v>5</v>
      </c>
      <c r="L37" s="189">
        <v>0</v>
      </c>
      <c r="M37" s="188">
        <v>5</v>
      </c>
      <c r="N37" s="217">
        <v>1</v>
      </c>
      <c r="P37" s="708" t="s">
        <v>505</v>
      </c>
      <c r="Q37" s="708" t="s">
        <v>506</v>
      </c>
    </row>
    <row r="38" spans="1:18" ht="15.9" customHeight="1">
      <c r="A38" s="1441"/>
      <c r="B38" s="1443"/>
      <c r="C38" s="699" t="s">
        <v>280</v>
      </c>
      <c r="D38" s="709">
        <v>28</v>
      </c>
      <c r="E38" s="709">
        <v>0</v>
      </c>
      <c r="F38" s="1078">
        <v>37</v>
      </c>
      <c r="G38" s="666">
        <v>6</v>
      </c>
      <c r="H38" s="1441"/>
      <c r="I38" s="1443"/>
      <c r="J38" s="701" t="s">
        <v>281</v>
      </c>
      <c r="K38" s="189">
        <v>3</v>
      </c>
      <c r="L38" s="189">
        <v>0</v>
      </c>
      <c r="M38" s="188">
        <v>3</v>
      </c>
      <c r="N38" s="217">
        <v>0</v>
      </c>
      <c r="P38" s="1069">
        <f>SUM(E4:E44)</f>
        <v>21</v>
      </c>
      <c r="Q38" s="1069">
        <f>SUM(L4:L43)</f>
        <v>2</v>
      </c>
      <c r="R38" s="500">
        <f>P38+Q38</f>
        <v>23</v>
      </c>
    </row>
    <row r="39" spans="1:18" ht="15.9" customHeight="1">
      <c r="A39" s="1441"/>
      <c r="B39" s="1443"/>
      <c r="C39" s="699" t="s">
        <v>282</v>
      </c>
      <c r="D39" s="709">
        <v>52</v>
      </c>
      <c r="E39" s="709">
        <v>0</v>
      </c>
      <c r="F39" s="1078">
        <v>57</v>
      </c>
      <c r="G39" s="666">
        <v>7</v>
      </c>
      <c r="H39" s="1441"/>
      <c r="I39" s="1443"/>
      <c r="J39" s="696" t="s">
        <v>283</v>
      </c>
      <c r="K39" s="189">
        <v>23</v>
      </c>
      <c r="L39" s="189">
        <v>0</v>
      </c>
      <c r="M39" s="188">
        <v>27</v>
      </c>
      <c r="N39" s="217">
        <v>4</v>
      </c>
    </row>
    <row r="40" spans="1:18" ht="15.9" customHeight="1">
      <c r="A40" s="1441"/>
      <c r="B40" s="1443"/>
      <c r="C40" s="699" t="s">
        <v>284</v>
      </c>
      <c r="D40" s="709">
        <v>21</v>
      </c>
      <c r="E40" s="709">
        <v>1</v>
      </c>
      <c r="F40" s="1078">
        <v>23</v>
      </c>
      <c r="G40" s="666">
        <v>2</v>
      </c>
      <c r="H40" s="1441"/>
      <c r="I40" s="1443"/>
      <c r="J40" s="696" t="s">
        <v>285</v>
      </c>
      <c r="K40" s="189">
        <v>1</v>
      </c>
      <c r="L40" s="189">
        <v>0</v>
      </c>
      <c r="M40" s="188">
        <v>1</v>
      </c>
      <c r="N40" s="217">
        <v>0</v>
      </c>
      <c r="P40" s="1436" t="s">
        <v>509</v>
      </c>
      <c r="Q40" s="1437"/>
    </row>
    <row r="41" spans="1:18" ht="15.9" customHeight="1">
      <c r="A41" s="1441"/>
      <c r="B41" s="1443"/>
      <c r="C41" s="699" t="s">
        <v>286</v>
      </c>
      <c r="D41" s="709">
        <v>26</v>
      </c>
      <c r="E41" s="709">
        <v>0</v>
      </c>
      <c r="F41" s="1078">
        <v>30</v>
      </c>
      <c r="G41" s="666">
        <v>3</v>
      </c>
      <c r="H41" s="1441"/>
      <c r="I41" s="1443"/>
      <c r="J41" s="696" t="s">
        <v>287</v>
      </c>
      <c r="K41" s="189">
        <v>1</v>
      </c>
      <c r="L41" s="189">
        <v>0</v>
      </c>
      <c r="M41" s="188">
        <v>1</v>
      </c>
      <c r="N41" s="217">
        <v>0</v>
      </c>
      <c r="P41" s="708" t="s">
        <v>505</v>
      </c>
      <c r="Q41" s="708" t="s">
        <v>506</v>
      </c>
    </row>
    <row r="42" spans="1:18" ht="15.9" customHeight="1">
      <c r="A42" s="1441"/>
      <c r="B42" s="1443"/>
      <c r="C42" s="699" t="s">
        <v>288</v>
      </c>
      <c r="D42" s="709">
        <v>52</v>
      </c>
      <c r="E42" s="709">
        <v>0</v>
      </c>
      <c r="F42" s="1078">
        <v>54</v>
      </c>
      <c r="G42" s="666">
        <v>7</v>
      </c>
      <c r="H42" s="1441"/>
      <c r="I42" s="1443"/>
      <c r="J42" s="510" t="s">
        <v>289</v>
      </c>
      <c r="K42" s="189">
        <v>5</v>
      </c>
      <c r="L42" s="189">
        <v>0</v>
      </c>
      <c r="M42" s="188">
        <v>6</v>
      </c>
      <c r="N42" s="217">
        <v>2</v>
      </c>
      <c r="P42" s="1069">
        <f>SUM(F4:F44)</f>
        <v>4555</v>
      </c>
      <c r="Q42" s="1069">
        <f>SUM(M4:M43)</f>
        <v>960</v>
      </c>
      <c r="R42" s="500">
        <f>P42+Q42</f>
        <v>5515</v>
      </c>
    </row>
    <row r="43" spans="1:18" ht="15.9" customHeight="1" thickBot="1">
      <c r="A43" s="1441"/>
      <c r="B43" s="1443"/>
      <c r="C43" s="702" t="s">
        <v>290</v>
      </c>
      <c r="D43" s="1079">
        <v>41</v>
      </c>
      <c r="E43" s="1079">
        <v>1</v>
      </c>
      <c r="F43" s="1080">
        <v>46</v>
      </c>
      <c r="G43" s="666">
        <v>3</v>
      </c>
      <c r="H43" s="1442"/>
      <c r="I43" s="1445"/>
      <c r="J43" s="510" t="s">
        <v>291</v>
      </c>
      <c r="K43" s="215">
        <v>0</v>
      </c>
      <c r="L43" s="215">
        <v>0</v>
      </c>
      <c r="M43" s="218">
        <v>0</v>
      </c>
      <c r="N43" s="221">
        <v>0</v>
      </c>
    </row>
    <row r="44" spans="1:18" ht="15.9" customHeight="1" thickBot="1">
      <c r="A44" s="1442"/>
      <c r="B44" s="1445"/>
      <c r="C44" s="704" t="s">
        <v>230</v>
      </c>
      <c r="D44" s="1081">
        <v>5</v>
      </c>
      <c r="E44" s="1081">
        <v>0</v>
      </c>
      <c r="F44" s="1082">
        <v>5</v>
      </c>
      <c r="G44" s="637">
        <v>1</v>
      </c>
      <c r="H44" s="1446" t="s">
        <v>525</v>
      </c>
      <c r="I44" s="1447"/>
      <c r="J44" s="1439"/>
      <c r="K44" s="270">
        <f>R34</f>
        <v>4699</v>
      </c>
      <c r="L44" s="270">
        <f>R38</f>
        <v>23</v>
      </c>
      <c r="M44" s="271">
        <f>R42</f>
        <v>5515</v>
      </c>
      <c r="N44" s="295">
        <f>R46</f>
        <v>503</v>
      </c>
      <c r="P44" s="1436" t="s">
        <v>510</v>
      </c>
      <c r="Q44" s="1437"/>
    </row>
    <row r="45" spans="1:18" ht="15.9" customHeight="1" thickBot="1">
      <c r="A45" s="707"/>
      <c r="B45" s="707"/>
      <c r="H45" s="1438" t="s">
        <v>526</v>
      </c>
      <c r="I45" s="1439"/>
      <c r="J45" s="1439"/>
      <c r="K45" s="270">
        <v>3150</v>
      </c>
      <c r="L45" s="270">
        <v>20</v>
      </c>
      <c r="M45" s="271">
        <v>3401</v>
      </c>
      <c r="N45" s="295">
        <v>434</v>
      </c>
      <c r="O45" s="289"/>
      <c r="P45" s="708" t="s">
        <v>505</v>
      </c>
      <c r="Q45" s="708" t="s">
        <v>506</v>
      </c>
    </row>
    <row r="46" spans="1:18" ht="15.9" customHeight="1" thickBot="1">
      <c r="A46" s="1946" t="s">
        <v>908</v>
      </c>
      <c r="H46" s="1440" t="s">
        <v>293</v>
      </c>
      <c r="I46" s="1439"/>
      <c r="J46" s="1439"/>
      <c r="K46" s="57">
        <f>K44+K45</f>
        <v>7849</v>
      </c>
      <c r="L46" s="58">
        <f>L44+L45</f>
        <v>43</v>
      </c>
      <c r="M46" s="326">
        <f>M44+M45</f>
        <v>8916</v>
      </c>
      <c r="N46" s="295">
        <f>N44+N45</f>
        <v>937</v>
      </c>
      <c r="P46" s="1069">
        <f>SUM(G4:G44)</f>
        <v>425</v>
      </c>
      <c r="Q46" s="1069">
        <f>SUM(N4:N43)</f>
        <v>78</v>
      </c>
      <c r="R46" s="500">
        <f>P46+Q46</f>
        <v>503</v>
      </c>
    </row>
    <row r="47" spans="1:18" ht="15.9" customHeight="1"/>
    <row r="48" spans="1:18" ht="15.9" customHeight="1"/>
    <row r="49" ht="15.9" customHeight="1"/>
    <row r="50" ht="15.9" customHeight="1"/>
    <row r="51" ht="15.9" customHeight="1"/>
    <row r="52" ht="15.9" customHeight="1"/>
    <row r="53" ht="15.9" customHeight="1"/>
    <row r="54" ht="15.9" customHeight="1"/>
    <row r="55" ht="15.9" customHeight="1"/>
    <row r="56" ht="15.9" customHeight="1"/>
    <row r="57" ht="15.9" customHeight="1"/>
    <row r="58" ht="15.9" customHeight="1"/>
    <row r="59" ht="15.9" customHeight="1"/>
    <row r="60" ht="15.9" customHeight="1"/>
    <row r="61" ht="15.9" customHeight="1"/>
    <row r="62" ht="15.9" customHeight="1"/>
    <row r="63" ht="15.9" customHeight="1"/>
    <row r="64" ht="15.9" customHeight="1"/>
    <row r="65" ht="15.9" customHeight="1"/>
    <row r="66" ht="15.9" customHeight="1"/>
    <row r="67" ht="15.9" customHeight="1"/>
    <row r="68" ht="15.9" customHeight="1"/>
    <row r="69" ht="15.9" customHeight="1"/>
    <row r="70" ht="15.9" customHeight="1"/>
    <row r="71" ht="15.9" customHeight="1"/>
    <row r="72" ht="15.9" customHeight="1"/>
    <row r="73" ht="15.9" customHeight="1"/>
    <row r="74" ht="15.9" customHeight="1"/>
    <row r="75" ht="15.9" customHeight="1"/>
    <row r="76" ht="15.9" customHeight="1"/>
    <row r="77" ht="15.9" customHeight="1"/>
    <row r="78" ht="15.9" customHeight="1"/>
    <row r="79" ht="15.9" customHeight="1"/>
    <row r="80" ht="15.9" customHeight="1"/>
    <row r="81" ht="15.9" customHeight="1"/>
    <row r="82" ht="15.9" customHeight="1"/>
    <row r="83" ht="15.9" customHeight="1"/>
    <row r="84" ht="25.5" customHeight="1"/>
    <row r="85" ht="28.5" customHeight="1"/>
    <row r="86" ht="15.9" customHeight="1"/>
  </sheetData>
  <mergeCells count="22">
    <mergeCell ref="H1:N1"/>
    <mergeCell ref="B2:C3"/>
    <mergeCell ref="D2:D3"/>
    <mergeCell ref="E2:E3"/>
    <mergeCell ref="F2:F3"/>
    <mergeCell ref="I2:J3"/>
    <mergeCell ref="K2:K3"/>
    <mergeCell ref="L2:L3"/>
    <mergeCell ref="M2:M3"/>
    <mergeCell ref="H46:J46"/>
    <mergeCell ref="A4:A44"/>
    <mergeCell ref="B4:B15"/>
    <mergeCell ref="H4:H43"/>
    <mergeCell ref="I4:I12"/>
    <mergeCell ref="I13:I43"/>
    <mergeCell ref="B16:B44"/>
    <mergeCell ref="H44:J44"/>
    <mergeCell ref="P32:Q32"/>
    <mergeCell ref="P36:Q36"/>
    <mergeCell ref="P40:Q40"/>
    <mergeCell ref="P44:Q44"/>
    <mergeCell ref="H45:J45"/>
  </mergeCells>
  <phoneticPr fontId="4"/>
  <printOptions horizontalCentered="1"/>
  <pageMargins left="0.78740157480314965" right="0.39370078740157483" top="0.98425196850393704" bottom="0.98425196850393704" header="0.31496062992125984" footer="0.51181102362204722"/>
  <pageSetup paperSize="9" scale="87" firstPageNumber="0" orientation="portrait" r:id="rId1"/>
  <headerFooter scaleWithDoc="0" alignWithMargins="0">
    <oddFooter>&amp;C- &amp;P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26A5D-3698-475F-9A9C-37FD1C52835A}">
  <sheetPr>
    <pageSetUpPr fitToPage="1"/>
  </sheetPr>
  <dimension ref="A1:BU88"/>
  <sheetViews>
    <sheetView view="pageBreakPreview" topLeftCell="A35" zoomScale="90" zoomScaleNormal="100" zoomScaleSheetLayoutView="90" workbookViewId="0">
      <selection activeCell="L76" sqref="L76"/>
    </sheetView>
  </sheetViews>
  <sheetFormatPr defaultColWidth="9" defaultRowHeight="13.8"/>
  <cols>
    <col min="1" max="71" width="2.21875" style="1" customWidth="1"/>
    <col min="72" max="72" width="15.44140625" style="1" bestFit="1" customWidth="1"/>
    <col min="73" max="73" width="9" style="1" customWidth="1"/>
    <col min="74" max="105" width="2.21875" style="1" customWidth="1"/>
    <col min="106" max="16384" width="9" style="1"/>
  </cols>
  <sheetData>
    <row r="1" spans="1:73" ht="27" customHeight="1"/>
    <row r="2" spans="1:73" ht="23.25" customHeight="1">
      <c r="B2" s="59" t="s">
        <v>294</v>
      </c>
      <c r="C2" s="60"/>
      <c r="D2" s="60"/>
      <c r="E2" s="60"/>
      <c r="F2" s="60"/>
      <c r="G2" s="60"/>
      <c r="H2" s="60"/>
      <c r="I2" s="60"/>
      <c r="J2" s="60"/>
      <c r="K2" s="60"/>
      <c r="L2" s="60"/>
      <c r="M2" s="60"/>
      <c r="N2" s="60"/>
      <c r="O2" s="60"/>
    </row>
    <row r="3" spans="1:73" ht="22.5" customHeight="1">
      <c r="A3" s="7"/>
      <c r="Q3" s="7"/>
      <c r="R3" s="7"/>
      <c r="S3" s="7"/>
      <c r="T3" s="7"/>
      <c r="U3" s="7"/>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row>
    <row r="4" spans="1:73" ht="10.5" customHeight="1">
      <c r="A4" s="7"/>
      <c r="B4" s="61"/>
      <c r="C4" s="7"/>
      <c r="D4" s="7"/>
      <c r="E4" s="7"/>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row>
    <row r="5" spans="1:73">
      <c r="A5" s="7"/>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row>
    <row r="6" spans="1:73">
      <c r="A6" s="7"/>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row>
    <row r="7" spans="1:73">
      <c r="A7" s="7"/>
      <c r="B7" s="7"/>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row>
    <row r="8" spans="1:73">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row>
    <row r="9" spans="1:73">
      <c r="A9" s="7"/>
      <c r="B9" s="7"/>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row>
    <row r="10" spans="1:73">
      <c r="A10" s="7"/>
      <c r="B10" s="7"/>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T10" s="1" t="s">
        <v>295</v>
      </c>
      <c r="BU10" s="1083">
        <v>220</v>
      </c>
    </row>
    <row r="11" spans="1:73">
      <c r="A11" s="7"/>
      <c r="B11" s="7"/>
      <c r="C11" s="7"/>
      <c r="D11" s="7"/>
      <c r="E11" s="7"/>
      <c r="F11" s="7"/>
      <c r="G11" s="7"/>
      <c r="H11" s="7"/>
      <c r="I11" s="7"/>
      <c r="J11" s="7"/>
      <c r="K11" s="7"/>
      <c r="L11" s="7"/>
      <c r="M11" s="7"/>
      <c r="N11" s="7"/>
      <c r="O11" s="7"/>
      <c r="P11" s="7"/>
      <c r="Q11" s="178"/>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T11" s="1" t="s">
        <v>296</v>
      </c>
      <c r="BU11" s="1084">
        <v>156</v>
      </c>
    </row>
    <row r="12" spans="1:73">
      <c r="A12" s="7"/>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T12" s="1" t="s">
        <v>297</v>
      </c>
      <c r="BU12" s="1084">
        <v>279</v>
      </c>
    </row>
    <row r="13" spans="1:73">
      <c r="A13" s="7"/>
      <c r="B13" s="7"/>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T13" s="1" t="s">
        <v>298</v>
      </c>
      <c r="BU13" s="1084">
        <v>96</v>
      </c>
    </row>
    <row r="14" spans="1:73">
      <c r="A14" s="7"/>
      <c r="B14" s="7"/>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T14" s="1" t="s">
        <v>299</v>
      </c>
      <c r="BU14" s="1084">
        <v>118</v>
      </c>
    </row>
    <row r="15" spans="1:73">
      <c r="A15" s="7"/>
      <c r="B15" s="7"/>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T15" s="1" t="s">
        <v>300</v>
      </c>
      <c r="BU15" s="1084">
        <v>101</v>
      </c>
    </row>
    <row r="16" spans="1:73">
      <c r="A16" s="7"/>
      <c r="B16" s="7"/>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T16" s="1" t="s">
        <v>301</v>
      </c>
      <c r="BU16" s="1084">
        <v>121</v>
      </c>
    </row>
    <row r="17" spans="1:73">
      <c r="A17" s="7"/>
      <c r="B17" s="7"/>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T17" s="1" t="s">
        <v>302</v>
      </c>
      <c r="BU17" s="1084">
        <v>146</v>
      </c>
    </row>
    <row r="18" spans="1:73">
      <c r="A18" s="7"/>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T18" s="1" t="s">
        <v>303</v>
      </c>
      <c r="BU18" s="1084">
        <v>324</v>
      </c>
    </row>
    <row r="19" spans="1:73">
      <c r="A19" s="7"/>
      <c r="B19" s="7"/>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T19" s="1" t="s">
        <v>304</v>
      </c>
      <c r="BU19" s="1084">
        <v>89</v>
      </c>
    </row>
    <row r="20" spans="1:73">
      <c r="A20" s="7"/>
      <c r="B20" s="7"/>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T20" s="1" t="s">
        <v>305</v>
      </c>
      <c r="BU20" s="1084">
        <v>235</v>
      </c>
    </row>
    <row r="21" spans="1:73">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T21" s="1" t="s">
        <v>306</v>
      </c>
      <c r="BU21" s="1084">
        <v>142</v>
      </c>
    </row>
    <row r="22" spans="1:73">
      <c r="A22" s="7"/>
      <c r="B22" s="7"/>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T22" s="1" t="s">
        <v>307</v>
      </c>
      <c r="BU22" s="1084">
        <v>159</v>
      </c>
    </row>
    <row r="23" spans="1:73">
      <c r="A23" s="7"/>
      <c r="B23" s="7"/>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T23" s="1" t="s">
        <v>308</v>
      </c>
      <c r="BU23" s="1084">
        <v>141</v>
      </c>
    </row>
    <row r="24" spans="1:73">
      <c r="A24" s="7"/>
      <c r="B24" s="7"/>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T24" s="1" t="s">
        <v>309</v>
      </c>
      <c r="BU24" s="1084">
        <v>185</v>
      </c>
    </row>
    <row r="25" spans="1:73">
      <c r="A25" s="7"/>
      <c r="B25" s="7"/>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T25" s="1" t="s">
        <v>310</v>
      </c>
      <c r="BU25" s="1084">
        <v>97</v>
      </c>
    </row>
    <row r="26" spans="1:73">
      <c r="A26" s="7"/>
      <c r="B26" s="7"/>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U26" s="1083"/>
    </row>
    <row r="27" spans="1:73">
      <c r="A27" s="7"/>
      <c r="B27" s="7"/>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U27" s="62"/>
    </row>
    <row r="28" spans="1:73">
      <c r="A28" s="7"/>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U28" s="62"/>
    </row>
    <row r="29" spans="1:73">
      <c r="A29" s="7"/>
      <c r="B29" s="7"/>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U29" s="62"/>
    </row>
    <row r="30" spans="1:73">
      <c r="A30" s="7"/>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U30" s="62"/>
    </row>
    <row r="31" spans="1:73">
      <c r="A31" s="7"/>
      <c r="B31" s="7"/>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row>
    <row r="32" spans="1:73">
      <c r="A32" s="7"/>
      <c r="B32" s="7"/>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row>
    <row r="33" spans="1:59">
      <c r="A33" s="7"/>
      <c r="B33" s="7"/>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row>
    <row r="34" spans="1:59">
      <c r="A34" s="7"/>
      <c r="B34" s="7"/>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7"/>
      <c r="AY34" s="7"/>
      <c r="AZ34" s="7"/>
      <c r="BA34" s="7"/>
      <c r="BB34" s="7"/>
      <c r="BC34" s="7"/>
      <c r="BD34" s="7"/>
      <c r="BE34" s="7"/>
      <c r="BF34" s="7"/>
      <c r="BG34" s="7"/>
    </row>
    <row r="35" spans="1:59">
      <c r="A35" s="7"/>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7"/>
      <c r="AX35" s="7"/>
      <c r="AY35" s="7"/>
      <c r="AZ35" s="7"/>
      <c r="BA35" s="7"/>
      <c r="BB35" s="7"/>
      <c r="BC35" s="7"/>
      <c r="BD35" s="7"/>
      <c r="BE35" s="7"/>
      <c r="BF35" s="7"/>
      <c r="BG35" s="7"/>
    </row>
    <row r="36" spans="1:59">
      <c r="A36" s="7"/>
      <c r="B36" s="7"/>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row>
    <row r="37" spans="1:59">
      <c r="A37" s="7"/>
      <c r="B37" s="7"/>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7"/>
      <c r="AY37" s="7"/>
      <c r="AZ37" s="7"/>
      <c r="BA37" s="7"/>
      <c r="BB37" s="7"/>
      <c r="BC37" s="7"/>
      <c r="BD37" s="7"/>
      <c r="BE37" s="7"/>
      <c r="BF37" s="7"/>
      <c r="BG37" s="7"/>
    </row>
    <row r="38" spans="1:59">
      <c r="A38" s="7"/>
      <c r="B38" s="7"/>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7"/>
      <c r="AY38" s="7"/>
      <c r="AZ38" s="7"/>
      <c r="BA38" s="7"/>
      <c r="BB38" s="7"/>
      <c r="BC38" s="7"/>
      <c r="BD38" s="7"/>
      <c r="BE38" s="7"/>
      <c r="BF38" s="7"/>
      <c r="BG38" s="7"/>
    </row>
    <row r="39" spans="1:59">
      <c r="A39" s="7"/>
      <c r="B39" s="7"/>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c r="AL39" s="7"/>
      <c r="AM39" s="7"/>
      <c r="AN39" s="7"/>
      <c r="AO39" s="7"/>
      <c r="AP39" s="7"/>
      <c r="AQ39" s="7"/>
      <c r="AR39" s="7"/>
      <c r="AS39" s="7"/>
      <c r="AT39" s="7"/>
      <c r="AU39" s="7"/>
      <c r="AV39" s="7"/>
      <c r="AW39" s="7"/>
      <c r="AX39" s="7"/>
      <c r="AY39" s="7"/>
      <c r="AZ39" s="7"/>
      <c r="BA39" s="7"/>
      <c r="BB39" s="7"/>
      <c r="BC39" s="7"/>
      <c r="BD39" s="7"/>
      <c r="BE39" s="7"/>
      <c r="BF39" s="7"/>
      <c r="BG39" s="7"/>
    </row>
    <row r="40" spans="1:59">
      <c r="A40" s="7"/>
      <c r="B40" s="7"/>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7"/>
      <c r="AY40" s="7"/>
      <c r="AZ40" s="7"/>
      <c r="BA40" s="7"/>
      <c r="BB40" s="7"/>
      <c r="BC40" s="7"/>
      <c r="BD40" s="7"/>
      <c r="BE40" s="7"/>
      <c r="BF40" s="7"/>
      <c r="BG40" s="7"/>
    </row>
    <row r="41" spans="1:59">
      <c r="A41" s="7"/>
      <c r="B41" s="7"/>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row>
    <row r="42" spans="1:59">
      <c r="A42" s="7"/>
      <c r="B42" s="7"/>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c r="AF42" s="7"/>
      <c r="AG42" s="7"/>
      <c r="AH42" s="7"/>
      <c r="AI42" s="7"/>
      <c r="AJ42" s="7"/>
      <c r="AK42" s="7"/>
      <c r="AL42" s="7"/>
      <c r="AM42" s="7"/>
      <c r="AN42" s="7"/>
      <c r="AO42" s="7"/>
      <c r="AP42" s="7"/>
      <c r="AQ42" s="7"/>
      <c r="AR42" s="7"/>
      <c r="AS42" s="7"/>
      <c r="AT42" s="7"/>
      <c r="AU42" s="7"/>
      <c r="AV42" s="7"/>
      <c r="AW42" s="7"/>
      <c r="AX42" s="7"/>
      <c r="AY42" s="7"/>
      <c r="AZ42" s="7"/>
      <c r="BA42" s="7"/>
      <c r="BB42" s="7"/>
      <c r="BC42" s="7"/>
      <c r="BD42" s="7"/>
      <c r="BE42" s="7"/>
      <c r="BF42" s="7"/>
      <c r="BG42" s="7"/>
    </row>
    <row r="43" spans="1:59">
      <c r="A43" s="7"/>
      <c r="B43" s="7"/>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7"/>
      <c r="AY43" s="7"/>
      <c r="AZ43" s="7"/>
      <c r="BA43" s="7"/>
      <c r="BB43" s="7"/>
      <c r="BC43" s="7"/>
      <c r="BD43" s="7"/>
      <c r="BE43" s="7"/>
      <c r="BF43" s="7"/>
      <c r="BG43" s="7"/>
    </row>
    <row r="44" spans="1:59">
      <c r="A44" s="7"/>
      <c r="B44" s="7"/>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c r="AF44" s="7"/>
      <c r="AG44" s="7"/>
      <c r="AH44" s="7"/>
      <c r="AI44" s="7"/>
      <c r="AJ44" s="7"/>
      <c r="AK44" s="7"/>
      <c r="AL44" s="7"/>
      <c r="AM44" s="7"/>
      <c r="AN44" s="7"/>
      <c r="AO44" s="7"/>
      <c r="AP44" s="7"/>
      <c r="AQ44" s="7"/>
      <c r="AR44" s="7"/>
      <c r="AS44" s="7"/>
      <c r="AT44" s="7"/>
      <c r="AU44" s="7"/>
      <c r="AV44" s="7"/>
      <c r="AW44" s="7"/>
      <c r="AX44" s="7"/>
      <c r="AY44" s="7"/>
      <c r="AZ44" s="7"/>
      <c r="BA44" s="7"/>
      <c r="BB44" s="7"/>
      <c r="BC44" s="7"/>
      <c r="BD44" s="7"/>
      <c r="BE44" s="7"/>
      <c r="BF44" s="7"/>
      <c r="BG44" s="7"/>
    </row>
    <row r="45" spans="1:59">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7"/>
      <c r="AX45" s="7"/>
      <c r="AY45" s="7"/>
      <c r="AZ45" s="7"/>
      <c r="BA45" s="7"/>
      <c r="BB45" s="7"/>
      <c r="BC45" s="7"/>
      <c r="BD45" s="7"/>
      <c r="BE45" s="7"/>
      <c r="BF45" s="7"/>
      <c r="BG45" s="7"/>
    </row>
    <row r="46" spans="1:59">
      <c r="A46" s="7"/>
      <c r="B46" s="7"/>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7"/>
      <c r="AY46" s="7"/>
      <c r="AZ46" s="7"/>
      <c r="BA46" s="7"/>
      <c r="BB46" s="7"/>
      <c r="BC46" s="7"/>
      <c r="BD46" s="7"/>
      <c r="BE46" s="7"/>
      <c r="BF46" s="7"/>
      <c r="BG46" s="7"/>
    </row>
    <row r="47" spans="1:59">
      <c r="A47" s="7"/>
      <c r="B47" s="7"/>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c r="AE47" s="7"/>
      <c r="AF47" s="7"/>
      <c r="AG47" s="7"/>
      <c r="AH47" s="7"/>
      <c r="AI47" s="7"/>
      <c r="AJ47" s="7"/>
      <c r="AK47" s="7"/>
      <c r="AL47" s="7"/>
      <c r="AM47" s="7"/>
      <c r="AN47" s="7"/>
      <c r="AO47" s="7"/>
      <c r="AP47" s="7"/>
      <c r="AQ47" s="7"/>
      <c r="AR47" s="7"/>
      <c r="AS47" s="7"/>
      <c r="AT47" s="7"/>
      <c r="AU47" s="7"/>
      <c r="AV47" s="7"/>
      <c r="AW47" s="7"/>
      <c r="AX47" s="7"/>
      <c r="AY47" s="7"/>
      <c r="AZ47" s="7"/>
      <c r="BA47" s="7"/>
      <c r="BB47" s="7"/>
      <c r="BC47" s="7"/>
      <c r="BD47" s="7"/>
      <c r="BE47" s="7"/>
      <c r="BF47" s="7"/>
      <c r="BG47" s="7"/>
    </row>
    <row r="48" spans="1:59">
      <c r="A48" s="7"/>
      <c r="B48" s="7"/>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7"/>
      <c r="AX48" s="7"/>
      <c r="AY48" s="7"/>
      <c r="AZ48" s="7"/>
      <c r="BA48" s="7"/>
      <c r="BB48" s="7"/>
      <c r="BC48" s="7"/>
      <c r="BD48" s="7"/>
      <c r="BE48" s="7"/>
      <c r="BF48" s="7"/>
      <c r="BG48" s="7"/>
    </row>
    <row r="49" spans="1:59">
      <c r="A49" s="7"/>
      <c r="B49" s="7"/>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7"/>
      <c r="AY49" s="7"/>
      <c r="AZ49" s="7"/>
      <c r="BA49" s="7"/>
      <c r="BB49" s="7"/>
      <c r="BC49" s="7"/>
      <c r="BD49" s="7"/>
      <c r="BE49" s="7"/>
      <c r="BF49" s="7"/>
      <c r="BG49" s="7"/>
    </row>
    <row r="50" spans="1:59">
      <c r="A50" s="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7"/>
      <c r="AY50" s="7"/>
      <c r="AZ50" s="7"/>
      <c r="BA50" s="7"/>
      <c r="BB50" s="7"/>
      <c r="BC50" s="7"/>
      <c r="BD50" s="7"/>
      <c r="BE50" s="7"/>
      <c r="BF50" s="7"/>
      <c r="BG50" s="7"/>
    </row>
    <row r="51" spans="1:59">
      <c r="A51" s="7"/>
      <c r="B51" s="7"/>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7"/>
      <c r="AY51" s="7"/>
      <c r="AZ51" s="7"/>
      <c r="BA51" s="7"/>
      <c r="BB51" s="7"/>
      <c r="BC51" s="7"/>
      <c r="BD51" s="7"/>
      <c r="BE51" s="7"/>
      <c r="BF51" s="7"/>
      <c r="BG51" s="7"/>
    </row>
    <row r="52" spans="1:59">
      <c r="A52" s="7"/>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7"/>
      <c r="AG52" s="7"/>
      <c r="AH52" s="7"/>
      <c r="AI52" s="7"/>
      <c r="AJ52" s="7"/>
      <c r="AK52" s="7"/>
      <c r="AL52" s="7"/>
      <c r="AM52" s="7"/>
      <c r="AN52" s="7"/>
      <c r="AO52" s="7"/>
      <c r="AP52" s="7"/>
      <c r="AQ52" s="7"/>
      <c r="AR52" s="7"/>
      <c r="AS52" s="7"/>
      <c r="AT52" s="7"/>
      <c r="AU52" s="7"/>
      <c r="AV52" s="7"/>
      <c r="AW52" s="7"/>
      <c r="AX52" s="7"/>
      <c r="AY52" s="7"/>
      <c r="AZ52" s="7"/>
      <c r="BA52" s="7"/>
      <c r="BB52" s="7"/>
      <c r="BC52" s="7"/>
      <c r="BD52" s="7"/>
      <c r="BE52" s="7"/>
      <c r="BF52" s="7"/>
      <c r="BG52" s="7"/>
    </row>
    <row r="53" spans="1:59">
      <c r="A53" s="7"/>
      <c r="B53" s="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7"/>
      <c r="AY53" s="7"/>
      <c r="AZ53" s="7"/>
      <c r="BA53" s="7"/>
      <c r="BB53" s="7"/>
      <c r="BC53" s="7"/>
      <c r="BD53" s="7"/>
      <c r="BE53" s="7"/>
      <c r="BF53" s="7"/>
      <c r="BG53" s="7"/>
    </row>
    <row r="54" spans="1:59">
      <c r="A54" s="7"/>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c r="AF54" s="7"/>
      <c r="AG54" s="7"/>
      <c r="AH54" s="7"/>
      <c r="AI54" s="7"/>
      <c r="AJ54" s="7"/>
      <c r="AK54" s="7"/>
      <c r="AL54" s="7"/>
      <c r="AM54" s="7"/>
      <c r="AN54" s="7"/>
      <c r="AO54" s="7"/>
      <c r="AP54" s="7"/>
      <c r="AQ54" s="7"/>
      <c r="AR54" s="7"/>
      <c r="AS54" s="7"/>
      <c r="AT54" s="7"/>
      <c r="AU54" s="7"/>
      <c r="AV54" s="7"/>
      <c r="AW54" s="7"/>
      <c r="AX54" s="7"/>
      <c r="AY54" s="7"/>
      <c r="AZ54" s="7"/>
      <c r="BA54" s="7"/>
      <c r="BB54" s="7"/>
      <c r="BC54" s="7"/>
      <c r="BD54" s="7"/>
      <c r="BE54" s="7"/>
      <c r="BF54" s="7"/>
      <c r="BG54" s="7"/>
    </row>
    <row r="55" spans="1:59">
      <c r="A55" s="7"/>
      <c r="B55" s="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7"/>
      <c r="AY55" s="7"/>
      <c r="AZ55" s="7"/>
      <c r="BA55" s="7"/>
      <c r="BB55" s="7"/>
      <c r="BC55" s="7"/>
      <c r="BD55" s="7"/>
      <c r="BE55" s="7"/>
      <c r="BF55" s="7"/>
      <c r="BG55" s="7"/>
    </row>
    <row r="56" spans="1:59">
      <c r="A56" s="7"/>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7"/>
      <c r="AY56" s="7"/>
      <c r="AZ56" s="7"/>
      <c r="BA56" s="7"/>
      <c r="BB56" s="7"/>
      <c r="BC56" s="7"/>
      <c r="BD56" s="7"/>
      <c r="BE56" s="7"/>
      <c r="BF56" s="7"/>
      <c r="BG56" s="7"/>
    </row>
    <row r="57" spans="1:59">
      <c r="A57" s="7"/>
      <c r="B57" s="7"/>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7"/>
      <c r="AX57" s="7"/>
      <c r="AY57" s="7"/>
      <c r="AZ57" s="7"/>
      <c r="BA57" s="7"/>
      <c r="BB57" s="7"/>
      <c r="BC57" s="7"/>
      <c r="BD57" s="7"/>
      <c r="BE57" s="7"/>
      <c r="BF57" s="7"/>
      <c r="BG57" s="7"/>
    </row>
    <row r="58" spans="1:59">
      <c r="A58" s="7"/>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7"/>
      <c r="AY58" s="7"/>
      <c r="AZ58" s="7"/>
      <c r="BA58" s="7"/>
      <c r="BB58" s="7"/>
      <c r="BC58" s="7"/>
      <c r="BD58" s="7"/>
      <c r="BE58" s="7"/>
      <c r="BF58" s="7"/>
      <c r="BG58" s="7"/>
    </row>
    <row r="59" spans="1:59">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7"/>
      <c r="AY59" s="7"/>
      <c r="AZ59" s="7"/>
      <c r="BA59" s="7"/>
      <c r="BB59" s="7"/>
      <c r="BC59" s="7"/>
      <c r="BD59" s="7"/>
      <c r="BE59" s="7"/>
      <c r="BF59" s="7"/>
      <c r="BG59" s="7"/>
    </row>
    <row r="60" spans="1:59">
      <c r="A60" s="7"/>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c r="AF60" s="7"/>
      <c r="AG60" s="7"/>
      <c r="AH60" s="7"/>
      <c r="AI60" s="7"/>
      <c r="AJ60" s="7"/>
      <c r="AK60" s="7"/>
      <c r="AL60" s="7"/>
      <c r="AM60" s="7"/>
      <c r="AN60" s="7"/>
      <c r="AO60" s="7"/>
      <c r="AP60" s="7"/>
      <c r="AQ60" s="7"/>
      <c r="AR60" s="7"/>
      <c r="AS60" s="7"/>
      <c r="AT60" s="7"/>
      <c r="AU60" s="7"/>
      <c r="AV60" s="7"/>
      <c r="AW60" s="7"/>
      <c r="AX60" s="7"/>
      <c r="AY60" s="7"/>
      <c r="AZ60" s="7"/>
      <c r="BA60" s="7"/>
      <c r="BB60" s="7"/>
      <c r="BC60" s="7"/>
      <c r="BD60" s="7"/>
      <c r="BE60" s="7"/>
      <c r="BF60" s="7"/>
      <c r="BG60" s="7"/>
    </row>
    <row r="61" spans="1:59">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7"/>
      <c r="AY61" s="7"/>
      <c r="AZ61" s="7"/>
      <c r="BA61" s="7"/>
      <c r="BB61" s="7"/>
      <c r="BC61" s="7"/>
      <c r="BD61" s="7"/>
      <c r="BE61" s="7"/>
      <c r="BF61" s="7"/>
      <c r="BG61" s="7"/>
    </row>
    <row r="62" spans="1:59">
      <c r="A62" s="7"/>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7"/>
      <c r="AY62" s="7"/>
      <c r="AZ62" s="7"/>
      <c r="BA62" s="7"/>
      <c r="BB62" s="7"/>
      <c r="BC62" s="7"/>
      <c r="BD62" s="7"/>
      <c r="BE62" s="7"/>
      <c r="BF62" s="7"/>
      <c r="BG62" s="7"/>
    </row>
    <row r="63" spans="1:59">
      <c r="A63" s="7"/>
      <c r="B63" s="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7"/>
      <c r="AX63" s="7"/>
      <c r="AY63" s="7"/>
      <c r="AZ63" s="7"/>
      <c r="BA63" s="7"/>
      <c r="BB63" s="7"/>
      <c r="BC63" s="7"/>
      <c r="BD63" s="7"/>
      <c r="BE63" s="7"/>
      <c r="BF63" s="7"/>
      <c r="BG63" s="7"/>
    </row>
    <row r="64" spans="1:59">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7"/>
      <c r="AY64" s="7"/>
      <c r="AZ64" s="7"/>
      <c r="BA64" s="7"/>
      <c r="BB64" s="7"/>
      <c r="BC64" s="7"/>
      <c r="BD64" s="7"/>
      <c r="BE64" s="7"/>
      <c r="BF64" s="7"/>
      <c r="BG64" s="7"/>
    </row>
    <row r="65" spans="1:59">
      <c r="A65" s="7"/>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7"/>
      <c r="AY65" s="7"/>
      <c r="AZ65" s="7"/>
      <c r="BA65" s="7"/>
      <c r="BB65" s="7"/>
      <c r="BC65" s="7"/>
      <c r="BD65" s="7"/>
      <c r="BE65" s="7"/>
      <c r="BF65" s="7"/>
      <c r="BG65" s="7"/>
    </row>
    <row r="66" spans="1:59">
      <c r="A66" s="7"/>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c r="AF66" s="7"/>
      <c r="AG66" s="7"/>
      <c r="AH66" s="7"/>
      <c r="AI66" s="7"/>
      <c r="AJ66" s="7"/>
      <c r="AK66" s="7"/>
      <c r="AL66" s="7"/>
      <c r="AM66" s="7"/>
      <c r="AN66" s="7"/>
      <c r="AO66" s="7"/>
      <c r="AP66" s="7"/>
      <c r="AQ66" s="7"/>
      <c r="AR66" s="7"/>
      <c r="AS66" s="7"/>
      <c r="AT66" s="7"/>
      <c r="AU66" s="7"/>
      <c r="AV66" s="7"/>
      <c r="AW66" s="7"/>
      <c r="AX66" s="7"/>
      <c r="AY66" s="7"/>
      <c r="AZ66" s="7"/>
      <c r="BA66" s="7"/>
      <c r="BB66" s="7"/>
      <c r="BC66" s="7"/>
      <c r="BD66" s="7"/>
      <c r="BE66" s="7"/>
      <c r="BF66" s="7"/>
      <c r="BG66" s="7"/>
    </row>
    <row r="67" spans="1:59">
      <c r="A67" s="7"/>
      <c r="B67" s="7"/>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7"/>
      <c r="AY67" s="7"/>
      <c r="AZ67" s="7"/>
      <c r="BA67" s="7"/>
      <c r="BB67" s="7"/>
      <c r="BC67" s="7"/>
      <c r="BD67" s="7"/>
      <c r="BE67" s="7"/>
      <c r="BF67" s="7"/>
      <c r="BG67" s="7"/>
    </row>
    <row r="68" spans="1:59">
      <c r="A68" s="7"/>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7"/>
      <c r="AY68" s="7"/>
      <c r="AZ68" s="7"/>
      <c r="BA68" s="7"/>
      <c r="BB68" s="7"/>
      <c r="BC68" s="7"/>
      <c r="BD68" s="7"/>
      <c r="BE68" s="7"/>
      <c r="BF68" s="7"/>
      <c r="BG68" s="7"/>
    </row>
    <row r="69" spans="1:59">
      <c r="A69" s="7"/>
      <c r="B69" s="7"/>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c r="AF69" s="7"/>
      <c r="AG69" s="7"/>
      <c r="AH69" s="7"/>
      <c r="AI69" s="7"/>
      <c r="AJ69" s="7"/>
      <c r="AK69" s="7"/>
      <c r="AL69" s="7"/>
      <c r="AM69" s="7"/>
      <c r="AN69" s="7"/>
      <c r="AO69" s="7"/>
      <c r="AP69" s="7"/>
      <c r="AQ69" s="7"/>
      <c r="AR69" s="7"/>
      <c r="AS69" s="7"/>
      <c r="AT69" s="7"/>
      <c r="AU69" s="7"/>
      <c r="AV69" s="7"/>
      <c r="AW69" s="7"/>
      <c r="AX69" s="7"/>
      <c r="AY69" s="7"/>
      <c r="AZ69" s="7"/>
      <c r="BA69" s="7"/>
      <c r="BB69" s="7"/>
      <c r="BC69" s="7"/>
      <c r="BD69" s="7"/>
      <c r="BE69" s="7"/>
      <c r="BF69" s="7"/>
      <c r="BG69" s="7"/>
    </row>
    <row r="70" spans="1:59">
      <c r="A70" s="7"/>
      <c r="B70" s="7"/>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7"/>
      <c r="AY70" s="7"/>
      <c r="AZ70" s="7"/>
      <c r="BA70" s="7"/>
      <c r="BB70" s="7"/>
      <c r="BC70" s="7"/>
      <c r="BD70" s="7"/>
      <c r="BE70" s="7"/>
      <c r="BF70" s="7"/>
      <c r="BG70" s="7"/>
    </row>
    <row r="71" spans="1:59">
      <c r="A71" s="7"/>
      <c r="B71" s="7"/>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7"/>
      <c r="AY71" s="7"/>
      <c r="AZ71" s="7"/>
      <c r="BA71" s="7"/>
      <c r="BB71" s="7"/>
      <c r="BC71" s="7"/>
      <c r="BD71" s="7"/>
      <c r="BE71" s="7"/>
      <c r="BF71" s="7"/>
      <c r="BG71" s="7"/>
    </row>
    <row r="72" spans="1:59">
      <c r="A72" s="7"/>
      <c r="B72" s="7"/>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c r="AF72" s="7"/>
      <c r="AG72" s="7"/>
      <c r="AH72" s="7"/>
      <c r="AI72" s="7"/>
      <c r="AJ72" s="7"/>
      <c r="AK72" s="7"/>
      <c r="AL72" s="7"/>
      <c r="AM72" s="7"/>
      <c r="AN72" s="7"/>
      <c r="AO72" s="7"/>
      <c r="AP72" s="7"/>
      <c r="AQ72" s="7"/>
      <c r="AR72" s="7"/>
      <c r="AS72" s="7"/>
      <c r="AT72" s="7"/>
      <c r="AU72" s="7"/>
      <c r="AV72" s="7"/>
      <c r="AW72" s="7"/>
      <c r="AX72" s="7"/>
      <c r="AY72" s="7"/>
      <c r="AZ72" s="7"/>
      <c r="BA72" s="7"/>
      <c r="BB72" s="7"/>
      <c r="BC72" s="7"/>
      <c r="BD72" s="7"/>
      <c r="BE72" s="7"/>
      <c r="BF72" s="7"/>
      <c r="BG72" s="7"/>
    </row>
    <row r="73" spans="1:59">
      <c r="A73" s="7"/>
      <c r="B73" s="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7"/>
      <c r="AY73" s="7"/>
      <c r="AZ73" s="7"/>
      <c r="BA73" s="7"/>
      <c r="BB73" s="7"/>
      <c r="BC73" s="7"/>
      <c r="BD73" s="7"/>
      <c r="BE73" s="7"/>
      <c r="BF73" s="7"/>
      <c r="BG73" s="7"/>
    </row>
    <row r="74" spans="1:59">
      <c r="A74" s="7"/>
      <c r="B74" s="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7"/>
      <c r="AX74" s="7"/>
      <c r="AY74" s="7"/>
      <c r="AZ74" s="7"/>
      <c r="BA74" s="7"/>
      <c r="BB74" s="7"/>
      <c r="BC74" s="7"/>
      <c r="BD74" s="7"/>
      <c r="BE74" s="7"/>
      <c r="BF74" s="7"/>
      <c r="BG74" s="7"/>
    </row>
    <row r="75" spans="1:59">
      <c r="A75" s="7"/>
      <c r="B75" s="7"/>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c r="AF75" s="7"/>
      <c r="AG75" s="7"/>
      <c r="AH75" s="7"/>
      <c r="AI75" s="7"/>
      <c r="AJ75" s="7"/>
      <c r="AK75" s="7"/>
      <c r="AL75" s="7"/>
      <c r="AM75" s="7"/>
      <c r="AN75" s="7"/>
      <c r="AO75" s="7"/>
      <c r="AP75" s="7"/>
      <c r="AQ75" s="7"/>
      <c r="AR75" s="7"/>
      <c r="AS75" s="7"/>
      <c r="AT75" s="7"/>
      <c r="AU75" s="7"/>
      <c r="AV75" s="7"/>
      <c r="AW75" s="7"/>
      <c r="AX75" s="7"/>
      <c r="AY75" s="7"/>
      <c r="AZ75" s="7"/>
      <c r="BA75" s="7"/>
      <c r="BB75" s="7"/>
      <c r="BC75" s="7"/>
      <c r="BD75" s="7"/>
      <c r="BE75" s="7"/>
      <c r="BF75" s="7"/>
      <c r="BG75" s="7"/>
    </row>
    <row r="76" spans="1:59">
      <c r="A76" s="7"/>
      <c r="B76" s="7"/>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7"/>
      <c r="AY76" s="7"/>
      <c r="AZ76" s="7"/>
      <c r="BA76" s="7"/>
      <c r="BB76" s="7"/>
      <c r="BC76" s="7"/>
      <c r="BD76" s="7"/>
      <c r="BE76" s="7"/>
      <c r="BF76" s="7"/>
      <c r="BG76" s="7"/>
    </row>
    <row r="77" spans="1:59">
      <c r="A77" s="7"/>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7"/>
      <c r="AY77" s="7"/>
      <c r="AZ77" s="7"/>
      <c r="BA77" s="7"/>
      <c r="BB77" s="7"/>
      <c r="BC77" s="7"/>
      <c r="BD77" s="7"/>
      <c r="BE77" s="7"/>
      <c r="BF77" s="7"/>
      <c r="BG77" s="7"/>
    </row>
    <row r="78" spans="1:59">
      <c r="A78" s="7"/>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c r="AJ78" s="7"/>
      <c r="AK78" s="7"/>
      <c r="AL78" s="7"/>
      <c r="AM78" s="7"/>
      <c r="AN78" s="7"/>
      <c r="AO78" s="7"/>
      <c r="AP78" s="7"/>
      <c r="AQ78" s="7"/>
      <c r="AR78" s="7"/>
      <c r="AS78" s="7"/>
      <c r="AT78" s="7"/>
      <c r="AU78" s="7"/>
      <c r="AV78" s="7"/>
      <c r="AW78" s="7"/>
      <c r="AX78" s="7"/>
      <c r="AY78" s="7"/>
      <c r="AZ78" s="7"/>
      <c r="BA78" s="7"/>
      <c r="BB78" s="7"/>
      <c r="BC78" s="7"/>
      <c r="BD78" s="7"/>
      <c r="BE78" s="7"/>
      <c r="BF78" s="7"/>
      <c r="BG78" s="7"/>
    </row>
    <row r="79" spans="1:59">
      <c r="A79" s="7"/>
      <c r="B79" s="7"/>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7"/>
      <c r="AY79" s="7"/>
      <c r="AZ79" s="7"/>
      <c r="BA79" s="7"/>
      <c r="BB79" s="7"/>
      <c r="BC79" s="7"/>
      <c r="BD79" s="7"/>
      <c r="BE79" s="7"/>
      <c r="BF79" s="7"/>
      <c r="BG79" s="7"/>
    </row>
    <row r="80" spans="1:59">
      <c r="A80" s="7"/>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7"/>
      <c r="AY80" s="7"/>
      <c r="AZ80" s="7"/>
      <c r="BA80" s="7"/>
      <c r="BB80" s="7"/>
      <c r="BC80" s="7"/>
      <c r="BD80" s="7"/>
      <c r="BE80" s="7"/>
      <c r="BF80" s="7"/>
      <c r="BG80" s="7"/>
    </row>
    <row r="81" spans="1:59">
      <c r="A81" s="7"/>
      <c r="B81" s="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c r="AF81" s="7"/>
      <c r="AG81" s="7"/>
      <c r="AH81" s="7"/>
      <c r="AI81" s="7"/>
      <c r="AJ81" s="7"/>
      <c r="AK81" s="7"/>
      <c r="AL81" s="7"/>
      <c r="AM81" s="7"/>
      <c r="AN81" s="7"/>
      <c r="AO81" s="7"/>
      <c r="AP81" s="7"/>
      <c r="AQ81" s="7"/>
      <c r="AR81" s="7"/>
      <c r="AS81" s="7"/>
      <c r="AT81" s="7"/>
      <c r="AU81" s="7"/>
      <c r="AV81" s="7"/>
      <c r="AW81" s="7"/>
      <c r="AX81" s="7"/>
      <c r="AY81" s="7"/>
      <c r="AZ81" s="7"/>
      <c r="BA81" s="7"/>
      <c r="BB81" s="7"/>
      <c r="BC81" s="7"/>
      <c r="BD81" s="7"/>
      <c r="BE81" s="7"/>
      <c r="BF81" s="7"/>
      <c r="BG81" s="7"/>
    </row>
    <row r="82" spans="1:59">
      <c r="A82" s="7"/>
      <c r="B82" s="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7"/>
      <c r="AY82" s="7"/>
      <c r="AZ82" s="7"/>
      <c r="BA82" s="7"/>
      <c r="BB82" s="7"/>
      <c r="BC82" s="7"/>
      <c r="BD82" s="7"/>
      <c r="BE82" s="7"/>
      <c r="BF82" s="7"/>
      <c r="BG82" s="7"/>
    </row>
    <row r="83" spans="1:59">
      <c r="A83" s="7"/>
      <c r="B83" s="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7"/>
      <c r="AY83" s="7"/>
      <c r="AZ83" s="7"/>
      <c r="BA83" s="7"/>
      <c r="BB83" s="7"/>
      <c r="BC83" s="7"/>
      <c r="BD83" s="7"/>
      <c r="BE83" s="7"/>
      <c r="BF83" s="7"/>
      <c r="BG83" s="7"/>
    </row>
    <row r="84" spans="1:59">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c r="AF84" s="7"/>
      <c r="AG84" s="7"/>
      <c r="AH84" s="7"/>
      <c r="AI84" s="7"/>
      <c r="AJ84" s="7"/>
      <c r="AK84" s="7"/>
      <c r="AL84" s="7"/>
      <c r="AM84" s="7"/>
      <c r="AN84" s="7"/>
      <c r="AO84" s="7"/>
      <c r="AP84" s="7"/>
      <c r="AQ84" s="7"/>
      <c r="AR84" s="7"/>
      <c r="AS84" s="7"/>
      <c r="AT84" s="7"/>
      <c r="AU84" s="7"/>
      <c r="AV84" s="7"/>
      <c r="AW84" s="7"/>
      <c r="AX84" s="7"/>
      <c r="AY84" s="7"/>
      <c r="AZ84" s="7"/>
      <c r="BA84" s="7"/>
      <c r="BB84" s="7"/>
      <c r="BC84" s="7"/>
      <c r="BD84" s="7"/>
      <c r="BE84" s="7"/>
      <c r="BF84" s="7"/>
      <c r="BG84" s="7"/>
    </row>
    <row r="85" spans="1:59">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7"/>
      <c r="AY85" s="7"/>
      <c r="AZ85" s="7"/>
      <c r="BA85" s="7"/>
      <c r="BB85" s="7"/>
      <c r="BC85" s="7"/>
      <c r="BD85" s="7"/>
      <c r="BE85" s="7"/>
      <c r="BF85" s="7"/>
      <c r="BG85" s="7"/>
    </row>
    <row r="86" spans="1:59">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7"/>
      <c r="AY86" s="7"/>
      <c r="AZ86" s="7"/>
      <c r="BA86" s="7"/>
      <c r="BB86" s="7"/>
      <c r="BC86" s="7"/>
      <c r="BD86" s="7"/>
      <c r="BE86" s="7"/>
      <c r="BF86" s="7"/>
      <c r="BG86" s="7"/>
    </row>
    <row r="87" spans="1:59">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7"/>
      <c r="AX87" s="7"/>
      <c r="AY87" s="7"/>
      <c r="AZ87" s="7"/>
      <c r="BA87" s="7"/>
      <c r="BB87" s="7"/>
      <c r="BC87" s="7"/>
      <c r="BD87" s="7"/>
      <c r="BE87" s="7"/>
      <c r="BF87" s="7"/>
      <c r="BG87" s="7"/>
    </row>
    <row r="88" spans="1:59">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c r="AF88" s="7"/>
      <c r="AG88" s="7"/>
      <c r="AH88" s="7"/>
      <c r="AI88" s="7"/>
      <c r="AJ88" s="7"/>
      <c r="AK88" s="7"/>
      <c r="AL88" s="7"/>
      <c r="AM88" s="7"/>
      <c r="AN88" s="7"/>
      <c r="AO88" s="7"/>
      <c r="AP88" s="7"/>
      <c r="AQ88" s="7"/>
      <c r="AR88" s="7"/>
      <c r="AS88" s="7"/>
      <c r="AT88" s="7"/>
      <c r="AU88" s="7"/>
      <c r="AV88" s="7"/>
      <c r="AW88" s="7"/>
      <c r="AX88" s="7"/>
      <c r="AY88" s="7"/>
      <c r="AZ88" s="7"/>
      <c r="BA88" s="7"/>
      <c r="BB88" s="7"/>
      <c r="BC88" s="7"/>
      <c r="BD88" s="7"/>
      <c r="BE88" s="7"/>
      <c r="BF88" s="7"/>
      <c r="BG88" s="7"/>
    </row>
  </sheetData>
  <phoneticPr fontId="4"/>
  <printOptions horizontalCentered="1"/>
  <pageMargins left="0.78740157480314965" right="0.39370078740157483" top="0.98425196850393704" bottom="0.98425196850393704" header="0.31496062992125984" footer="0.51181102362204722"/>
  <pageSetup paperSize="9" scale="59" firstPageNumber="0" orientation="portrait" r:id="rId1"/>
  <headerFooter scaleWithDoc="0" alignWithMargins="0">
    <oddFooter>&amp;C- &amp;P -</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46</vt:i4>
      </vt:variant>
      <vt:variant>
        <vt:lpstr>名前付き一覧</vt:lpstr>
      </vt:variant>
      <vt:variant>
        <vt:i4>39</vt:i4>
      </vt:variant>
    </vt:vector>
  </HeadingPairs>
  <TitlesOfParts>
    <vt:vector size="85" baseType="lpstr">
      <vt:lpstr>1ページ（状況）</vt:lpstr>
      <vt:lpstr>2ページ（年別推移） </vt:lpstr>
      <vt:lpstr>3ページ（４５年との比較）</vt:lpstr>
      <vt:lpstr>4ページ（人口推移）</vt:lpstr>
      <vt:lpstr>5ページ(月別）</vt:lpstr>
      <vt:lpstr>６ページ（行政区別）</vt:lpstr>
      <vt:lpstr>７ページ（道路種別）</vt:lpstr>
      <vt:lpstr>８ページ（幹線道路名）</vt:lpstr>
      <vt:lpstr>９ページ（路線別概略図）</vt:lpstr>
      <vt:lpstr>10ページ（道路種別月率）</vt:lpstr>
      <vt:lpstr>11ページ（時間別）</vt:lpstr>
      <vt:lpstr>12ページ（時間道路別）</vt:lpstr>
      <vt:lpstr>13ページ類型別（対前年比・状態別）</vt:lpstr>
      <vt:lpstr>14ページ類型別（信号別）</vt:lpstr>
      <vt:lpstr>15ページ（法令違反別）</vt:lpstr>
      <vt:lpstr>16ページ死亡事故の推移 </vt:lpstr>
      <vt:lpstr>17ページ高齢者（推移）</vt:lpstr>
      <vt:lpstr>１８ページ高齢者（行政区別）</vt:lpstr>
      <vt:lpstr>１９ページ 高齢者(法令違反別)</vt:lpstr>
      <vt:lpstr>２０ページこども（推移）</vt:lpstr>
      <vt:lpstr>２１ページこども（年齢別）</vt:lpstr>
      <vt:lpstr>２２ページこども（行政区別）</vt:lpstr>
      <vt:lpstr>２３ページ子ども（法令違反別）</vt:lpstr>
      <vt:lpstr>２４ページ若年者（推移）</vt:lpstr>
      <vt:lpstr>２５ページ若年者（年齢別）</vt:lpstr>
      <vt:lpstr>２６ページ若年者（行政区別） </vt:lpstr>
      <vt:lpstr>２７ページ若年者（法令違反別）</vt:lpstr>
      <vt:lpstr>２８ページ歩行者（推移） </vt:lpstr>
      <vt:lpstr>２９ページ歩行者(類型･月別）</vt:lpstr>
      <vt:lpstr>３０ページ歩行者(行政区･状態）</vt:lpstr>
      <vt:lpstr>３１ページ歩行者(時間別･状態）</vt:lpstr>
      <vt:lpstr>３２ページ自転車（推移）</vt:lpstr>
      <vt:lpstr>３３ページ自転車対自転車</vt:lpstr>
      <vt:lpstr>３４ページ自転車(事故類型別）</vt:lpstr>
      <vt:lpstr>３５ページ自転車(行政区･類型）</vt:lpstr>
      <vt:lpstr>３６ぺージ自転車(時間別･類型）</vt:lpstr>
      <vt:lpstr>37ページ自動二輪(推移）</vt:lpstr>
      <vt:lpstr>３８ページ自動二輪車(類型別）</vt:lpstr>
      <vt:lpstr>３９ページ自動二輪車（区別、類型別）</vt:lpstr>
      <vt:lpstr>４０ページ自動二輪車(時間、類型別）</vt:lpstr>
      <vt:lpstr>４１原付(推移）</vt:lpstr>
      <vt:lpstr>４２原付(類型別)</vt:lpstr>
      <vt:lpstr>４３原付(行政区）</vt:lpstr>
      <vt:lpstr>４４原付(時間別）</vt:lpstr>
      <vt:lpstr>４５ページ（飲酒運転）</vt:lpstr>
      <vt:lpstr>４６ページ大都市の交通事故発生状況</vt:lpstr>
      <vt:lpstr>'10ページ（道路種別月率）'!Print_Area</vt:lpstr>
      <vt:lpstr>'11ページ（時間別）'!Print_Area</vt:lpstr>
      <vt:lpstr>'12ページ（時間道路別）'!Print_Area</vt:lpstr>
      <vt:lpstr>'13ページ類型別（対前年比・状態別）'!Print_Area</vt:lpstr>
      <vt:lpstr>'14ページ類型別（信号別）'!Print_Area</vt:lpstr>
      <vt:lpstr>'15ページ（法令違反別）'!Print_Area</vt:lpstr>
      <vt:lpstr>'16ページ死亡事故の推移 '!Print_Area</vt:lpstr>
      <vt:lpstr>'17ページ高齢者（推移）'!Print_Area</vt:lpstr>
      <vt:lpstr>'１８ページ高齢者（行政区別）'!Print_Area</vt:lpstr>
      <vt:lpstr>'２０ページこども（推移）'!Print_Area</vt:lpstr>
      <vt:lpstr>'２１ページこども（年齢別）'!Print_Area</vt:lpstr>
      <vt:lpstr>'２４ページ若年者（推移）'!Print_Area</vt:lpstr>
      <vt:lpstr>'２５ページ若年者（年齢別）'!Print_Area</vt:lpstr>
      <vt:lpstr>'２６ページ若年者（行政区別） '!Print_Area</vt:lpstr>
      <vt:lpstr>'２８ページ歩行者（推移） '!Print_Area</vt:lpstr>
      <vt:lpstr>'２９ページ歩行者(類型･月別）'!Print_Area</vt:lpstr>
      <vt:lpstr>'2ページ（年別推移） '!Print_Area</vt:lpstr>
      <vt:lpstr>'３０ページ歩行者(行政区･状態）'!Print_Area</vt:lpstr>
      <vt:lpstr>'３２ページ自転車（推移）'!Print_Area</vt:lpstr>
      <vt:lpstr>'３３ページ自転車対自転車'!Print_Area</vt:lpstr>
      <vt:lpstr>'３４ページ自転車(事故類型別）'!Print_Area</vt:lpstr>
      <vt:lpstr>'３５ページ自転車(行政区･類型）'!Print_Area</vt:lpstr>
      <vt:lpstr>'３６ぺージ自転車(時間別･類型）'!Print_Area</vt:lpstr>
      <vt:lpstr>'37ページ自動二輪(推移）'!Print_Area</vt:lpstr>
      <vt:lpstr>'３８ページ自動二輪車(類型別）'!Print_Area</vt:lpstr>
      <vt:lpstr>'３９ページ自動二輪車（区別、類型別）'!Print_Area</vt:lpstr>
      <vt:lpstr>'3ページ（４５年との比較）'!Print_Area</vt:lpstr>
      <vt:lpstr>'４０ページ自動二輪車(時間、類型別）'!Print_Area</vt:lpstr>
      <vt:lpstr>'４１原付(推移）'!Print_Area</vt:lpstr>
      <vt:lpstr>'４２原付(類型別)'!Print_Area</vt:lpstr>
      <vt:lpstr>'４４原付(時間別）'!Print_Area</vt:lpstr>
      <vt:lpstr>'４５ページ（飲酒運転）'!Print_Area</vt:lpstr>
      <vt:lpstr>'４６ページ大都市の交通事故発生状況'!Print_Area</vt:lpstr>
      <vt:lpstr>'4ページ（人口推移）'!Print_Area</vt:lpstr>
      <vt:lpstr>'5ページ(月別）'!Print_Area</vt:lpstr>
      <vt:lpstr>'６ページ（行政区別）'!Print_Area</vt:lpstr>
      <vt:lpstr>'７ページ（道路種別）'!Print_Area</vt:lpstr>
      <vt:lpstr>'８ページ（幹線道路名）'!Print_Area</vt:lpstr>
      <vt:lpstr>'９ページ（路線別概略図）'!Print_Area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西村　麻記 / NISHIMURA Maki</dc:creator>
  <cp:lastModifiedBy>西村　麻記 / NISHIMURA Maki</cp:lastModifiedBy>
  <cp:lastPrinted>2026-03-23T08:42:09Z</cp:lastPrinted>
  <dcterms:created xsi:type="dcterms:W3CDTF">2024-05-20T05:32:49Z</dcterms:created>
  <dcterms:modified xsi:type="dcterms:W3CDTF">2026-03-23T09:06:48Z</dcterms:modified>
</cp:coreProperties>
</file>