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3.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1.xml" ContentType="application/vnd.openxmlformats-officedocument.drawingml.chartshapes+xml"/>
  <Override PartName="/xl/comments1.xml" ContentType="application/vnd.openxmlformats-officedocument.spreadsheetml.comment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da0001（財務Ｇ）\04_個別ラインのおしごと\17_ホームページ\31年度のおしごと\1財\02　決裁\10　190902　平成30年度普通会計決算見込\01　作業\"/>
    </mc:Choice>
  </mc:AlternateContent>
  <bookViews>
    <workbookView xWindow="10305" yWindow="-15" windowWidth="10230" windowHeight="8100" tabRatio="814"/>
  </bookViews>
  <sheets>
    <sheet name="表紙" sheetId="28" r:id="rId1"/>
    <sheet name="頁１" sheetId="49" r:id="rId2"/>
    <sheet name="頁２・３・５・７" sheetId="29" r:id="rId3"/>
    <sheet name="頁７データ" sheetId="31" state="hidden" r:id="rId4"/>
    <sheet name="頁４" sheetId="36" r:id="rId5"/>
    <sheet name="頁４データ" sheetId="37" state="hidden" r:id="rId6"/>
    <sheet name="頁６" sheetId="60" r:id="rId7"/>
    <sheet name="頁６データ" sheetId="61" state="hidden" r:id="rId8"/>
    <sheet name="頁6データ (カメラ)" sheetId="62" state="hidden" r:id="rId9"/>
    <sheet name="頁８" sheetId="65" r:id="rId10"/>
    <sheet name="カメラ" sheetId="66" state="hidden" r:id="rId11"/>
    <sheet name="頁９" sheetId="67" r:id="rId12"/>
    <sheet name="ﾘﾝｸ資料" sheetId="68" state="hidden" r:id="rId13"/>
    <sheet name="リンク資料②" sheetId="69" state="hidden" r:id="rId14"/>
    <sheet name="頁10" sheetId="70" r:id="rId15"/>
    <sheet name="ＢＤ" sheetId="71" state="hidden" r:id="rId16"/>
    <sheet name="頁11" sheetId="5" r:id="rId17"/>
    <sheet name="頁12" sheetId="43" r:id="rId18"/>
    <sheet name="頁12データ" sheetId="44" state="hidden" r:id="rId19"/>
    <sheet name="頁13" sheetId="63" r:id="rId20"/>
  </sheets>
  <externalReferences>
    <externalReference r:id="rId21"/>
    <externalReference r:id="rId22"/>
    <externalReference r:id="rId23"/>
    <externalReference r:id="rId24"/>
  </externalReferences>
  <definedNames>
    <definedName name="_xlnm.Print_Area" localSheetId="1">頁１!$A$1:$S$66</definedName>
    <definedName name="_xlnm.Print_Area" localSheetId="14">頁10!$A$1:$AF$66</definedName>
    <definedName name="_xlnm.Print_Area" localSheetId="16">頁11!$A$1:$N$42</definedName>
    <definedName name="_xlnm.Print_Area" localSheetId="19">頁13!$A$1:$K$51</definedName>
    <definedName name="_xlnm.Print_Area" localSheetId="2">頁２・３・５・７!$A$1:$K$151</definedName>
    <definedName name="_xlnm.Print_Area" localSheetId="5">頁４データ!$A$1:$Y$97</definedName>
    <definedName name="_xlnm.Print_Area" localSheetId="8">'頁6データ (カメラ)'!$A$1:$P$25</definedName>
    <definedName name="_xlnm.Print_Area" localSheetId="9">頁８!$A$1:$G$57</definedName>
    <definedName name="_xlnm.Print_Area" localSheetId="11">頁９!$A$1:$I$59</definedName>
  </definedNames>
  <calcPr calcId="162913"/>
</workbook>
</file>

<file path=xl/calcChain.xml><?xml version="1.0" encoding="utf-8"?>
<calcChain xmlns="http://schemas.openxmlformats.org/spreadsheetml/2006/main">
  <c r="G37" i="71" l="1"/>
  <c r="G36" i="71"/>
  <c r="G35" i="71"/>
  <c r="G34" i="71"/>
  <c r="G33" i="71"/>
  <c r="G32" i="71"/>
  <c r="F31" i="71"/>
  <c r="E31" i="71"/>
  <c r="D31" i="71"/>
  <c r="C31" i="71"/>
  <c r="B31" i="71"/>
  <c r="E30" i="71"/>
  <c r="D30" i="71"/>
  <c r="C30" i="71"/>
  <c r="B30" i="71"/>
  <c r="F29" i="71"/>
  <c r="E29" i="71"/>
  <c r="D29" i="71"/>
  <c r="C29" i="71"/>
  <c r="B29" i="71"/>
  <c r="G29" i="71" s="1"/>
  <c r="F28" i="71"/>
  <c r="E28" i="71"/>
  <c r="D28" i="71"/>
  <c r="C28" i="71"/>
  <c r="B28" i="71"/>
  <c r="F27" i="71"/>
  <c r="E27" i="71"/>
  <c r="D27" i="71"/>
  <c r="C27" i="71"/>
  <c r="B27" i="71"/>
  <c r="F26" i="71"/>
  <c r="E26" i="71"/>
  <c r="D26" i="71"/>
  <c r="C26" i="71"/>
  <c r="B26" i="71"/>
  <c r="F25" i="71"/>
  <c r="G25" i="71" s="1"/>
  <c r="G23" i="71"/>
  <c r="D23" i="71"/>
  <c r="C23" i="71"/>
  <c r="B23" i="71"/>
  <c r="E22" i="71"/>
  <c r="D22" i="71"/>
  <c r="C22" i="71"/>
  <c r="B22" i="71"/>
  <c r="G22" i="71" s="1"/>
  <c r="F21" i="71"/>
  <c r="E21" i="71"/>
  <c r="D21" i="71"/>
  <c r="C21" i="71"/>
  <c r="B21" i="71"/>
  <c r="G21" i="71" s="1"/>
  <c r="F20" i="71"/>
  <c r="E20" i="71"/>
  <c r="D20" i="71"/>
  <c r="C20" i="71"/>
  <c r="B20" i="71"/>
  <c r="G20" i="71" s="1"/>
  <c r="F19" i="71"/>
  <c r="E19" i="71"/>
  <c r="D19" i="71"/>
  <c r="C19" i="71"/>
  <c r="B19" i="71"/>
  <c r="G19" i="71" s="1"/>
  <c r="F18" i="71"/>
  <c r="E18" i="71"/>
  <c r="D18" i="71"/>
  <c r="C18" i="71"/>
  <c r="B18" i="71"/>
  <c r="G18" i="71" s="1"/>
  <c r="F17" i="71"/>
  <c r="E17" i="71"/>
  <c r="D17" i="71"/>
  <c r="C17" i="71"/>
  <c r="B17" i="71"/>
  <c r="G17" i="71" s="1"/>
  <c r="F16" i="71"/>
  <c r="E16" i="71"/>
  <c r="D16" i="71"/>
  <c r="C16" i="71"/>
  <c r="B16" i="71"/>
  <c r="G16" i="71" s="1"/>
  <c r="F15" i="71"/>
  <c r="E15" i="71"/>
  <c r="D15" i="71"/>
  <c r="C15" i="71"/>
  <c r="B15" i="71"/>
  <c r="G15" i="71" s="1"/>
  <c r="F14" i="71"/>
  <c r="E14" i="71"/>
  <c r="D14" i="71"/>
  <c r="C14" i="71"/>
  <c r="B14" i="71"/>
  <c r="G14" i="71" s="1"/>
  <c r="F13" i="71"/>
  <c r="E13" i="71"/>
  <c r="D13" i="71"/>
  <c r="C13" i="71"/>
  <c r="B13" i="71"/>
  <c r="G13" i="71" s="1"/>
  <c r="F12" i="71"/>
  <c r="E12" i="71"/>
  <c r="D12" i="71"/>
  <c r="C12" i="71"/>
  <c r="B12" i="71"/>
  <c r="G12" i="71" s="1"/>
  <c r="G28" i="71" l="1"/>
  <c r="G26" i="71"/>
  <c r="G31" i="71"/>
  <c r="G27" i="71"/>
  <c r="G30" i="71"/>
  <c r="E6" i="68"/>
  <c r="D6" i="68"/>
  <c r="C6" i="68"/>
  <c r="B6" i="68"/>
  <c r="M22" i="67"/>
  <c r="H22" i="67"/>
  <c r="G22" i="67"/>
  <c r="F22" i="67"/>
  <c r="E22" i="67"/>
  <c r="M21" i="67"/>
  <c r="G21" i="67" s="1"/>
  <c r="E21" i="67"/>
  <c r="M20" i="67"/>
  <c r="G20" i="67" s="1"/>
  <c r="H20" i="67"/>
  <c r="F20" i="67"/>
  <c r="E20" i="67"/>
  <c r="M19" i="67"/>
  <c r="G19" i="67" s="1"/>
  <c r="H19" i="67"/>
  <c r="F19" i="67"/>
  <c r="E19" i="67"/>
  <c r="M18" i="67"/>
  <c r="G18" i="67" s="1"/>
  <c r="H18" i="67"/>
  <c r="F18" i="67"/>
  <c r="E18" i="67"/>
  <c r="M17" i="67"/>
  <c r="H17" i="67"/>
  <c r="G17" i="67"/>
  <c r="F17" i="67"/>
  <c r="E17" i="67"/>
  <c r="M16" i="67"/>
  <c r="H16" i="67"/>
  <c r="G16" i="67"/>
  <c r="F16" i="67"/>
  <c r="E16" i="67"/>
  <c r="M15" i="67"/>
  <c r="G15" i="67" s="1"/>
  <c r="H15" i="67"/>
  <c r="F15" i="67"/>
  <c r="E15" i="67"/>
  <c r="M14" i="67"/>
  <c r="G14" i="67" s="1"/>
  <c r="H14" i="67"/>
  <c r="F14" i="67"/>
  <c r="E14" i="67"/>
  <c r="M13" i="67"/>
  <c r="G13" i="67" s="1"/>
  <c r="H13" i="67"/>
  <c r="F13" i="67"/>
  <c r="E13" i="67"/>
  <c r="P12" i="67"/>
  <c r="Q12" i="67" s="1"/>
  <c r="M12" i="67"/>
  <c r="G12" i="67" s="1"/>
  <c r="H12" i="67"/>
  <c r="F12" i="67"/>
  <c r="E12" i="67"/>
  <c r="P11" i="67"/>
  <c r="Q11" i="67" s="1"/>
  <c r="M11" i="67"/>
  <c r="G11" i="67" s="1"/>
  <c r="H11" i="67"/>
  <c r="F11" i="67"/>
  <c r="E11" i="67"/>
  <c r="P10" i="67"/>
  <c r="Q10" i="67" s="1"/>
  <c r="M10" i="67"/>
  <c r="G10" i="67" s="1"/>
  <c r="H10" i="67"/>
  <c r="F10" i="67"/>
  <c r="E10" i="67"/>
  <c r="L9" i="67"/>
  <c r="K9" i="67"/>
  <c r="H9" i="67" s="1"/>
  <c r="F9" i="67"/>
  <c r="P8" i="67"/>
  <c r="P13" i="67" s="1"/>
  <c r="Q13" i="67" s="1"/>
  <c r="M8" i="67"/>
  <c r="H8" i="67"/>
  <c r="G8" i="67"/>
  <c r="F8" i="67"/>
  <c r="E8" i="67"/>
  <c r="M7" i="67"/>
  <c r="G7" i="67" s="1"/>
  <c r="H7" i="67"/>
  <c r="F7" i="67"/>
  <c r="E7" i="67"/>
  <c r="L6" i="67"/>
  <c r="F6" i="67" s="1"/>
  <c r="K6" i="67"/>
  <c r="H6" i="67" s="1"/>
  <c r="M5" i="67"/>
  <c r="G5" i="67" s="1"/>
  <c r="H5" i="67"/>
  <c r="F5" i="67"/>
  <c r="E5" i="67"/>
  <c r="E6" i="67" l="1"/>
  <c r="M6" i="67"/>
  <c r="G6" i="67" s="1"/>
  <c r="M9" i="67"/>
  <c r="G9" i="67" s="1"/>
  <c r="E9" i="67"/>
  <c r="Q8" i="67"/>
  <c r="P5" i="66" l="1"/>
  <c r="O5" i="66"/>
  <c r="F8" i="31" l="1"/>
  <c r="I16" i="49"/>
  <c r="I14" i="49"/>
  <c r="E8" i="31" l="1"/>
  <c r="D8" i="31"/>
  <c r="F34" i="49" l="1"/>
  <c r="F30" i="49"/>
  <c r="I36" i="49" l="1"/>
  <c r="I34" i="49"/>
  <c r="I32" i="49"/>
  <c r="I30" i="49"/>
  <c r="M14" i="62"/>
  <c r="L14" i="62"/>
  <c r="K14" i="62"/>
  <c r="J14" i="62"/>
  <c r="I14" i="62"/>
  <c r="H14" i="62"/>
  <c r="G14" i="62"/>
  <c r="F14" i="62"/>
  <c r="E14" i="62"/>
  <c r="D14" i="62"/>
  <c r="C14" i="62"/>
  <c r="O10" i="62"/>
  <c r="N10" i="62"/>
  <c r="M10" i="62"/>
  <c r="L10" i="62"/>
  <c r="O7" i="62"/>
  <c r="J7" i="62"/>
  <c r="I7" i="62"/>
  <c r="H7" i="62"/>
  <c r="G7" i="62"/>
  <c r="F7" i="62"/>
  <c r="E7" i="62"/>
  <c r="D7" i="62"/>
  <c r="C7" i="62"/>
  <c r="O6" i="62"/>
  <c r="M6" i="62"/>
  <c r="M7" i="62" s="1"/>
  <c r="L6" i="62"/>
  <c r="K6" i="62"/>
  <c r="O5" i="62"/>
  <c r="N5" i="62"/>
  <c r="N7" i="62" s="1"/>
  <c r="L5" i="62"/>
  <c r="L7" i="62" s="1"/>
  <c r="K5" i="62"/>
  <c r="K7" i="62" s="1"/>
  <c r="G5" i="62"/>
  <c r="G98" i="61"/>
  <c r="G96" i="61"/>
  <c r="G94" i="61"/>
  <c r="G101" i="61" s="1"/>
  <c r="G89" i="61"/>
  <c r="G100" i="61" s="1"/>
  <c r="E89" i="61"/>
  <c r="E100" i="61" s="1"/>
  <c r="D89" i="61"/>
  <c r="D100" i="61" s="1"/>
  <c r="C89" i="61"/>
  <c r="C100" i="61" s="1"/>
  <c r="B89" i="61"/>
  <c r="B100" i="61" s="1"/>
  <c r="E88" i="61"/>
  <c r="E99" i="61" s="1"/>
  <c r="D88" i="61"/>
  <c r="D99" i="61" s="1"/>
  <c r="C88" i="61"/>
  <c r="C99" i="61" s="1"/>
  <c r="B88" i="61"/>
  <c r="B99" i="61" s="1"/>
  <c r="G87" i="61"/>
  <c r="E87" i="61"/>
  <c r="E98" i="61" s="1"/>
  <c r="D87" i="61"/>
  <c r="D98" i="61" s="1"/>
  <c r="C87" i="61"/>
  <c r="C98" i="61" s="1"/>
  <c r="B87" i="61"/>
  <c r="B98" i="61" s="1"/>
  <c r="G86" i="61"/>
  <c r="G97" i="61" s="1"/>
  <c r="E86" i="61"/>
  <c r="E97" i="61" s="1"/>
  <c r="D86" i="61"/>
  <c r="D97" i="61" s="1"/>
  <c r="C86" i="61"/>
  <c r="C97" i="61" s="1"/>
  <c r="B86" i="61"/>
  <c r="B97" i="61" s="1"/>
  <c r="G85" i="61"/>
  <c r="E85" i="61"/>
  <c r="E96" i="61" s="1"/>
  <c r="D85" i="61"/>
  <c r="D96" i="61" s="1"/>
  <c r="C85" i="61"/>
  <c r="C96" i="61" s="1"/>
  <c r="B85" i="61"/>
  <c r="B96" i="61" s="1"/>
  <c r="G84" i="61"/>
  <c r="G95" i="61" s="1"/>
  <c r="E84" i="61"/>
  <c r="E95" i="61" s="1"/>
  <c r="D84" i="61"/>
  <c r="D95" i="61" s="1"/>
  <c r="C84" i="61"/>
  <c r="C95" i="61" s="1"/>
  <c r="B84" i="61"/>
  <c r="B95" i="61" s="1"/>
  <c r="G83" i="61"/>
  <c r="G90" i="61" s="1"/>
  <c r="E83" i="61"/>
  <c r="E94" i="61" s="1"/>
  <c r="D83" i="61"/>
  <c r="D94" i="61" s="1"/>
  <c r="C83" i="61"/>
  <c r="C94" i="61" s="1"/>
  <c r="B83" i="61"/>
  <c r="B94" i="61" s="1"/>
  <c r="F79" i="61"/>
  <c r="H77" i="61"/>
  <c r="H79" i="61" s="1"/>
  <c r="G77" i="61"/>
  <c r="G79" i="61" s="1"/>
  <c r="F77" i="61"/>
  <c r="E77" i="61"/>
  <c r="E79" i="61" s="1"/>
  <c r="D77" i="61"/>
  <c r="D79" i="61" s="1"/>
  <c r="C77" i="61"/>
  <c r="C79" i="61" s="1"/>
  <c r="B77" i="61"/>
  <c r="I71" i="61"/>
  <c r="E70" i="61"/>
  <c r="D70" i="61"/>
  <c r="C70" i="61"/>
  <c r="B70" i="61"/>
  <c r="E69" i="61"/>
  <c r="D69" i="61"/>
  <c r="C69" i="61"/>
  <c r="B69" i="61"/>
  <c r="E68" i="61"/>
  <c r="D68" i="61"/>
  <c r="C68" i="61"/>
  <c r="B68" i="61"/>
  <c r="E67" i="61"/>
  <c r="D67" i="61"/>
  <c r="C67" i="61"/>
  <c r="B67" i="61"/>
  <c r="H66" i="61"/>
  <c r="E65" i="61"/>
  <c r="D65" i="61"/>
  <c r="C65" i="61"/>
  <c r="B65" i="61"/>
  <c r="E64" i="61"/>
  <c r="D64" i="61"/>
  <c r="C64" i="61"/>
  <c r="B64" i="61"/>
  <c r="H63" i="61"/>
  <c r="E63" i="61"/>
  <c r="D63" i="61"/>
  <c r="C63" i="61"/>
  <c r="B63" i="61"/>
  <c r="E62" i="61"/>
  <c r="D62" i="61"/>
  <c r="C62" i="61"/>
  <c r="B62" i="61"/>
  <c r="I57" i="61"/>
  <c r="I70" i="61" s="1"/>
  <c r="H57" i="61"/>
  <c r="H70" i="61" s="1"/>
  <c r="G57" i="61"/>
  <c r="G70" i="61" s="1"/>
  <c r="F57" i="61"/>
  <c r="F70" i="61" s="1"/>
  <c r="I56" i="61"/>
  <c r="I89" i="61" s="1"/>
  <c r="I100" i="61" s="1"/>
  <c r="I54" i="61"/>
  <c r="I87" i="61" s="1"/>
  <c r="I98" i="61" s="1"/>
  <c r="H54" i="61"/>
  <c r="G54" i="61"/>
  <c r="G67" i="61" s="1"/>
  <c r="F54" i="61"/>
  <c r="F87" i="61" s="1"/>
  <c r="F98" i="61" s="1"/>
  <c r="I53" i="61"/>
  <c r="I66" i="61" s="1"/>
  <c r="H53" i="61"/>
  <c r="H58" i="61" s="1"/>
  <c r="G53" i="61"/>
  <c r="G66" i="61" s="1"/>
  <c r="F53" i="61"/>
  <c r="F66" i="61" s="1"/>
  <c r="E53" i="61"/>
  <c r="E66" i="61" s="1"/>
  <c r="D53" i="61"/>
  <c r="D66" i="61" s="1"/>
  <c r="C53" i="61"/>
  <c r="C66" i="61" s="1"/>
  <c r="B53" i="61"/>
  <c r="B66" i="61" s="1"/>
  <c r="I52" i="61"/>
  <c r="I86" i="61" s="1"/>
  <c r="I97" i="61" s="1"/>
  <c r="H52" i="61"/>
  <c r="H86" i="61" s="1"/>
  <c r="H97" i="61" s="1"/>
  <c r="G52" i="61"/>
  <c r="G65" i="61" s="1"/>
  <c r="F52" i="61"/>
  <c r="F86" i="61" s="1"/>
  <c r="F97" i="61" s="1"/>
  <c r="I51" i="61"/>
  <c r="I85" i="61" s="1"/>
  <c r="I96" i="61" s="1"/>
  <c r="H51" i="61"/>
  <c r="H85" i="61" s="1"/>
  <c r="H96" i="61" s="1"/>
  <c r="G51" i="61"/>
  <c r="G64" i="61" s="1"/>
  <c r="I50" i="61"/>
  <c r="I84" i="61" s="1"/>
  <c r="I95" i="61" s="1"/>
  <c r="H50" i="61"/>
  <c r="H84" i="61" s="1"/>
  <c r="H95" i="61" s="1"/>
  <c r="G50" i="61"/>
  <c r="G63" i="61" s="1"/>
  <c r="F50" i="61"/>
  <c r="F84" i="61" s="1"/>
  <c r="F95" i="61" s="1"/>
  <c r="I49" i="61"/>
  <c r="I83" i="61" s="1"/>
  <c r="H49" i="61"/>
  <c r="H83" i="61" s="1"/>
  <c r="G49" i="61"/>
  <c r="G62" i="61" s="1"/>
  <c r="F49" i="61"/>
  <c r="F83" i="61" s="1"/>
  <c r="R44" i="61"/>
  <c r="B44" i="61"/>
  <c r="X42" i="61"/>
  <c r="X41" i="61" s="1"/>
  <c r="H42" i="61"/>
  <c r="H41" i="61" s="1"/>
  <c r="V40" i="61"/>
  <c r="F40" i="61"/>
  <c r="Q39" i="61"/>
  <c r="I39" i="61"/>
  <c r="X38" i="61"/>
  <c r="P38" i="61"/>
  <c r="H38" i="61"/>
  <c r="W37" i="61"/>
  <c r="X32" i="61"/>
  <c r="X44" i="61" s="1"/>
  <c r="R32" i="61"/>
  <c r="Q32" i="61"/>
  <c r="Q44" i="61" s="1"/>
  <c r="P32" i="61"/>
  <c r="P44" i="61" s="1"/>
  <c r="O32" i="61"/>
  <c r="O44" i="61" s="1"/>
  <c r="N32" i="61"/>
  <c r="N44" i="61" s="1"/>
  <c r="L32" i="61"/>
  <c r="L44" i="61" s="1"/>
  <c r="H32" i="61"/>
  <c r="H44" i="61" s="1"/>
  <c r="D32" i="61"/>
  <c r="D44" i="61" s="1"/>
  <c r="C32" i="61"/>
  <c r="C44" i="61" s="1"/>
  <c r="B32" i="61"/>
  <c r="P31" i="61"/>
  <c r="P43" i="61" s="1"/>
  <c r="O31" i="61"/>
  <c r="O43" i="61" s="1"/>
  <c r="O41" i="61" s="1"/>
  <c r="N31" i="61"/>
  <c r="N43" i="61" s="1"/>
  <c r="M31" i="61"/>
  <c r="M43" i="61" s="1"/>
  <c r="L31" i="61"/>
  <c r="L43" i="61" s="1"/>
  <c r="K31" i="61"/>
  <c r="K43" i="61" s="1"/>
  <c r="J31" i="61"/>
  <c r="J43" i="61" s="1"/>
  <c r="I31" i="61"/>
  <c r="I43" i="61" s="1"/>
  <c r="H31" i="61"/>
  <c r="H43" i="61" s="1"/>
  <c r="G31" i="61"/>
  <c r="G43" i="61" s="1"/>
  <c r="F31" i="61"/>
  <c r="F43" i="61" s="1"/>
  <c r="E31" i="61"/>
  <c r="E43" i="61" s="1"/>
  <c r="D31" i="61"/>
  <c r="D43" i="61" s="1"/>
  <c r="C31" i="61"/>
  <c r="C43" i="61" s="1"/>
  <c r="B31" i="61"/>
  <c r="B43" i="61" s="1"/>
  <c r="X30" i="61"/>
  <c r="W30" i="61"/>
  <c r="W42" i="61" s="1"/>
  <c r="W41" i="61" s="1"/>
  <c r="V30" i="61"/>
  <c r="V42" i="61" s="1"/>
  <c r="V41" i="61" s="1"/>
  <c r="U30" i="61"/>
  <c r="U42" i="61" s="1"/>
  <c r="U41" i="61" s="1"/>
  <c r="T30" i="61"/>
  <c r="T42" i="61" s="1"/>
  <c r="T41" i="61" s="1"/>
  <c r="S30" i="61"/>
  <c r="S42" i="61" s="1"/>
  <c r="S41" i="61" s="1"/>
  <c r="R30" i="61"/>
  <c r="R42" i="61" s="1"/>
  <c r="R41" i="61" s="1"/>
  <c r="Q30" i="61"/>
  <c r="Q42" i="61" s="1"/>
  <c r="Q41" i="61" s="1"/>
  <c r="P30" i="61"/>
  <c r="P42" i="61" s="1"/>
  <c r="P41" i="61" s="1"/>
  <c r="O30" i="61"/>
  <c r="O42" i="61" s="1"/>
  <c r="N30" i="61"/>
  <c r="N42" i="61" s="1"/>
  <c r="N41" i="61" s="1"/>
  <c r="M30" i="61"/>
  <c r="M42" i="61" s="1"/>
  <c r="L30" i="61"/>
  <c r="L42" i="61" s="1"/>
  <c r="L41" i="61" s="1"/>
  <c r="K30" i="61"/>
  <c r="K42" i="61" s="1"/>
  <c r="K41" i="61" s="1"/>
  <c r="J30" i="61"/>
  <c r="J42" i="61" s="1"/>
  <c r="J41" i="61" s="1"/>
  <c r="I30" i="61"/>
  <c r="I42" i="61" s="1"/>
  <c r="H30" i="61"/>
  <c r="G30" i="61"/>
  <c r="G42" i="61" s="1"/>
  <c r="G41" i="61" s="1"/>
  <c r="F30" i="61"/>
  <c r="F42" i="61" s="1"/>
  <c r="F41" i="61" s="1"/>
  <c r="E30" i="61"/>
  <c r="E42" i="61" s="1"/>
  <c r="D30" i="61"/>
  <c r="D42" i="61" s="1"/>
  <c r="D41" i="61" s="1"/>
  <c r="C30" i="61"/>
  <c r="C42" i="61" s="1"/>
  <c r="C41" i="61" s="1"/>
  <c r="B30" i="61"/>
  <c r="B42" i="61" s="1"/>
  <c r="B41" i="61" s="1"/>
  <c r="X29" i="61"/>
  <c r="X40" i="61" s="1"/>
  <c r="W29" i="61"/>
  <c r="W40" i="61" s="1"/>
  <c r="V29" i="61"/>
  <c r="U29" i="61"/>
  <c r="U40" i="61" s="1"/>
  <c r="T29" i="61"/>
  <c r="T40" i="61" s="1"/>
  <c r="S29" i="61"/>
  <c r="S40" i="61" s="1"/>
  <c r="R29" i="61"/>
  <c r="R40" i="61" s="1"/>
  <c r="Q29" i="61"/>
  <c r="Q40" i="61" s="1"/>
  <c r="P29" i="61"/>
  <c r="P40" i="61" s="1"/>
  <c r="O29" i="61"/>
  <c r="O40" i="61" s="1"/>
  <c r="N29" i="61"/>
  <c r="N40" i="61" s="1"/>
  <c r="M29" i="61"/>
  <c r="M40" i="61" s="1"/>
  <c r="L29" i="61"/>
  <c r="L40" i="61" s="1"/>
  <c r="K29" i="61"/>
  <c r="K40" i="61" s="1"/>
  <c r="J29" i="61"/>
  <c r="J40" i="61" s="1"/>
  <c r="I29" i="61"/>
  <c r="I40" i="61" s="1"/>
  <c r="H29" i="61"/>
  <c r="H40" i="61" s="1"/>
  <c r="G29" i="61"/>
  <c r="G40" i="61" s="1"/>
  <c r="F29" i="61"/>
  <c r="E29" i="61"/>
  <c r="E40" i="61" s="1"/>
  <c r="D29" i="61"/>
  <c r="D40" i="61" s="1"/>
  <c r="C29" i="61"/>
  <c r="C40" i="61" s="1"/>
  <c r="B29" i="61"/>
  <c r="B40" i="61" s="1"/>
  <c r="X28" i="61"/>
  <c r="X39" i="61" s="1"/>
  <c r="W28" i="61"/>
  <c r="W39" i="61" s="1"/>
  <c r="V28" i="61"/>
  <c r="V39" i="61" s="1"/>
  <c r="T28" i="61"/>
  <c r="T39" i="61" s="1"/>
  <c r="R28" i="61"/>
  <c r="R39" i="61" s="1"/>
  <c r="Q28" i="61"/>
  <c r="P28" i="61"/>
  <c r="P39" i="61" s="1"/>
  <c r="O28" i="61"/>
  <c r="O39" i="61" s="1"/>
  <c r="N28" i="61"/>
  <c r="N39" i="61" s="1"/>
  <c r="M28" i="61"/>
  <c r="M39" i="61" s="1"/>
  <c r="L28" i="61"/>
  <c r="L39" i="61" s="1"/>
  <c r="K28" i="61"/>
  <c r="K39" i="61" s="1"/>
  <c r="J28" i="61"/>
  <c r="J39" i="61" s="1"/>
  <c r="I28" i="61"/>
  <c r="H28" i="61"/>
  <c r="H39" i="61" s="1"/>
  <c r="G28" i="61"/>
  <c r="G39" i="61" s="1"/>
  <c r="F28" i="61"/>
  <c r="F39" i="61" s="1"/>
  <c r="E28" i="61"/>
  <c r="E39" i="61" s="1"/>
  <c r="D28" i="61"/>
  <c r="D39" i="61" s="1"/>
  <c r="C28" i="61"/>
  <c r="C39" i="61" s="1"/>
  <c r="B28" i="61"/>
  <c r="B39" i="61" s="1"/>
  <c r="X27" i="61"/>
  <c r="W27" i="61"/>
  <c r="W38" i="61" s="1"/>
  <c r="V27" i="61"/>
  <c r="V38" i="61" s="1"/>
  <c r="U27" i="61"/>
  <c r="U38" i="61" s="1"/>
  <c r="T27" i="61"/>
  <c r="T38" i="61" s="1"/>
  <c r="S27" i="61"/>
  <c r="S38" i="61" s="1"/>
  <c r="R27" i="61"/>
  <c r="R38" i="61" s="1"/>
  <c r="Q27" i="61"/>
  <c r="Q38" i="61" s="1"/>
  <c r="P27" i="61"/>
  <c r="O27" i="61"/>
  <c r="O38" i="61" s="1"/>
  <c r="N27" i="61"/>
  <c r="N38" i="61" s="1"/>
  <c r="M27" i="61"/>
  <c r="M38" i="61" s="1"/>
  <c r="L27" i="61"/>
  <c r="L38" i="61" s="1"/>
  <c r="K27" i="61"/>
  <c r="K38" i="61" s="1"/>
  <c r="J27" i="61"/>
  <c r="J38" i="61" s="1"/>
  <c r="I27" i="61"/>
  <c r="I38" i="61" s="1"/>
  <c r="H27" i="61"/>
  <c r="G27" i="61"/>
  <c r="G38" i="61" s="1"/>
  <c r="F27" i="61"/>
  <c r="F38" i="61" s="1"/>
  <c r="E27" i="61"/>
  <c r="E38" i="61" s="1"/>
  <c r="D27" i="61"/>
  <c r="D38" i="61" s="1"/>
  <c r="C27" i="61"/>
  <c r="C38" i="61" s="1"/>
  <c r="B27" i="61"/>
  <c r="B38" i="61" s="1"/>
  <c r="X26" i="61"/>
  <c r="X33" i="61" s="1"/>
  <c r="W26" i="61"/>
  <c r="V26" i="61"/>
  <c r="V37" i="61" s="1"/>
  <c r="U26" i="61"/>
  <c r="U37" i="61" s="1"/>
  <c r="T26" i="61"/>
  <c r="S26" i="61"/>
  <c r="R26" i="61"/>
  <c r="R37" i="61" s="1"/>
  <c r="Q26" i="61"/>
  <c r="Q37" i="61" s="1"/>
  <c r="P26" i="61"/>
  <c r="P33" i="61" s="1"/>
  <c r="O26" i="61"/>
  <c r="O33" i="61" s="1"/>
  <c r="N26" i="61"/>
  <c r="N37" i="61" s="1"/>
  <c r="M26" i="61"/>
  <c r="M37" i="61" s="1"/>
  <c r="L26" i="61"/>
  <c r="L33" i="61" s="1"/>
  <c r="K26" i="61"/>
  <c r="J26" i="61"/>
  <c r="J33" i="61" s="1"/>
  <c r="I26" i="61"/>
  <c r="I37" i="61" s="1"/>
  <c r="H26" i="61"/>
  <c r="H33" i="61" s="1"/>
  <c r="G26" i="61"/>
  <c r="F26" i="61"/>
  <c r="F37" i="61" s="1"/>
  <c r="E26" i="61"/>
  <c r="E37" i="61" s="1"/>
  <c r="D26" i="61"/>
  <c r="D33" i="61" s="1"/>
  <c r="C26" i="61"/>
  <c r="C33" i="61" s="1"/>
  <c r="B26" i="61"/>
  <c r="B33" i="61" s="1"/>
  <c r="L22" i="61"/>
  <c r="K22" i="61"/>
  <c r="J22" i="61"/>
  <c r="I22" i="61"/>
  <c r="H22" i="61"/>
  <c r="G22" i="61"/>
  <c r="F22" i="61"/>
  <c r="E22" i="61"/>
  <c r="D22" i="61"/>
  <c r="C22" i="61"/>
  <c r="B22" i="61"/>
  <c r="P15" i="61"/>
  <c r="O15" i="61"/>
  <c r="L15" i="61"/>
  <c r="K15" i="61"/>
  <c r="J15" i="61"/>
  <c r="I15" i="61"/>
  <c r="H15" i="61"/>
  <c r="G15" i="61"/>
  <c r="F15" i="61"/>
  <c r="E15" i="61"/>
  <c r="D15" i="61"/>
  <c r="C15" i="61"/>
  <c r="B15" i="61"/>
  <c r="N14" i="61"/>
  <c r="N15" i="61" s="1"/>
  <c r="M14" i="61"/>
  <c r="M15" i="61" s="1"/>
  <c r="L14" i="61"/>
  <c r="X13" i="61"/>
  <c r="V13" i="61"/>
  <c r="R13" i="61"/>
  <c r="Q13" i="61"/>
  <c r="P13" i="61"/>
  <c r="O13" i="61"/>
  <c r="N13" i="61"/>
  <c r="M13" i="61"/>
  <c r="J13" i="61"/>
  <c r="I13" i="61"/>
  <c r="F13" i="61"/>
  <c r="E13" i="61"/>
  <c r="C13" i="61"/>
  <c r="B13" i="61"/>
  <c r="W11" i="61"/>
  <c r="H56" i="61" s="1"/>
  <c r="V11" i="61"/>
  <c r="G56" i="61" s="1"/>
  <c r="G69" i="61" s="1"/>
  <c r="T11" i="61"/>
  <c r="T32" i="61" s="1"/>
  <c r="T44" i="61" s="1"/>
  <c r="S11" i="61"/>
  <c r="S32" i="61" s="1"/>
  <c r="S44" i="61" s="1"/>
  <c r="M11" i="61"/>
  <c r="M32" i="61" s="1"/>
  <c r="M44" i="61" s="1"/>
  <c r="L11" i="61"/>
  <c r="L13" i="61" s="1"/>
  <c r="K11" i="61"/>
  <c r="K32" i="61" s="1"/>
  <c r="K44" i="61" s="1"/>
  <c r="J11" i="61"/>
  <c r="J32" i="61" s="1"/>
  <c r="J44" i="61" s="1"/>
  <c r="I11" i="61"/>
  <c r="I32" i="61" s="1"/>
  <c r="I44" i="61" s="1"/>
  <c r="H11" i="61"/>
  <c r="H13" i="61" s="1"/>
  <c r="G11" i="61"/>
  <c r="G32" i="61" s="1"/>
  <c r="G44" i="61" s="1"/>
  <c r="F11" i="61"/>
  <c r="F32" i="61" s="1"/>
  <c r="F44" i="61" s="1"/>
  <c r="E11" i="61"/>
  <c r="E32" i="61" s="1"/>
  <c r="E44" i="61" s="1"/>
  <c r="D11" i="61"/>
  <c r="D13" i="61" s="1"/>
  <c r="U7" i="61"/>
  <c r="F51" i="61" s="1"/>
  <c r="T7" i="61"/>
  <c r="T13" i="61" s="1"/>
  <c r="S7" i="61"/>
  <c r="S28" i="61" s="1"/>
  <c r="S39" i="61" s="1"/>
  <c r="G33" i="61" l="1"/>
  <c r="K33" i="61"/>
  <c r="S33" i="61"/>
  <c r="D45" i="61"/>
  <c r="H89" i="61"/>
  <c r="H100" i="61" s="1"/>
  <c r="H69" i="61"/>
  <c r="T33" i="61"/>
  <c r="D71" i="61"/>
  <c r="G45" i="61"/>
  <c r="C101" i="61"/>
  <c r="F85" i="61"/>
  <c r="F96" i="61" s="1"/>
  <c r="F64" i="61"/>
  <c r="F45" i="61"/>
  <c r="R45" i="61"/>
  <c r="I33" i="61"/>
  <c r="Q33" i="61"/>
  <c r="B37" i="61"/>
  <c r="J37" i="61"/>
  <c r="J45" i="61" s="1"/>
  <c r="F94" i="61"/>
  <c r="U11" i="61"/>
  <c r="G13" i="61"/>
  <c r="K13" i="61"/>
  <c r="S13" i="61"/>
  <c r="W13" i="61"/>
  <c r="U28" i="61"/>
  <c r="F33" i="61"/>
  <c r="N33" i="61"/>
  <c r="R33" i="61"/>
  <c r="C37" i="61"/>
  <c r="C45" i="61" s="1"/>
  <c r="G37" i="61"/>
  <c r="K37" i="61"/>
  <c r="K45" i="61" s="1"/>
  <c r="O37" i="61"/>
  <c r="O45" i="61" s="1"/>
  <c r="S37" i="61"/>
  <c r="S45" i="61" s="1"/>
  <c r="X37" i="61"/>
  <c r="X45" i="61" s="1"/>
  <c r="H87" i="61"/>
  <c r="H98" i="61" s="1"/>
  <c r="D58" i="61"/>
  <c r="H64" i="61"/>
  <c r="H67" i="61"/>
  <c r="D101" i="61"/>
  <c r="C90" i="61"/>
  <c r="M33" i="61"/>
  <c r="C71" i="61"/>
  <c r="V32" i="61"/>
  <c r="V44" i="61" s="1"/>
  <c r="V45" i="61" s="1"/>
  <c r="D37" i="61"/>
  <c r="H37" i="61"/>
  <c r="H45" i="61" s="1"/>
  <c r="L37" i="61"/>
  <c r="L45" i="61" s="1"/>
  <c r="P37" i="61"/>
  <c r="P45" i="61" s="1"/>
  <c r="T37" i="61"/>
  <c r="T45" i="61" s="1"/>
  <c r="H94" i="61"/>
  <c r="G71" i="61"/>
  <c r="H65" i="61"/>
  <c r="E71" i="61"/>
  <c r="E101" i="61"/>
  <c r="B45" i="61"/>
  <c r="N45" i="61"/>
  <c r="E33" i="61"/>
  <c r="E41" i="61"/>
  <c r="E45" i="61" s="1"/>
  <c r="I41" i="61"/>
  <c r="I45" i="61" s="1"/>
  <c r="M41" i="61"/>
  <c r="M45" i="61" s="1"/>
  <c r="Q45" i="61"/>
  <c r="W32" i="61"/>
  <c r="W44" i="61" s="1"/>
  <c r="W45" i="61" s="1"/>
  <c r="I94" i="61"/>
  <c r="I101" i="61" s="1"/>
  <c r="I90" i="61"/>
  <c r="H62" i="61"/>
  <c r="B71" i="61"/>
  <c r="B101" i="61"/>
  <c r="E58" i="61"/>
  <c r="I58" i="61"/>
  <c r="I62" i="61"/>
  <c r="I63" i="61"/>
  <c r="H71" i="61" s="1"/>
  <c r="I64" i="61"/>
  <c r="I65" i="61"/>
  <c r="I67" i="61"/>
  <c r="I69" i="61"/>
  <c r="D90" i="61"/>
  <c r="B58" i="61"/>
  <c r="F62" i="61"/>
  <c r="F63" i="61"/>
  <c r="F65" i="61"/>
  <c r="F67" i="61"/>
  <c r="E90" i="61"/>
  <c r="C58" i="61"/>
  <c r="G58" i="61"/>
  <c r="B90" i="61"/>
  <c r="F56" i="61" l="1"/>
  <c r="U32" i="61"/>
  <c r="U44" i="61" s="1"/>
  <c r="U13" i="61"/>
  <c r="H90" i="61"/>
  <c r="H101" i="61"/>
  <c r="V33" i="61"/>
  <c r="U39" i="61"/>
  <c r="W33" i="61"/>
  <c r="U33" i="61" l="1"/>
  <c r="F89" i="61"/>
  <c r="F69" i="61"/>
  <c r="F71" i="61" s="1"/>
  <c r="F58" i="61"/>
  <c r="U45" i="61"/>
  <c r="F100" i="61" l="1"/>
  <c r="F101" i="61" s="1"/>
  <c r="F90" i="61"/>
  <c r="X20" i="44" l="1"/>
  <c r="X19" i="44"/>
  <c r="X18" i="44"/>
  <c r="X17" i="44"/>
  <c r="X16" i="44"/>
  <c r="X15" i="44"/>
  <c r="X14" i="44"/>
  <c r="I40" i="5"/>
  <c r="L40" i="5" s="1"/>
  <c r="M40" i="37"/>
  <c r="M41" i="37"/>
  <c r="M50" i="37" s="1"/>
  <c r="M42" i="37"/>
  <c r="M51" i="37" s="1"/>
  <c r="M66" i="37" s="1"/>
  <c r="M43" i="37"/>
  <c r="M46" i="37" s="1"/>
  <c r="M44" i="37"/>
  <c r="M45" i="37"/>
  <c r="M54" i="37" s="1"/>
  <c r="M49" i="37"/>
  <c r="M53" i="37"/>
  <c r="M60" i="37"/>
  <c r="M68" i="37"/>
  <c r="M75" i="37"/>
  <c r="M79" i="37"/>
  <c r="M88" i="37" s="1"/>
  <c r="X26" i="37"/>
  <c r="X35" i="37" s="1"/>
  <c r="X25" i="37"/>
  <c r="X34" i="37" s="1"/>
  <c r="X24" i="37"/>
  <c r="X33" i="37" s="1"/>
  <c r="X23" i="37"/>
  <c r="X32" i="37" s="1"/>
  <c r="X22" i="37"/>
  <c r="X17" i="37"/>
  <c r="X16" i="37"/>
  <c r="M59" i="37" s="1"/>
  <c r="X15" i="37"/>
  <c r="M58" i="37" s="1"/>
  <c r="M61" i="37" s="1"/>
  <c r="M70" i="37" s="1"/>
  <c r="X11" i="37"/>
  <c r="M78" i="37" l="1"/>
  <c r="M87" i="37" s="1"/>
  <c r="M52" i="37"/>
  <c r="M67" i="37" s="1"/>
  <c r="M69" i="37" s="1"/>
  <c r="M71" i="37" s="1"/>
  <c r="M84" i="37"/>
  <c r="M77" i="37"/>
  <c r="M86" i="37" s="1"/>
  <c r="M76" i="37"/>
  <c r="M85" i="37" s="1"/>
  <c r="X27" i="37"/>
  <c r="X31" i="37"/>
  <c r="X36" i="37" s="1"/>
  <c r="X18" i="37"/>
  <c r="M80" i="37" l="1"/>
  <c r="M89" i="37"/>
  <c r="I48" i="49" l="1"/>
  <c r="O42" i="49"/>
  <c r="I46" i="49"/>
  <c r="F46" i="49"/>
  <c r="O38" i="49"/>
  <c r="F42" i="49"/>
  <c r="O34" i="49"/>
  <c r="F38" i="49"/>
  <c r="O30" i="49"/>
  <c r="O28" i="49"/>
  <c r="F28" i="49"/>
  <c r="O26" i="49"/>
  <c r="F26" i="49"/>
  <c r="O24" i="49"/>
  <c r="F24" i="49"/>
  <c r="O22" i="49"/>
  <c r="F22" i="49"/>
  <c r="O20" i="49"/>
  <c r="F20" i="49"/>
  <c r="O18" i="49"/>
  <c r="F18" i="49"/>
  <c r="O14" i="49"/>
  <c r="O10" i="49"/>
  <c r="F10" i="49"/>
  <c r="O6" i="49"/>
  <c r="F6" i="49"/>
  <c r="P5" i="49"/>
  <c r="O5" i="49"/>
  <c r="Q18" i="49" l="1"/>
  <c r="Q19" i="49"/>
  <c r="Q26" i="49"/>
  <c r="Q27" i="49"/>
  <c r="I38" i="49"/>
  <c r="I40" i="49"/>
  <c r="Q10" i="49"/>
  <c r="Q12" i="49"/>
  <c r="Q36" i="49"/>
  <c r="Q34" i="49"/>
  <c r="Q23" i="49"/>
  <c r="Q22" i="49"/>
  <c r="Q21" i="49"/>
  <c r="Q20" i="49"/>
  <c r="Q25" i="49"/>
  <c r="Q24" i="49"/>
  <c r="Q29" i="49"/>
  <c r="Q28" i="49"/>
  <c r="I44" i="49"/>
  <c r="I42" i="49"/>
  <c r="Q44" i="49"/>
  <c r="Q42" i="49"/>
  <c r="Q14" i="49"/>
  <c r="Q16" i="49"/>
  <c r="Q8" i="49"/>
  <c r="Q6" i="49"/>
  <c r="Q32" i="49"/>
  <c r="Q30" i="49"/>
  <c r="Q40" i="49"/>
  <c r="Q38" i="49"/>
  <c r="I21" i="49"/>
  <c r="I20" i="49"/>
  <c r="I26" i="49"/>
  <c r="I27" i="49"/>
  <c r="I6" i="49"/>
  <c r="I8" i="49"/>
  <c r="I10" i="49"/>
  <c r="I12" i="49"/>
  <c r="I29" i="49"/>
  <c r="I28" i="49"/>
  <c r="I18" i="49"/>
  <c r="I19" i="49"/>
  <c r="I25" i="49"/>
  <c r="I24" i="49"/>
  <c r="I22" i="49"/>
  <c r="I23" i="49"/>
  <c r="I41" i="5"/>
  <c r="L41" i="5" s="1"/>
  <c r="Y20" i="44"/>
  <c r="Y19" i="44"/>
  <c r="Y18" i="44"/>
  <c r="Y17" i="44"/>
  <c r="Y16" i="44"/>
  <c r="Y15" i="44"/>
  <c r="Y14" i="44"/>
  <c r="N45" i="37"/>
  <c r="N54" i="37" s="1"/>
  <c r="N44" i="37"/>
  <c r="N53" i="37" s="1"/>
  <c r="N43" i="37"/>
  <c r="N78" i="37" s="1"/>
  <c r="N42" i="37"/>
  <c r="N77" i="37" s="1"/>
  <c r="N41" i="37"/>
  <c r="N76" i="37" s="1"/>
  <c r="N40" i="37"/>
  <c r="N49" i="37" s="1"/>
  <c r="L45" i="37"/>
  <c r="L54" i="37" s="1"/>
  <c r="L44" i="37"/>
  <c r="L79" i="37" s="1"/>
  <c r="L43" i="37"/>
  <c r="L78" i="37" s="1"/>
  <c r="L42" i="37"/>
  <c r="L51" i="37" s="1"/>
  <c r="L41" i="37"/>
  <c r="L50" i="37" s="1"/>
  <c r="L40" i="37"/>
  <c r="L49" i="37" s="1"/>
  <c r="K45" i="37"/>
  <c r="K54" i="37" s="1"/>
  <c r="K44" i="37"/>
  <c r="K53" i="37" s="1"/>
  <c r="K43" i="37"/>
  <c r="K78" i="37" s="1"/>
  <c r="K42" i="37"/>
  <c r="K51" i="37" s="1"/>
  <c r="K66" i="37" s="1"/>
  <c r="K41" i="37"/>
  <c r="K50" i="37" s="1"/>
  <c r="K40" i="37"/>
  <c r="K75" i="37" s="1"/>
  <c r="K52" i="37" l="1"/>
  <c r="L75" i="37"/>
  <c r="L53" i="37"/>
  <c r="L76" i="37"/>
  <c r="N79" i="37"/>
  <c r="K49" i="37"/>
  <c r="L77" i="37"/>
  <c r="N75" i="37"/>
  <c r="K79" i="37"/>
  <c r="N50" i="37"/>
  <c r="N51" i="37"/>
  <c r="K76" i="37"/>
  <c r="L52" i="37"/>
  <c r="N52" i="37"/>
  <c r="K77" i="37"/>
  <c r="K80" i="37" l="1"/>
  <c r="Y26" i="37"/>
  <c r="Y35" i="37" s="1"/>
  <c r="Y25" i="37"/>
  <c r="Y34" i="37" s="1"/>
  <c r="Y24" i="37"/>
  <c r="Y33" i="37" s="1"/>
  <c r="Y23" i="37"/>
  <c r="Y32" i="37" s="1"/>
  <c r="Y22" i="37"/>
  <c r="Y17" i="37"/>
  <c r="N60" i="37" s="1"/>
  <c r="Y16" i="37"/>
  <c r="N59" i="37" s="1"/>
  <c r="Y15" i="37"/>
  <c r="N58" i="37" s="1"/>
  <c r="Y11" i="37"/>
  <c r="G6" i="31"/>
  <c r="Y18" i="37" l="1"/>
  <c r="Y27" i="37"/>
  <c r="Y31" i="37"/>
  <c r="Y36" i="37" s="1"/>
  <c r="W20" i="44"/>
  <c r="W19" i="44"/>
  <c r="W18" i="44"/>
  <c r="W17" i="44"/>
  <c r="W16" i="44"/>
  <c r="W15" i="44"/>
  <c r="W14" i="44"/>
  <c r="I38" i="5"/>
  <c r="L38" i="5" s="1"/>
  <c r="N11" i="37" l="1"/>
  <c r="N18" i="37"/>
  <c r="N22" i="37"/>
  <c r="N31" i="37" s="1"/>
  <c r="N23" i="37"/>
  <c r="N32" i="37" s="1"/>
  <c r="N24" i="37"/>
  <c r="N33" i="37" s="1"/>
  <c r="N25" i="37"/>
  <c r="N26" i="37"/>
  <c r="N35" i="37" s="1"/>
  <c r="N34" i="37"/>
  <c r="L88" i="37"/>
  <c r="L87" i="37"/>
  <c r="L86" i="37"/>
  <c r="L85" i="37"/>
  <c r="V26" i="37"/>
  <c r="V35" i="37" s="1"/>
  <c r="V25" i="37"/>
  <c r="V34" i="37" s="1"/>
  <c r="V24" i="37"/>
  <c r="V33" i="37" s="1"/>
  <c r="V23" i="37"/>
  <c r="V32" i="37" s="1"/>
  <c r="V22" i="37"/>
  <c r="V17" i="37"/>
  <c r="K60" i="37" s="1"/>
  <c r="V16" i="37"/>
  <c r="K59" i="37" s="1"/>
  <c r="V15" i="37"/>
  <c r="K58" i="37" s="1"/>
  <c r="V11" i="37"/>
  <c r="K61" i="37" l="1"/>
  <c r="N36" i="37"/>
  <c r="N27" i="37"/>
  <c r="L67" i="37"/>
  <c r="L68" i="37"/>
  <c r="L84" i="37"/>
  <c r="L89" i="37" s="1"/>
  <c r="V27" i="37"/>
  <c r="V18" i="37"/>
  <c r="L46" i="37"/>
  <c r="L66" i="37"/>
  <c r="V31" i="37"/>
  <c r="V36" i="37" s="1"/>
  <c r="L69" i="37" l="1"/>
  <c r="L80" i="37"/>
  <c r="I37" i="5" l="1"/>
  <c r="L37" i="5" s="1"/>
  <c r="V20" i="44"/>
  <c r="V19" i="44"/>
  <c r="V18" i="44"/>
  <c r="V17" i="44"/>
  <c r="V16" i="44"/>
  <c r="V15" i="44"/>
  <c r="V14" i="44"/>
  <c r="N66" i="37" l="1"/>
  <c r="W11" i="37"/>
  <c r="W26" i="37"/>
  <c r="W35" i="37" s="1"/>
  <c r="W25" i="37"/>
  <c r="W34" i="37" s="1"/>
  <c r="W24" i="37"/>
  <c r="W33" i="37" s="1"/>
  <c r="W23" i="37"/>
  <c r="W32" i="37" s="1"/>
  <c r="W22" i="37"/>
  <c r="W17" i="37"/>
  <c r="L60" i="37" s="1"/>
  <c r="W16" i="37"/>
  <c r="L59" i="37" s="1"/>
  <c r="W15" i="37"/>
  <c r="L58" i="37" s="1"/>
  <c r="L61" i="37" l="1"/>
  <c r="L70" i="37" s="1"/>
  <c r="L71" i="37" s="1"/>
  <c r="K86" i="37"/>
  <c r="W18" i="37"/>
  <c r="W27" i="37"/>
  <c r="W31" i="37"/>
  <c r="W36" i="37" s="1"/>
  <c r="N86" i="37" l="1"/>
  <c r="T20" i="44" l="1"/>
  <c r="T19" i="44"/>
  <c r="T18" i="44"/>
  <c r="T17" i="44"/>
  <c r="T16" i="44"/>
  <c r="T15" i="44"/>
  <c r="T14" i="44"/>
  <c r="I36" i="5" l="1"/>
  <c r="L36" i="5" s="1"/>
  <c r="N88" i="37" l="1"/>
  <c r="N87" i="37"/>
  <c r="N85" i="37"/>
  <c r="N84" i="37"/>
  <c r="N46" i="37"/>
  <c r="J45" i="37"/>
  <c r="N89" i="37" l="1"/>
  <c r="N80" i="37"/>
  <c r="N61" i="37"/>
  <c r="N70" i="37" s="1"/>
  <c r="K68" i="37" l="1"/>
  <c r="K67" i="37"/>
  <c r="U26" i="37"/>
  <c r="U35" i="37" s="1"/>
  <c r="U25" i="37"/>
  <c r="U34" i="37" s="1"/>
  <c r="U24" i="37"/>
  <c r="U33" i="37" s="1"/>
  <c r="U23" i="37"/>
  <c r="U32" i="37" s="1"/>
  <c r="U22" i="37"/>
  <c r="U31" i="37" s="1"/>
  <c r="U17" i="37"/>
  <c r="U16" i="37"/>
  <c r="U15" i="37"/>
  <c r="T16" i="37"/>
  <c r="U11" i="37"/>
  <c r="T11" i="37"/>
  <c r="K69" i="37" l="1"/>
  <c r="U18" i="37"/>
  <c r="U27" i="37"/>
  <c r="U36" i="37"/>
  <c r="U20" i="44" l="1"/>
  <c r="S20" i="44"/>
  <c r="R20" i="44"/>
  <c r="Q20" i="44"/>
  <c r="P20" i="44"/>
  <c r="O20" i="44"/>
  <c r="N20" i="44"/>
  <c r="M20" i="44"/>
  <c r="L20" i="44"/>
  <c r="K20" i="44"/>
  <c r="J20" i="44"/>
  <c r="I20" i="44"/>
  <c r="H20" i="44"/>
  <c r="G20" i="44"/>
  <c r="F20" i="44"/>
  <c r="E20" i="44"/>
  <c r="D20" i="44"/>
  <c r="C20" i="44"/>
  <c r="U19" i="44"/>
  <c r="S19" i="44"/>
  <c r="R19" i="44"/>
  <c r="Q19" i="44"/>
  <c r="P19" i="44"/>
  <c r="O19" i="44"/>
  <c r="N19" i="44"/>
  <c r="M19" i="44"/>
  <c r="L19" i="44"/>
  <c r="K19" i="44"/>
  <c r="J19" i="44"/>
  <c r="I19" i="44"/>
  <c r="H19" i="44"/>
  <c r="G19" i="44"/>
  <c r="F19" i="44"/>
  <c r="E19" i="44"/>
  <c r="D19" i="44"/>
  <c r="C19" i="44"/>
  <c r="U18" i="44"/>
  <c r="S18" i="44"/>
  <c r="R18" i="44"/>
  <c r="Q18" i="44"/>
  <c r="P18" i="44"/>
  <c r="O18" i="44"/>
  <c r="N18" i="44"/>
  <c r="M18" i="44"/>
  <c r="L18" i="44"/>
  <c r="K18" i="44"/>
  <c r="J18" i="44"/>
  <c r="I18" i="44"/>
  <c r="H18" i="44"/>
  <c r="G18" i="44"/>
  <c r="F18" i="44"/>
  <c r="E18" i="44"/>
  <c r="D18" i="44"/>
  <c r="C18" i="44"/>
  <c r="U17" i="44"/>
  <c r="S17" i="44"/>
  <c r="R17" i="44"/>
  <c r="Q17" i="44"/>
  <c r="P17" i="44"/>
  <c r="O17" i="44"/>
  <c r="N17" i="44"/>
  <c r="M17" i="44"/>
  <c r="L17" i="44"/>
  <c r="K17" i="44"/>
  <c r="J17" i="44"/>
  <c r="I17" i="44"/>
  <c r="H17" i="44"/>
  <c r="G17" i="44"/>
  <c r="F17" i="44"/>
  <c r="E17" i="44"/>
  <c r="D17" i="44"/>
  <c r="C17" i="44"/>
  <c r="U16" i="44"/>
  <c r="S16" i="44"/>
  <c r="R16" i="44"/>
  <c r="Q16" i="44"/>
  <c r="P16" i="44"/>
  <c r="O16" i="44"/>
  <c r="N16" i="44"/>
  <c r="M16" i="44"/>
  <c r="L16" i="44"/>
  <c r="K16" i="44"/>
  <c r="J16" i="44"/>
  <c r="I16" i="44"/>
  <c r="H16" i="44"/>
  <c r="G16" i="44"/>
  <c r="F16" i="44"/>
  <c r="E16" i="44"/>
  <c r="D16" i="44"/>
  <c r="C16" i="44"/>
  <c r="U15" i="44"/>
  <c r="S15" i="44"/>
  <c r="R15" i="44"/>
  <c r="Q15" i="44"/>
  <c r="P15" i="44"/>
  <c r="O15" i="44"/>
  <c r="N15" i="44"/>
  <c r="M15" i="44"/>
  <c r="L15" i="44"/>
  <c r="K15" i="44"/>
  <c r="J15" i="44"/>
  <c r="I15" i="44"/>
  <c r="H15" i="44"/>
  <c r="G15" i="44"/>
  <c r="F15" i="44"/>
  <c r="E15" i="44"/>
  <c r="D15" i="44"/>
  <c r="C15" i="44"/>
  <c r="U14" i="44"/>
  <c r="S14" i="44"/>
  <c r="R14" i="44"/>
  <c r="Q14" i="44"/>
  <c r="P14" i="44"/>
  <c r="O14" i="44"/>
  <c r="N14" i="44"/>
  <c r="M14" i="44"/>
  <c r="L14" i="44"/>
  <c r="K14" i="44"/>
  <c r="J14" i="44"/>
  <c r="I14" i="44"/>
  <c r="H14" i="44"/>
  <c r="G14" i="44"/>
  <c r="F14" i="44"/>
  <c r="E14" i="44"/>
  <c r="D14" i="44"/>
  <c r="C14" i="44"/>
  <c r="G79" i="37"/>
  <c r="G88" i="37" s="1"/>
  <c r="F79" i="37"/>
  <c r="F88" i="37" s="1"/>
  <c r="E79" i="37"/>
  <c r="E88" i="37" s="1"/>
  <c r="D79" i="37"/>
  <c r="D88" i="37" s="1"/>
  <c r="C79" i="37"/>
  <c r="C88" i="37" s="1"/>
  <c r="G78" i="37"/>
  <c r="G87" i="37" s="1"/>
  <c r="F78" i="37"/>
  <c r="F87" i="37" s="1"/>
  <c r="E78" i="37"/>
  <c r="E87" i="37" s="1"/>
  <c r="D78" i="37"/>
  <c r="D87" i="37" s="1"/>
  <c r="C78" i="37"/>
  <c r="C87" i="37" s="1"/>
  <c r="G77" i="37"/>
  <c r="G86" i="37" s="1"/>
  <c r="F77" i="37"/>
  <c r="F86" i="37" s="1"/>
  <c r="E77" i="37"/>
  <c r="E86" i="37" s="1"/>
  <c r="D77" i="37"/>
  <c r="D86" i="37" s="1"/>
  <c r="C77" i="37"/>
  <c r="C86" i="37" s="1"/>
  <c r="G75" i="37"/>
  <c r="G84" i="37" s="1"/>
  <c r="F75" i="37"/>
  <c r="F84" i="37" s="1"/>
  <c r="E75" i="37"/>
  <c r="E84" i="37" s="1"/>
  <c r="D75" i="37"/>
  <c r="D84" i="37" s="1"/>
  <c r="C75" i="37"/>
  <c r="C84" i="37" s="1"/>
  <c r="G61" i="37"/>
  <c r="G70" i="37" s="1"/>
  <c r="F61" i="37"/>
  <c r="F70" i="37" s="1"/>
  <c r="E61" i="37"/>
  <c r="E70" i="37" s="1"/>
  <c r="D61" i="37"/>
  <c r="D70" i="37" s="1"/>
  <c r="C61" i="37"/>
  <c r="C70" i="37" s="1"/>
  <c r="J60" i="37"/>
  <c r="I60" i="37"/>
  <c r="H60" i="37"/>
  <c r="J59" i="37"/>
  <c r="I59" i="37"/>
  <c r="H59" i="37"/>
  <c r="J58" i="37"/>
  <c r="I58" i="37"/>
  <c r="H58" i="37"/>
  <c r="G54" i="37"/>
  <c r="F54" i="37"/>
  <c r="E54" i="37"/>
  <c r="D54" i="37"/>
  <c r="C54" i="37"/>
  <c r="G53" i="37"/>
  <c r="G68" i="37" s="1"/>
  <c r="F53" i="37"/>
  <c r="F68" i="37" s="1"/>
  <c r="E53" i="37"/>
  <c r="E68" i="37" s="1"/>
  <c r="D53" i="37"/>
  <c r="D68" i="37" s="1"/>
  <c r="C53" i="37"/>
  <c r="C68" i="37" s="1"/>
  <c r="G52" i="37"/>
  <c r="G67" i="37" s="1"/>
  <c r="F52" i="37"/>
  <c r="F67" i="37" s="1"/>
  <c r="E52" i="37"/>
  <c r="E67" i="37" s="1"/>
  <c r="D52" i="37"/>
  <c r="D67" i="37" s="1"/>
  <c r="C52" i="37"/>
  <c r="C67" i="37" s="1"/>
  <c r="G51" i="37"/>
  <c r="G66" i="37" s="1"/>
  <c r="F51" i="37"/>
  <c r="F66" i="37" s="1"/>
  <c r="E51" i="37"/>
  <c r="E66" i="37" s="1"/>
  <c r="D51" i="37"/>
  <c r="D66" i="37" s="1"/>
  <c r="C51" i="37"/>
  <c r="C66" i="37" s="1"/>
  <c r="G49" i="37"/>
  <c r="F49" i="37"/>
  <c r="E49" i="37"/>
  <c r="D49" i="37"/>
  <c r="C49" i="37"/>
  <c r="J44" i="37"/>
  <c r="J79" i="37" s="1"/>
  <c r="J88" i="37" s="1"/>
  <c r="I44" i="37"/>
  <c r="H44" i="37"/>
  <c r="H79" i="37" s="1"/>
  <c r="H88" i="37" s="1"/>
  <c r="J43" i="37"/>
  <c r="J52" i="37" s="1"/>
  <c r="J67" i="37" s="1"/>
  <c r="I43" i="37"/>
  <c r="I78" i="37" s="1"/>
  <c r="I87" i="37" s="1"/>
  <c r="H43" i="37"/>
  <c r="J42" i="37"/>
  <c r="J77" i="37" s="1"/>
  <c r="J86" i="37" s="1"/>
  <c r="I42" i="37"/>
  <c r="I77" i="37" s="1"/>
  <c r="I86" i="37" s="1"/>
  <c r="H42" i="37"/>
  <c r="H77" i="37" s="1"/>
  <c r="H86" i="37" s="1"/>
  <c r="J41" i="37"/>
  <c r="J76" i="37" s="1"/>
  <c r="J85" i="37" s="1"/>
  <c r="I41" i="37"/>
  <c r="I50" i="37" s="1"/>
  <c r="H41" i="37"/>
  <c r="H76" i="37" s="1"/>
  <c r="H85" i="37" s="1"/>
  <c r="G41" i="37"/>
  <c r="G50" i="37" s="1"/>
  <c r="F41" i="37"/>
  <c r="F76" i="37" s="1"/>
  <c r="F85" i="37" s="1"/>
  <c r="E41" i="37"/>
  <c r="E76" i="37" s="1"/>
  <c r="E85" i="37" s="1"/>
  <c r="D41" i="37"/>
  <c r="C41" i="37"/>
  <c r="C50" i="37" s="1"/>
  <c r="J40" i="37"/>
  <c r="J49" i="37" s="1"/>
  <c r="I40" i="37"/>
  <c r="I75" i="37" s="1"/>
  <c r="H40" i="37"/>
  <c r="O26" i="37"/>
  <c r="O35" i="37" s="1"/>
  <c r="M26" i="37"/>
  <c r="M35" i="37" s="1"/>
  <c r="L26" i="37"/>
  <c r="L35" i="37" s="1"/>
  <c r="K26" i="37"/>
  <c r="K35" i="37" s="1"/>
  <c r="J26" i="37"/>
  <c r="J35" i="37" s="1"/>
  <c r="I26" i="37"/>
  <c r="I35" i="37" s="1"/>
  <c r="H26" i="37"/>
  <c r="H35" i="37" s="1"/>
  <c r="G26" i="37"/>
  <c r="G35" i="37" s="1"/>
  <c r="F26" i="37"/>
  <c r="F35" i="37" s="1"/>
  <c r="E26" i="37"/>
  <c r="E35" i="37" s="1"/>
  <c r="D26" i="37"/>
  <c r="D35" i="37" s="1"/>
  <c r="C26" i="37"/>
  <c r="C35" i="37" s="1"/>
  <c r="R25" i="37"/>
  <c r="R34" i="37" s="1"/>
  <c r="O25" i="37"/>
  <c r="O34" i="37" s="1"/>
  <c r="M25" i="37"/>
  <c r="M34" i="37" s="1"/>
  <c r="L25" i="37"/>
  <c r="L34" i="37" s="1"/>
  <c r="K25" i="37"/>
  <c r="K34" i="37" s="1"/>
  <c r="J25" i="37"/>
  <c r="J34" i="37" s="1"/>
  <c r="I25" i="37"/>
  <c r="I34" i="37" s="1"/>
  <c r="H25" i="37"/>
  <c r="H34" i="37" s="1"/>
  <c r="G25" i="37"/>
  <c r="G34" i="37" s="1"/>
  <c r="F25" i="37"/>
  <c r="F34" i="37" s="1"/>
  <c r="E25" i="37"/>
  <c r="E34" i="37" s="1"/>
  <c r="D25" i="37"/>
  <c r="D34" i="37" s="1"/>
  <c r="C25" i="37"/>
  <c r="C34" i="37" s="1"/>
  <c r="O24" i="37"/>
  <c r="O33" i="37" s="1"/>
  <c r="M24" i="37"/>
  <c r="M33" i="37" s="1"/>
  <c r="L24" i="37"/>
  <c r="L33" i="37" s="1"/>
  <c r="K24" i="37"/>
  <c r="K33" i="37" s="1"/>
  <c r="J24" i="37"/>
  <c r="J33" i="37" s="1"/>
  <c r="I24" i="37"/>
  <c r="I33" i="37" s="1"/>
  <c r="H24" i="37"/>
  <c r="H33" i="37" s="1"/>
  <c r="G24" i="37"/>
  <c r="G33" i="37" s="1"/>
  <c r="F24" i="37"/>
  <c r="F33" i="37" s="1"/>
  <c r="E24" i="37"/>
  <c r="E33" i="37" s="1"/>
  <c r="D24" i="37"/>
  <c r="D33" i="37" s="1"/>
  <c r="C24" i="37"/>
  <c r="C33" i="37" s="1"/>
  <c r="O23" i="37"/>
  <c r="O32" i="37" s="1"/>
  <c r="M23" i="37"/>
  <c r="M32" i="37" s="1"/>
  <c r="O22" i="37"/>
  <c r="M22" i="37"/>
  <c r="M31" i="37" s="1"/>
  <c r="L22" i="37"/>
  <c r="K22" i="37"/>
  <c r="K31" i="37" s="1"/>
  <c r="J22" i="37"/>
  <c r="J31" i="37" s="1"/>
  <c r="I22" i="37"/>
  <c r="I31" i="37" s="1"/>
  <c r="H22" i="37"/>
  <c r="H31" i="37" s="1"/>
  <c r="G22" i="37"/>
  <c r="G31" i="37" s="1"/>
  <c r="F22" i="37"/>
  <c r="E22" i="37"/>
  <c r="E31" i="37" s="1"/>
  <c r="D22" i="37"/>
  <c r="D31" i="37" s="1"/>
  <c r="C22" i="37"/>
  <c r="C31" i="37" s="1"/>
  <c r="O18" i="37"/>
  <c r="M18" i="37"/>
  <c r="L18" i="37"/>
  <c r="K18" i="37"/>
  <c r="J18" i="37"/>
  <c r="I18" i="37"/>
  <c r="H18" i="37"/>
  <c r="G18" i="37"/>
  <c r="F18" i="37"/>
  <c r="E18" i="37"/>
  <c r="D18" i="37"/>
  <c r="C18" i="37"/>
  <c r="T17" i="37"/>
  <c r="S17" i="37"/>
  <c r="R17" i="37"/>
  <c r="Q17" i="37"/>
  <c r="P17" i="37"/>
  <c r="S16" i="37"/>
  <c r="R16" i="37"/>
  <c r="Q16" i="37"/>
  <c r="P16" i="37"/>
  <c r="T15" i="37"/>
  <c r="S15" i="37"/>
  <c r="R15" i="37"/>
  <c r="Q15" i="37"/>
  <c r="P15" i="37"/>
  <c r="O11" i="37"/>
  <c r="M11" i="37"/>
  <c r="S24" i="37"/>
  <c r="S33" i="37" s="1"/>
  <c r="L6" i="37"/>
  <c r="K6" i="37"/>
  <c r="J6" i="37"/>
  <c r="J11" i="37" s="1"/>
  <c r="I6" i="37"/>
  <c r="I23" i="37" s="1"/>
  <c r="H6" i="37"/>
  <c r="H11" i="37" s="1"/>
  <c r="G6" i="37"/>
  <c r="G23" i="37" s="1"/>
  <c r="G32" i="37" s="1"/>
  <c r="F6" i="37"/>
  <c r="F11" i="37" s="1"/>
  <c r="E6" i="37"/>
  <c r="E11" i="37" s="1"/>
  <c r="D6" i="37"/>
  <c r="D11" i="37" s="1"/>
  <c r="C6" i="37"/>
  <c r="J61" i="37" l="1"/>
  <c r="J70" i="37" s="1"/>
  <c r="J50" i="37"/>
  <c r="J75" i="37"/>
  <c r="J84" i="37" s="1"/>
  <c r="H61" i="37"/>
  <c r="H70" i="37" s="1"/>
  <c r="I61" i="37"/>
  <c r="I70" i="37" s="1"/>
  <c r="Q18" i="37"/>
  <c r="G11" i="37"/>
  <c r="D69" i="37"/>
  <c r="D71" i="37" s="1"/>
  <c r="I11" i="37"/>
  <c r="P18" i="37"/>
  <c r="C23" i="37"/>
  <c r="C32" i="37" s="1"/>
  <c r="C36" i="37" s="1"/>
  <c r="C11" i="37"/>
  <c r="K23" i="37"/>
  <c r="K32" i="37" s="1"/>
  <c r="K36" i="37" s="1"/>
  <c r="K11" i="37"/>
  <c r="R23" i="37"/>
  <c r="R32" i="37" s="1"/>
  <c r="R26" i="37"/>
  <c r="R35" i="37" s="1"/>
  <c r="R22" i="37"/>
  <c r="R11" i="37"/>
  <c r="R24" i="37"/>
  <c r="R33" i="37" s="1"/>
  <c r="T18" i="37"/>
  <c r="H75" i="37"/>
  <c r="H84" i="37" s="1"/>
  <c r="H49" i="37"/>
  <c r="D76" i="37"/>
  <c r="D85" i="37" s="1"/>
  <c r="D89" i="37" s="1"/>
  <c r="D50" i="37"/>
  <c r="D46" i="37"/>
  <c r="L11" i="37"/>
  <c r="L23" i="37"/>
  <c r="L32" i="37" s="1"/>
  <c r="P11" i="37"/>
  <c r="P23" i="37"/>
  <c r="P32" i="37" s="1"/>
  <c r="T24" i="37"/>
  <c r="T33" i="37" s="1"/>
  <c r="L31" i="37"/>
  <c r="H78" i="37"/>
  <c r="H87" i="37" s="1"/>
  <c r="H52" i="37"/>
  <c r="H67" i="37" s="1"/>
  <c r="I79" i="37"/>
  <c r="I88" i="37" s="1"/>
  <c r="I53" i="37"/>
  <c r="I68" i="37" s="1"/>
  <c r="K88" i="37"/>
  <c r="C69" i="37"/>
  <c r="C71" i="37" s="1"/>
  <c r="N67" i="37"/>
  <c r="J78" i="37"/>
  <c r="J87" i="37" s="1"/>
  <c r="S11" i="37"/>
  <c r="S18" i="37"/>
  <c r="M36" i="37"/>
  <c r="S22" i="37"/>
  <c r="S31" i="37" s="1"/>
  <c r="K87" i="37"/>
  <c r="F50" i="37"/>
  <c r="M27" i="37"/>
  <c r="E46" i="37"/>
  <c r="E50" i="37"/>
  <c r="F69" i="37"/>
  <c r="F71" i="37" s="1"/>
  <c r="F89" i="37"/>
  <c r="I76" i="37"/>
  <c r="I85" i="37" s="1"/>
  <c r="E69" i="37"/>
  <c r="E71" i="37" s="1"/>
  <c r="I84" i="37"/>
  <c r="I32" i="37"/>
  <c r="I36" i="37" s="1"/>
  <c r="I27" i="37"/>
  <c r="E89" i="37"/>
  <c r="Q26" i="37"/>
  <c r="Q35" i="37" s="1"/>
  <c r="Q24" i="37"/>
  <c r="Q33" i="37" s="1"/>
  <c r="Q22" i="37"/>
  <c r="S25" i="37"/>
  <c r="S34" i="37" s="1"/>
  <c r="S23" i="37"/>
  <c r="S32" i="37" s="1"/>
  <c r="F23" i="37"/>
  <c r="F32" i="37" s="1"/>
  <c r="H51" i="37"/>
  <c r="H66" i="37" s="1"/>
  <c r="I52" i="37"/>
  <c r="I67" i="37" s="1"/>
  <c r="J53" i="37"/>
  <c r="J68" i="37" s="1"/>
  <c r="R18" i="37"/>
  <c r="E23" i="37"/>
  <c r="J23" i="37"/>
  <c r="J32" i="37" s="1"/>
  <c r="J36" i="37" s="1"/>
  <c r="T23" i="37"/>
  <c r="T32" i="37" s="1"/>
  <c r="Q25" i="37"/>
  <c r="Q34" i="37" s="1"/>
  <c r="P26" i="37"/>
  <c r="P35" i="37" s="1"/>
  <c r="G36" i="37"/>
  <c r="N68" i="37"/>
  <c r="G76" i="37"/>
  <c r="G85" i="37" s="1"/>
  <c r="G89" i="37" s="1"/>
  <c r="F80" i="37"/>
  <c r="Q11" i="37"/>
  <c r="P22" i="37"/>
  <c r="D23" i="37"/>
  <c r="P25" i="37"/>
  <c r="P34" i="37" s="1"/>
  <c r="T26" i="37"/>
  <c r="T35" i="37" s="1"/>
  <c r="F31" i="37"/>
  <c r="I45" i="37"/>
  <c r="C46" i="37"/>
  <c r="J51" i="37"/>
  <c r="J66" i="37" s="1"/>
  <c r="H53" i="37"/>
  <c r="H68" i="37" s="1"/>
  <c r="K70" i="37"/>
  <c r="K85" i="37"/>
  <c r="E80" i="37"/>
  <c r="G27" i="37"/>
  <c r="O27" i="37"/>
  <c r="T22" i="37"/>
  <c r="H23" i="37"/>
  <c r="H32" i="37" s="1"/>
  <c r="H36" i="37" s="1"/>
  <c r="Q23" i="37"/>
  <c r="Q32" i="37" s="1"/>
  <c r="P24" i="37"/>
  <c r="P33" i="37" s="1"/>
  <c r="T25" i="37"/>
  <c r="T34" i="37" s="1"/>
  <c r="S26" i="37"/>
  <c r="S35" i="37" s="1"/>
  <c r="O31" i="37"/>
  <c r="O36" i="37" s="1"/>
  <c r="H45" i="37"/>
  <c r="G46" i="37"/>
  <c r="I49" i="37"/>
  <c r="H50" i="37"/>
  <c r="I51" i="37"/>
  <c r="I66" i="37" s="1"/>
  <c r="G69" i="37"/>
  <c r="G71" i="37" s="1"/>
  <c r="C76" i="37"/>
  <c r="F46" i="37"/>
  <c r="D80" i="37" l="1"/>
  <c r="J89" i="37"/>
  <c r="L36" i="37"/>
  <c r="C27" i="37"/>
  <c r="R27" i="37"/>
  <c r="H80" i="37"/>
  <c r="L27" i="37"/>
  <c r="N69" i="37"/>
  <c r="N71" i="37" s="1"/>
  <c r="J69" i="37"/>
  <c r="J71" i="37" s="1"/>
  <c r="J80" i="37"/>
  <c r="K71" i="37"/>
  <c r="S36" i="37"/>
  <c r="I80" i="37"/>
  <c r="I89" i="37"/>
  <c r="K27" i="37"/>
  <c r="F36" i="37"/>
  <c r="R31" i="37"/>
  <c r="R36" i="37" s="1"/>
  <c r="H69" i="37"/>
  <c r="H71" i="37" s="1"/>
  <c r="H89" i="37"/>
  <c r="H27" i="37"/>
  <c r="K46" i="37"/>
  <c r="T31" i="37"/>
  <c r="T36" i="37" s="1"/>
  <c r="T27" i="37"/>
  <c r="K84" i="37"/>
  <c r="K89" i="37" s="1"/>
  <c r="C80" i="37"/>
  <c r="C85" i="37"/>
  <c r="C89" i="37" s="1"/>
  <c r="Q31" i="37"/>
  <c r="Q36" i="37" s="1"/>
  <c r="Q27" i="37"/>
  <c r="I69" i="37"/>
  <c r="I71" i="37" s="1"/>
  <c r="G80" i="37"/>
  <c r="S27" i="37"/>
  <c r="F27" i="37"/>
  <c r="H54" i="37"/>
  <c r="H46" i="37"/>
  <c r="D32" i="37"/>
  <c r="D36" i="37" s="1"/>
  <c r="D27" i="37"/>
  <c r="I54" i="37"/>
  <c r="I46" i="37"/>
  <c r="P31" i="37"/>
  <c r="P36" i="37" s="1"/>
  <c r="P27" i="37"/>
  <c r="J46" i="37"/>
  <c r="J54" i="37"/>
  <c r="E32" i="37"/>
  <c r="E36" i="37" s="1"/>
  <c r="E27" i="37"/>
  <c r="J27" i="37"/>
  <c r="I39" i="5" l="1"/>
  <c r="L39" i="5" s="1"/>
  <c r="I34" i="5" l="1"/>
  <c r="L34" i="5" s="1"/>
  <c r="I32" i="5" l="1"/>
  <c r="L32" i="5" s="1"/>
  <c r="I33" i="5"/>
  <c r="L33" i="5" s="1"/>
  <c r="C8" i="31"/>
  <c r="E5" i="31"/>
  <c r="G5" i="31" s="1"/>
  <c r="G7" i="31" l="1"/>
  <c r="G8" i="31" s="1"/>
</calcChain>
</file>

<file path=xl/comments1.xml><?xml version="1.0" encoding="utf-8"?>
<comments xmlns="http://schemas.openxmlformats.org/spreadsheetml/2006/main">
  <authors>
    <author>大阪市</author>
  </authors>
  <commentList>
    <comment ref="F24" authorId="0" shapeId="0">
      <text>
        <r>
          <rPr>
            <sz val="9"/>
            <color indexed="81"/>
            <rFont val="ＭＳ Ｐゴシック"/>
            <family val="3"/>
            <charset val="128"/>
          </rPr>
          <t>単純に「0.04」を入力するとグラフの幅がかなり小さくなるため、「0.1」と入力し、グラフに直接「0.04」を入力</t>
        </r>
      </text>
    </comment>
  </commentList>
</comments>
</file>

<file path=xl/sharedStrings.xml><?xml version="1.0" encoding="utf-8"?>
<sst xmlns="http://schemas.openxmlformats.org/spreadsheetml/2006/main" count="957" uniqueCount="470">
  <si>
    <t>　</t>
  </si>
  <si>
    <t>地方債残高</t>
    <rPh sb="0" eb="3">
      <t>チホウサイ</t>
    </rPh>
    <rPh sb="3" eb="5">
      <t>ザンダカ</t>
    </rPh>
    <phoneticPr fontId="9"/>
  </si>
  <si>
    <t>（参考）</t>
    <rPh sb="1" eb="3">
      <t>サンコウ</t>
    </rPh>
    <phoneticPr fontId="9"/>
  </si>
  <si>
    <t>・普通会計とは</t>
    <rPh sb="1" eb="3">
      <t>フツウ</t>
    </rPh>
    <rPh sb="3" eb="5">
      <t>カイケイ</t>
    </rPh>
    <phoneticPr fontId="9"/>
  </si>
  <si>
    <t>（注）公営事業会計とは</t>
    <rPh sb="1" eb="2">
      <t>チュウ</t>
    </rPh>
    <rPh sb="3" eb="5">
      <t>コウエイ</t>
    </rPh>
    <rPh sb="5" eb="7">
      <t>ジギョウ</t>
    </rPh>
    <rPh sb="7" eb="9">
      <t>カイケイ</t>
    </rPh>
    <phoneticPr fontId="9"/>
  </si>
  <si>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9"/>
  </si>
  <si>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9"/>
  </si>
  <si>
    <t>　適用している事業にかかる会計</t>
    <rPh sb="1" eb="3">
      <t>テキヨウ</t>
    </rPh>
    <rPh sb="7" eb="9">
      <t>ジギョウ</t>
    </rPh>
    <rPh sb="13" eb="15">
      <t>カイケイ</t>
    </rPh>
    <phoneticPr fontId="9"/>
  </si>
  <si>
    <t>＊大阪市の場合の普通会計</t>
    <rPh sb="1" eb="4">
      <t>オオサカシ</t>
    </rPh>
    <rPh sb="5" eb="7">
      <t>バアイ</t>
    </rPh>
    <rPh sb="8" eb="10">
      <t>フツウ</t>
    </rPh>
    <rPh sb="10" eb="12">
      <t>カイケイ</t>
    </rPh>
    <phoneticPr fontId="9"/>
  </si>
  <si>
    <t>・経常収支比率とは</t>
    <rPh sb="1" eb="3">
      <t>ケイジョウ</t>
    </rPh>
    <rPh sb="3" eb="5">
      <t>シュウシ</t>
    </rPh>
    <rPh sb="5" eb="7">
      <t>ヒリツ</t>
    </rPh>
    <phoneticPr fontId="9"/>
  </si>
  <si>
    <t>地方交付税</t>
    <rPh sb="0" eb="2">
      <t>チホウ</t>
    </rPh>
    <rPh sb="2" eb="5">
      <t>コウフゼイ</t>
    </rPh>
    <phoneticPr fontId="9"/>
  </si>
  <si>
    <t>国庫支出金</t>
    <rPh sb="0" eb="2">
      <t>コッコ</t>
    </rPh>
    <rPh sb="2" eb="4">
      <t>シシュツ</t>
    </rPh>
    <rPh sb="4" eb="5">
      <t>キン</t>
    </rPh>
    <phoneticPr fontId="9"/>
  </si>
  <si>
    <t>地方債</t>
    <rPh sb="0" eb="3">
      <t>チホウサイ</t>
    </rPh>
    <phoneticPr fontId="9"/>
  </si>
  <si>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</si>
  <si>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</si>
  <si>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</si>
  <si>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</si>
  <si>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</si>
  <si>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</si>
  <si>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</si>
  <si>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</si>
  <si>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</si>
  <si>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</si>
  <si>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</si>
  <si>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</si>
  <si>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</si>
  <si>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</si>
  <si>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元年度</t>
  </si>
  <si>
    <t xml:space="preserve"> 　３ 年度</t>
  </si>
  <si>
    <t xml:space="preserve"> 　４ 年度</t>
  </si>
  <si>
    <t xml:space="preserve"> 　５ 年度</t>
  </si>
  <si>
    <t xml:space="preserve"> 　10年度</t>
  </si>
  <si>
    <t xml:space="preserve"> 　11年度</t>
  </si>
  <si>
    <t xml:space="preserve"> （単位：百万円、％）</t>
    <phoneticPr fontId="9"/>
  </si>
  <si>
    <t>歳入額</t>
    <phoneticPr fontId="9"/>
  </si>
  <si>
    <t>歳出額</t>
    <phoneticPr fontId="9"/>
  </si>
  <si>
    <t>うち地方税</t>
    <rPh sb="2" eb="5">
      <t>チホウゼイ</t>
    </rPh>
    <phoneticPr fontId="9"/>
  </si>
  <si>
    <t>構成比</t>
    <rPh sb="0" eb="3">
      <t>コウセイヒ</t>
    </rPh>
    <phoneticPr fontId="9"/>
  </si>
  <si>
    <t>△</t>
    <phoneticPr fontId="9"/>
  </si>
  <si>
    <t xml:space="preserve"> 　２ 年度</t>
    <phoneticPr fontId="9"/>
  </si>
  <si>
    <t xml:space="preserve"> 　６ 年度</t>
    <phoneticPr fontId="9"/>
  </si>
  <si>
    <t xml:space="preserve"> 　７ 年度</t>
    <phoneticPr fontId="9"/>
  </si>
  <si>
    <t xml:space="preserve"> 　８ 年度</t>
    <phoneticPr fontId="9"/>
  </si>
  <si>
    <t xml:space="preserve"> 　９ 年度</t>
    <phoneticPr fontId="9"/>
  </si>
  <si>
    <t xml:space="preserve"> 　12年度</t>
    <phoneticPr fontId="9"/>
  </si>
  <si>
    <t xml:space="preserve"> 　13年度</t>
    <rPh sb="4" eb="6">
      <t>ネンド</t>
    </rPh>
    <phoneticPr fontId="9"/>
  </si>
  <si>
    <t xml:space="preserve"> 　14年度</t>
    <rPh sb="4" eb="6">
      <t>ネンド</t>
    </rPh>
    <phoneticPr fontId="9"/>
  </si>
  <si>
    <t xml:space="preserve"> 　15年度</t>
    <rPh sb="4" eb="6">
      <t>ネンド</t>
    </rPh>
    <phoneticPr fontId="9"/>
  </si>
  <si>
    <t xml:space="preserve"> 　16年度</t>
    <rPh sb="4" eb="6">
      <t>ネンド</t>
    </rPh>
    <phoneticPr fontId="9"/>
  </si>
  <si>
    <t>Ｈ８年度</t>
    <rPh sb="2" eb="4">
      <t>ネンド</t>
    </rPh>
    <phoneticPr fontId="9"/>
  </si>
  <si>
    <t>Ｈ１０年度</t>
    <rPh sb="3" eb="5">
      <t>ネンド</t>
    </rPh>
    <phoneticPr fontId="9"/>
  </si>
  <si>
    <t>Ｈ１２年度</t>
    <rPh sb="3" eb="5">
      <t>ネンド</t>
    </rPh>
    <phoneticPr fontId="9"/>
  </si>
  <si>
    <t>Ｈ１４年度</t>
    <rPh sb="3" eb="5">
      <t>ネンド</t>
    </rPh>
    <phoneticPr fontId="9"/>
  </si>
  <si>
    <t>Ｈ１６年度</t>
    <rPh sb="3" eb="5">
      <t>ネンド</t>
    </rPh>
    <phoneticPr fontId="9"/>
  </si>
  <si>
    <t>地方税</t>
    <rPh sb="0" eb="3">
      <t>チホウゼイ</t>
    </rPh>
    <phoneticPr fontId="9"/>
  </si>
  <si>
    <t>人件費</t>
    <rPh sb="0" eb="3">
      <t>ジンケンヒ</t>
    </rPh>
    <phoneticPr fontId="9"/>
  </si>
  <si>
    <t>扶助費</t>
    <rPh sb="0" eb="3">
      <t>フジョヒ</t>
    </rPh>
    <phoneticPr fontId="9"/>
  </si>
  <si>
    <t>投資的経費</t>
    <rPh sb="0" eb="3">
      <t>トウシテキ</t>
    </rPh>
    <rPh sb="3" eb="5">
      <t>ケイヒ</t>
    </rPh>
    <phoneticPr fontId="9"/>
  </si>
  <si>
    <t>Ｈ８を100とした場合</t>
    <rPh sb="9" eb="11">
      <t>バアイ</t>
    </rPh>
    <phoneticPr fontId="9"/>
  </si>
  <si>
    <t>公債費</t>
    <rPh sb="0" eb="2">
      <t>コウサイ</t>
    </rPh>
    <rPh sb="2" eb="3">
      <t>ヒ</t>
    </rPh>
    <phoneticPr fontId="9"/>
  </si>
  <si>
    <t>固定資産税（土地）・都市計画税（土地）</t>
    <rPh sb="0" eb="2">
      <t>コテイ</t>
    </rPh>
    <rPh sb="2" eb="5">
      <t>シサンゼイ</t>
    </rPh>
    <rPh sb="6" eb="8">
      <t>トチ</t>
    </rPh>
    <rPh sb="10" eb="12">
      <t>トシ</t>
    </rPh>
    <rPh sb="12" eb="14">
      <t>ケイカク</t>
    </rPh>
    <rPh sb="14" eb="15">
      <t>ゼイ</t>
    </rPh>
    <rPh sb="16" eb="18">
      <t>トチ</t>
    </rPh>
    <phoneticPr fontId="9"/>
  </si>
  <si>
    <t xml:space="preserve"> 　17年度</t>
    <rPh sb="4" eb="6">
      <t>ネンド</t>
    </rPh>
    <phoneticPr fontId="9"/>
  </si>
  <si>
    <t>Ｈ１７年度</t>
    <rPh sb="3" eb="5">
      <t>ネンド</t>
    </rPh>
    <phoneticPr fontId="9"/>
  </si>
  <si>
    <t xml:space="preserve"> 　18年度</t>
    <rPh sb="4" eb="6">
      <t>ネンド</t>
    </rPh>
    <phoneticPr fontId="9"/>
  </si>
  <si>
    <t>Ｈ１８年度</t>
    <rPh sb="3" eb="5">
      <t>ネンド</t>
    </rPh>
    <phoneticPr fontId="9"/>
  </si>
  <si>
    <t>＜一般財源の推移＞</t>
    <rPh sb="1" eb="3">
      <t>イッパン</t>
    </rPh>
    <rPh sb="3" eb="5">
      <t>ザイゲン</t>
    </rPh>
    <rPh sb="6" eb="8">
      <t>スイイ</t>
    </rPh>
    <phoneticPr fontId="19"/>
  </si>
  <si>
    <t>8決算</t>
    <rPh sb="1" eb="3">
      <t>ケッサン</t>
    </rPh>
    <phoneticPr fontId="19"/>
  </si>
  <si>
    <t>10決算</t>
    <rPh sb="2" eb="4">
      <t>ケッサン</t>
    </rPh>
    <phoneticPr fontId="19"/>
  </si>
  <si>
    <t>12決算</t>
    <rPh sb="2" eb="4">
      <t>ケッサン</t>
    </rPh>
    <phoneticPr fontId="19"/>
  </si>
  <si>
    <t>14決算</t>
    <rPh sb="2" eb="4">
      <t>ケッサン</t>
    </rPh>
    <phoneticPr fontId="19"/>
  </si>
  <si>
    <t>16決算</t>
    <rPh sb="2" eb="4">
      <t>ケッサン</t>
    </rPh>
    <phoneticPr fontId="19"/>
  </si>
  <si>
    <t>17決算</t>
    <rPh sb="2" eb="4">
      <t>ケッサン</t>
    </rPh>
    <phoneticPr fontId="19"/>
  </si>
  <si>
    <t>18決算</t>
    <rPh sb="2" eb="4">
      <t>ケッサン</t>
    </rPh>
    <phoneticPr fontId="19"/>
  </si>
  <si>
    <t>地方税・地方交付税
・臨時財政対策債</t>
    <rPh sb="4" eb="6">
      <t>チホウ</t>
    </rPh>
    <rPh sb="6" eb="9">
      <t>コウフゼイ</t>
    </rPh>
    <rPh sb="11" eb="13">
      <t>リンジ</t>
    </rPh>
    <rPh sb="13" eb="15">
      <t>ザイセイ</t>
    </rPh>
    <rPh sb="15" eb="17">
      <t>タイサク</t>
    </rPh>
    <rPh sb="17" eb="18">
      <t>サイ</t>
    </rPh>
    <phoneticPr fontId="19"/>
  </si>
  <si>
    <t>地方譲与税等</t>
    <rPh sb="0" eb="2">
      <t>チホウ</t>
    </rPh>
    <rPh sb="2" eb="4">
      <t>ジョウヨ</t>
    </rPh>
    <rPh sb="4" eb="5">
      <t>ゼイ</t>
    </rPh>
    <rPh sb="5" eb="6">
      <t>トウ</t>
    </rPh>
    <phoneticPr fontId="19"/>
  </si>
  <si>
    <t>一般財源計</t>
    <rPh sb="0" eb="2">
      <t>イッパン</t>
    </rPh>
    <rPh sb="2" eb="4">
      <t>ザイゲン</t>
    </rPh>
    <rPh sb="4" eb="5">
      <t>ケイ</t>
    </rPh>
    <phoneticPr fontId="19"/>
  </si>
  <si>
    <t>8決算との増減額</t>
    <rPh sb="1" eb="3">
      <t>ケッサン</t>
    </rPh>
    <rPh sb="5" eb="6">
      <t>ゾウ</t>
    </rPh>
    <rPh sb="6" eb="7">
      <t>ゲン</t>
    </rPh>
    <rPh sb="7" eb="8">
      <t>ガク</t>
    </rPh>
    <phoneticPr fontId="19"/>
  </si>
  <si>
    <t>-</t>
    <phoneticPr fontId="19"/>
  </si>
  <si>
    <t>歳入内訳の推移</t>
    <rPh sb="0" eb="2">
      <t>サイニュウ</t>
    </rPh>
    <rPh sb="2" eb="4">
      <t>ウチワケ</t>
    </rPh>
    <rPh sb="5" eb="7">
      <t>スイイ</t>
    </rPh>
    <phoneticPr fontId="19"/>
  </si>
  <si>
    <t>＜グラフ元ねた（百万単位）＞</t>
    <rPh sb="4" eb="5">
      <t>モト</t>
    </rPh>
    <rPh sb="8" eb="10">
      <t>ヒャクマン</t>
    </rPh>
    <rPh sb="10" eb="12">
      <t>タンイ</t>
    </rPh>
    <phoneticPr fontId="19"/>
  </si>
  <si>
    <t>9決算</t>
    <rPh sb="1" eb="3">
      <t>ケッサン</t>
    </rPh>
    <phoneticPr fontId="19"/>
  </si>
  <si>
    <t>11決算</t>
    <rPh sb="2" eb="4">
      <t>ケッサン</t>
    </rPh>
    <phoneticPr fontId="19"/>
  </si>
  <si>
    <t>13決算</t>
    <rPh sb="2" eb="4">
      <t>ケッサン</t>
    </rPh>
    <phoneticPr fontId="19"/>
  </si>
  <si>
    <t>15決算</t>
    <rPh sb="2" eb="4">
      <t>ケッサン</t>
    </rPh>
    <phoneticPr fontId="19"/>
  </si>
  <si>
    <t>18決算</t>
    <phoneticPr fontId="19"/>
  </si>
  <si>
    <t>地方税</t>
    <phoneticPr fontId="19"/>
  </si>
  <si>
    <t>地方交付税</t>
    <rPh sb="0" eb="1">
      <t>チ</t>
    </rPh>
    <rPh sb="1" eb="2">
      <t>ホウ</t>
    </rPh>
    <rPh sb="2" eb="5">
      <t>コウフゼイ</t>
    </rPh>
    <phoneticPr fontId="19"/>
  </si>
  <si>
    <t>譲与税・交付金</t>
    <rPh sb="0" eb="2">
      <t>ジョウヨ</t>
    </rPh>
    <rPh sb="2" eb="3">
      <t>ゼイ</t>
    </rPh>
    <rPh sb="4" eb="7">
      <t>コウフキン</t>
    </rPh>
    <phoneticPr fontId="19"/>
  </si>
  <si>
    <t>国庫支出金</t>
    <rPh sb="0" eb="2">
      <t>コッコ</t>
    </rPh>
    <rPh sb="2" eb="5">
      <t>シシュツキン</t>
    </rPh>
    <phoneticPr fontId="19"/>
  </si>
  <si>
    <t>一般債</t>
    <rPh sb="0" eb="2">
      <t>イッパン</t>
    </rPh>
    <rPh sb="2" eb="3">
      <t>サイ</t>
    </rPh>
    <phoneticPr fontId="19"/>
  </si>
  <si>
    <t>特別債</t>
    <rPh sb="0" eb="2">
      <t>トクベツ</t>
    </rPh>
    <rPh sb="2" eb="3">
      <t>サイ</t>
    </rPh>
    <phoneticPr fontId="19"/>
  </si>
  <si>
    <t>その他</t>
    <rPh sb="2" eb="3">
      <t>タ</t>
    </rPh>
    <phoneticPr fontId="19"/>
  </si>
  <si>
    <t>計</t>
    <rPh sb="0" eb="1">
      <t>ケイ</t>
    </rPh>
    <phoneticPr fontId="19"/>
  </si>
  <si>
    <t>（一般債＋特別債）</t>
    <rPh sb="1" eb="3">
      <t>イッパン</t>
    </rPh>
    <rPh sb="3" eb="4">
      <t>サイ</t>
    </rPh>
    <rPh sb="5" eb="7">
      <t>トクベツ</t>
    </rPh>
    <rPh sb="7" eb="8">
      <t>サイ</t>
    </rPh>
    <phoneticPr fontId="19"/>
  </si>
  <si>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19"/>
  </si>
  <si>
    <t>臨時財政対策債</t>
    <rPh sb="0" eb="2">
      <t>リンジ</t>
    </rPh>
    <rPh sb="2" eb="4">
      <t>ザイセイ</t>
    </rPh>
    <rPh sb="4" eb="6">
      <t>タイサク</t>
    </rPh>
    <rPh sb="6" eb="7">
      <t>サイ</t>
    </rPh>
    <phoneticPr fontId="19"/>
  </si>
  <si>
    <t>＜構成比（単純計算）＞</t>
    <rPh sb="1" eb="4">
      <t>コウセイヒ</t>
    </rPh>
    <rPh sb="5" eb="7">
      <t>タンジュン</t>
    </rPh>
    <rPh sb="7" eb="9">
      <t>ケイサン</t>
    </rPh>
    <phoneticPr fontId="19"/>
  </si>
  <si>
    <t>＜構成比（検収調書に合わせる）＞</t>
    <rPh sb="1" eb="4">
      <t>コウセイヒ</t>
    </rPh>
    <rPh sb="5" eb="7">
      <t>ケンシュウ</t>
    </rPh>
    <rPh sb="7" eb="9">
      <t>チョウショ</t>
    </rPh>
    <rPh sb="10" eb="11">
      <t>ア</t>
    </rPh>
    <phoneticPr fontId="19"/>
  </si>
  <si>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19"/>
  </si>
  <si>
    <t>歳出の性質別内訳の推移</t>
    <rPh sb="0" eb="2">
      <t>サイシュツ</t>
    </rPh>
    <rPh sb="3" eb="5">
      <t>セイシツ</t>
    </rPh>
    <rPh sb="5" eb="6">
      <t>ベツ</t>
    </rPh>
    <rPh sb="6" eb="8">
      <t>ウチワケ</t>
    </rPh>
    <rPh sb="9" eb="11">
      <t>スイイ</t>
    </rPh>
    <phoneticPr fontId="19"/>
  </si>
  <si>
    <t>投資的経費</t>
    <rPh sb="0" eb="3">
      <t>トウシテキ</t>
    </rPh>
    <rPh sb="3" eb="5">
      <t>ケイヒ</t>
    </rPh>
    <phoneticPr fontId="19"/>
  </si>
  <si>
    <t>公債費</t>
    <rPh sb="0" eb="2">
      <t>コウサイ</t>
    </rPh>
    <rPh sb="2" eb="3">
      <t>ヒ</t>
    </rPh>
    <phoneticPr fontId="19"/>
  </si>
  <si>
    <t>扶助費</t>
    <rPh sb="0" eb="3">
      <t>フジョヒ</t>
    </rPh>
    <phoneticPr fontId="19"/>
  </si>
  <si>
    <t>人件費</t>
    <rPh sb="0" eb="3">
      <t>ジンケンヒ</t>
    </rPh>
    <phoneticPr fontId="19"/>
  </si>
  <si>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19"/>
  </si>
  <si>
    <t>合計（義務的経費）</t>
    <rPh sb="0" eb="2">
      <t>ゴウケイ</t>
    </rPh>
    <rPh sb="3" eb="6">
      <t>ギムテキ</t>
    </rPh>
    <rPh sb="6" eb="8">
      <t>ケイヒ</t>
    </rPh>
    <phoneticPr fontId="19"/>
  </si>
  <si>
    <t>うち
生活保護費</t>
    <rPh sb="3" eb="5">
      <t>セイカツ</t>
    </rPh>
    <rPh sb="5" eb="7">
      <t>ホゴ</t>
    </rPh>
    <rPh sb="7" eb="8">
      <t>ヒ</t>
    </rPh>
    <phoneticPr fontId="9"/>
  </si>
  <si>
    <t xml:space="preserve"> 　19年度</t>
    <rPh sb="4" eb="6">
      <t>ネンド</t>
    </rPh>
    <phoneticPr fontId="9"/>
  </si>
  <si>
    <t>Ｈ１９年度</t>
    <rPh sb="3" eb="5">
      <t>ネンド</t>
    </rPh>
    <phoneticPr fontId="9"/>
  </si>
  <si>
    <t>19決算</t>
    <rPh sb="2" eb="4">
      <t>ケッサン</t>
    </rPh>
    <phoneticPr fontId="19"/>
  </si>
  <si>
    <t>Ｈ９年度</t>
    <rPh sb="2" eb="4">
      <t>ネンド</t>
    </rPh>
    <phoneticPr fontId="9"/>
  </si>
  <si>
    <t>Ｈ１１年度</t>
    <rPh sb="3" eb="5">
      <t>ネンド</t>
    </rPh>
    <phoneticPr fontId="9"/>
  </si>
  <si>
    <t>Ｈ１３年度</t>
    <rPh sb="3" eb="5">
      <t>ネンド</t>
    </rPh>
    <phoneticPr fontId="9"/>
  </si>
  <si>
    <t>Ｈ１５年度</t>
    <rPh sb="3" eb="5">
      <t>ネンド</t>
    </rPh>
    <phoneticPr fontId="9"/>
  </si>
  <si>
    <t>経常収支比率　＝</t>
    <rPh sb="0" eb="2">
      <t>ケイジョウ</t>
    </rPh>
    <rPh sb="2" eb="4">
      <t>シュウシ</t>
    </rPh>
    <rPh sb="4" eb="6">
      <t>ヒリツ</t>
    </rPh>
    <phoneticPr fontId="9"/>
  </si>
  <si>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9"/>
  </si>
  <si>
    <t>経常一般財源（地方税＋普通交付税等）＋臨時財政対策債＋減収補てん債（特例分）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0">
      <t>ホ</t>
    </rPh>
    <rPh sb="32" eb="33">
      <t>サイ</t>
    </rPh>
    <rPh sb="34" eb="36">
      <t>トクレイ</t>
    </rPh>
    <rPh sb="36" eb="37">
      <t>ブン</t>
    </rPh>
    <phoneticPr fontId="9"/>
  </si>
  <si>
    <t>・形式収支とは</t>
    <rPh sb="1" eb="3">
      <t>ケイシキ</t>
    </rPh>
    <rPh sb="3" eb="5">
      <t>シュウシ</t>
    </rPh>
    <phoneticPr fontId="9"/>
  </si>
  <si>
    <t>・実質収支とは</t>
    <rPh sb="1" eb="3">
      <t>ジッシツ</t>
    </rPh>
    <rPh sb="3" eb="5">
      <t>シュウシ</t>
    </rPh>
    <phoneticPr fontId="9"/>
  </si>
  <si>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9"/>
  </si>
  <si>
    <t xml:space="preserve"> 　　　　区  分
　年　度</t>
    <rPh sb="13" eb="14">
      <t>トシ</t>
    </rPh>
    <rPh sb="15" eb="16">
      <t>ド</t>
    </rPh>
    <phoneticPr fontId="9"/>
  </si>
  <si>
    <t>経常</t>
    <phoneticPr fontId="9"/>
  </si>
  <si>
    <t>収支比率</t>
    <rPh sb="0" eb="2">
      <t>シュウシ</t>
    </rPh>
    <phoneticPr fontId="9"/>
  </si>
  <si>
    <t>歳入歳出</t>
    <phoneticPr fontId="9"/>
  </si>
  <si>
    <t>差引形式</t>
    <phoneticPr fontId="9"/>
  </si>
  <si>
    <t xml:space="preserve"> 　20年度</t>
    <rPh sb="4" eb="6">
      <t>ネンド</t>
    </rPh>
    <phoneticPr fontId="9"/>
  </si>
  <si>
    <t>Ｈ２０年度</t>
    <rPh sb="3" eb="5">
      <t>ネンド</t>
    </rPh>
    <phoneticPr fontId="9"/>
  </si>
  <si>
    <t>20決算</t>
    <rPh sb="2" eb="4">
      <t>ケッサン</t>
    </rPh>
    <phoneticPr fontId="19"/>
  </si>
  <si>
    <t>20決算</t>
    <phoneticPr fontId="19"/>
  </si>
  <si>
    <t xml:space="preserve"> 　21年度</t>
    <rPh sb="4" eb="6">
      <t>ネンド</t>
    </rPh>
    <phoneticPr fontId="9"/>
  </si>
  <si>
    <t>Ｈ２１年度</t>
    <rPh sb="3" eb="5">
      <t>ネンド</t>
    </rPh>
    <phoneticPr fontId="9"/>
  </si>
  <si>
    <t>21決算</t>
    <phoneticPr fontId="19"/>
  </si>
  <si>
    <t>21決算</t>
  </si>
  <si>
    <t>21決算</t>
    <rPh sb="2" eb="4">
      <t>ケッサン</t>
    </rPh>
    <phoneticPr fontId="19"/>
  </si>
  <si>
    <t>Ｈ２２年度</t>
    <rPh sb="3" eb="5">
      <t>ネンド</t>
    </rPh>
    <phoneticPr fontId="9"/>
  </si>
  <si>
    <t xml:space="preserve"> 　22年度</t>
    <rPh sb="4" eb="6">
      <t>ネンド</t>
    </rPh>
    <phoneticPr fontId="9"/>
  </si>
  <si>
    <t>増減額</t>
    <rPh sb="0" eb="3">
      <t>ゾウゲンガク</t>
    </rPh>
    <phoneticPr fontId="9"/>
  </si>
  <si>
    <t>22決算</t>
    <rPh sb="2" eb="4">
      <t>ケッサン</t>
    </rPh>
    <phoneticPr fontId="19"/>
  </si>
  <si>
    <t>22決算</t>
  </si>
  <si>
    <t>＜グラフラベルネタ（億円単位）＞</t>
    <rPh sb="10" eb="11">
      <t>オク</t>
    </rPh>
    <rPh sb="11" eb="12">
      <t>エン</t>
    </rPh>
    <rPh sb="12" eb="14">
      <t>タンイ</t>
    </rPh>
    <phoneticPr fontId="19"/>
  </si>
  <si>
    <t>＜グラフラベルネタ（億円単位）＞</t>
    <rPh sb="10" eb="12">
      <t>オクエン</t>
    </rPh>
    <rPh sb="12" eb="14">
      <t>タンイ</t>
    </rPh>
    <phoneticPr fontId="19"/>
  </si>
  <si>
    <t>↑カメラ</t>
    <phoneticPr fontId="19"/>
  </si>
  <si>
    <t>地方債</t>
    <rPh sb="0" eb="3">
      <t>チホウサイ</t>
    </rPh>
    <phoneticPr fontId="19"/>
  </si>
  <si>
    <t>うち一般債</t>
    <rPh sb="2" eb="4">
      <t>イッパン</t>
    </rPh>
    <rPh sb="4" eb="5">
      <t>サイ</t>
    </rPh>
    <phoneticPr fontId="19"/>
  </si>
  <si>
    <t>うち特別債</t>
    <rPh sb="2" eb="4">
      <t>トクベツ</t>
    </rPh>
    <rPh sb="4" eb="5">
      <t>サイ</t>
    </rPh>
    <phoneticPr fontId="19"/>
  </si>
  <si>
    <t>増減額</t>
    <rPh sb="0" eb="2">
      <t>ゾウゲン</t>
    </rPh>
    <rPh sb="2" eb="3">
      <t>ガク</t>
    </rPh>
    <phoneticPr fontId="9"/>
  </si>
  <si>
    <t>普通会計決算見込について</t>
    <rPh sb="0" eb="1">
      <t>ススム</t>
    </rPh>
    <rPh sb="1" eb="2">
      <t>ツウ</t>
    </rPh>
    <rPh sb="2" eb="3">
      <t>カイ</t>
    </rPh>
    <rPh sb="3" eb="4">
      <t>ケイ</t>
    </rPh>
    <rPh sb="4" eb="5">
      <t>ケツ</t>
    </rPh>
    <rPh sb="5" eb="6">
      <t>ザン</t>
    </rPh>
    <rPh sb="6" eb="7">
      <t>ミ</t>
    </rPh>
    <rPh sb="7" eb="8">
      <t>コミ</t>
    </rPh>
    <phoneticPr fontId="19"/>
  </si>
  <si>
    <t>大　　阪　　市</t>
    <rPh sb="0" eb="1">
      <t>ダイ</t>
    </rPh>
    <rPh sb="3" eb="4">
      <t>サカ</t>
    </rPh>
    <rPh sb="6" eb="7">
      <t>シ</t>
    </rPh>
    <phoneticPr fontId="19"/>
  </si>
  <si>
    <t>【特徴】</t>
    <rPh sb="1" eb="3">
      <t>トクチョウ</t>
    </rPh>
    <phoneticPr fontId="19"/>
  </si>
  <si>
    <t>実質収支</t>
    <rPh sb="0" eb="2">
      <t>ジッシツ</t>
    </rPh>
    <rPh sb="2" eb="4">
      <t>シュウシ</t>
    </rPh>
    <phoneticPr fontId="19"/>
  </si>
  <si>
    <t>1　歳出</t>
    <rPh sb="2" eb="4">
      <t>サイシュツ</t>
    </rPh>
    <phoneticPr fontId="19"/>
  </si>
  <si>
    <t>　○義務的経費（人件費・扶助費・公債費）</t>
    <rPh sb="2" eb="5">
      <t>ギムテキ</t>
    </rPh>
    <rPh sb="5" eb="7">
      <t>ケイヒ</t>
    </rPh>
    <rPh sb="8" eb="11">
      <t>ジンケンヒ</t>
    </rPh>
    <rPh sb="12" eb="15">
      <t>フジョヒ</t>
    </rPh>
    <rPh sb="16" eb="19">
      <t>コウサイヒ</t>
    </rPh>
    <phoneticPr fontId="19"/>
  </si>
  <si>
    <t>　○投資的経費</t>
    <rPh sb="2" eb="5">
      <t>トウシテキ</t>
    </rPh>
    <rPh sb="5" eb="7">
      <t>ケイヒ</t>
    </rPh>
    <phoneticPr fontId="19"/>
  </si>
  <si>
    <t>　○その他経費</t>
    <rPh sb="4" eb="5">
      <t>タ</t>
    </rPh>
    <rPh sb="5" eb="7">
      <t>ケイヒ</t>
    </rPh>
    <phoneticPr fontId="19"/>
  </si>
  <si>
    <t>2　歳入</t>
    <rPh sb="2" eb="4">
      <t>サイニュウ</t>
    </rPh>
    <phoneticPr fontId="19"/>
  </si>
  <si>
    <t>　○地方税</t>
    <rPh sb="2" eb="5">
      <t>チホウゼイ</t>
    </rPh>
    <phoneticPr fontId="19"/>
  </si>
  <si>
    <t>　○地方交付税</t>
    <rPh sb="2" eb="4">
      <t>チホウ</t>
    </rPh>
    <rPh sb="4" eb="7">
      <t>コウフゼイ</t>
    </rPh>
    <phoneticPr fontId="19"/>
  </si>
  <si>
    <t>　○国庫支出金</t>
    <rPh sb="2" eb="4">
      <t>コッコ</t>
    </rPh>
    <rPh sb="4" eb="7">
      <t>シシュツキン</t>
    </rPh>
    <phoneticPr fontId="19"/>
  </si>
  <si>
    <t>　○地方債</t>
    <rPh sb="2" eb="5">
      <t>チホウサイ</t>
    </rPh>
    <phoneticPr fontId="19"/>
  </si>
  <si>
    <t>　○その他</t>
    <rPh sb="4" eb="5">
      <t>タ</t>
    </rPh>
    <phoneticPr fontId="19"/>
  </si>
  <si>
    <t>3　実質収支</t>
    <rPh sb="2" eb="4">
      <t>ジッシツ</t>
    </rPh>
    <rPh sb="4" eb="6">
      <t>シュウシ</t>
    </rPh>
    <phoneticPr fontId="19"/>
  </si>
  <si>
    <t>＜決算規模及び実質収支の推移＞</t>
    <rPh sb="1" eb="3">
      <t>ケッサン</t>
    </rPh>
    <rPh sb="3" eb="5">
      <t>キボ</t>
    </rPh>
    <rPh sb="5" eb="6">
      <t>オヨ</t>
    </rPh>
    <rPh sb="7" eb="9">
      <t>ジッシツ</t>
    </rPh>
    <rPh sb="9" eb="11">
      <t>シュウシ</t>
    </rPh>
    <rPh sb="12" eb="14">
      <t>スイイ</t>
    </rPh>
    <phoneticPr fontId="19"/>
  </si>
  <si>
    <t>（単位：百万円)</t>
    <rPh sb="1" eb="3">
      <t>タンイ</t>
    </rPh>
    <rPh sb="4" eb="7">
      <t>ヒャクマンエン</t>
    </rPh>
    <phoneticPr fontId="19"/>
  </si>
  <si>
    <t>歳入額</t>
    <rPh sb="0" eb="3">
      <t>サイニュウガク</t>
    </rPh>
    <phoneticPr fontId="19"/>
  </si>
  <si>
    <t>歳出額</t>
    <rPh sb="0" eb="2">
      <t>サイシュツ</t>
    </rPh>
    <rPh sb="2" eb="3">
      <t>ガク</t>
    </rPh>
    <phoneticPr fontId="19"/>
  </si>
  <si>
    <t>形式収支</t>
    <rPh sb="0" eb="2">
      <t>ケイシキ</t>
    </rPh>
    <rPh sb="2" eb="4">
      <t>シュウシ</t>
    </rPh>
    <phoneticPr fontId="19"/>
  </si>
  <si>
    <t>翌年度へ繰越
すべき財源</t>
    <rPh sb="0" eb="3">
      <t>ヨクネンド</t>
    </rPh>
    <rPh sb="4" eb="6">
      <t>クリコ</t>
    </rPh>
    <rPh sb="10" eb="12">
      <t>ザイゲン</t>
    </rPh>
    <phoneticPr fontId="19"/>
  </si>
  <si>
    <t>20年度</t>
    <rPh sb="2" eb="4">
      <t>ネンド</t>
    </rPh>
    <phoneticPr fontId="19"/>
  </si>
  <si>
    <t>比較</t>
    <rPh sb="0" eb="2">
      <t>ヒカク</t>
    </rPh>
    <phoneticPr fontId="19"/>
  </si>
  <si>
    <r>
      <t>2</t>
    </r>
    <r>
      <rPr>
        <sz val="11"/>
        <rFont val="ＭＳ Ｐゴシック"/>
        <family val="3"/>
        <charset val="128"/>
      </rPr>
      <t>3</t>
    </r>
    <r>
      <rPr>
        <sz val="11"/>
        <rFont val="ＭＳ Ｐゴシック"/>
        <family val="3"/>
        <charset val="128"/>
      </rPr>
      <t>決算</t>
    </r>
    <phoneticPr fontId="19"/>
  </si>
  <si>
    <r>
      <t>2</t>
    </r>
    <r>
      <rPr>
        <sz val="11"/>
        <rFont val="ＭＳ Ｐゴシック"/>
        <family val="3"/>
        <charset val="128"/>
      </rPr>
      <t>3</t>
    </r>
    <r>
      <rPr>
        <sz val="11"/>
        <rFont val="ＭＳ Ｐゴシック"/>
        <family val="3"/>
        <charset val="128"/>
      </rPr>
      <t>決算</t>
    </r>
    <rPh sb="2" eb="4">
      <t>ケッサン</t>
    </rPh>
    <phoneticPr fontId="19"/>
  </si>
  <si>
    <t>Ｈ２３年度</t>
    <rPh sb="3" eb="5">
      <t>ネンド</t>
    </rPh>
    <phoneticPr fontId="9"/>
  </si>
  <si>
    <t>地方交付税
・臨時財政対策債</t>
    <rPh sb="0" eb="2">
      <t>チホウ</t>
    </rPh>
    <rPh sb="2" eb="5">
      <t>コウフゼイ</t>
    </rPh>
    <rPh sb="7" eb="9">
      <t>リンジ</t>
    </rPh>
    <rPh sb="9" eb="11">
      <t>ザイセイ</t>
    </rPh>
    <rPh sb="11" eb="13">
      <t>タイサク</t>
    </rPh>
    <rPh sb="13" eb="14">
      <t>サイ</t>
    </rPh>
    <phoneticPr fontId="19"/>
  </si>
  <si>
    <t xml:space="preserve"> 　23年度</t>
    <rPh sb="4" eb="6">
      <t>ネンド</t>
    </rPh>
    <phoneticPr fontId="9"/>
  </si>
  <si>
    <t>5　地方債残高</t>
    <rPh sb="2" eb="5">
      <t>チホウサイ</t>
    </rPh>
    <rPh sb="5" eb="7">
      <t>ザンダカ</t>
    </rPh>
    <phoneticPr fontId="19"/>
  </si>
  <si>
    <t>残高</t>
    <rPh sb="0" eb="2">
      <t>ザンダカ</t>
    </rPh>
    <phoneticPr fontId="9"/>
  </si>
  <si>
    <t>　○譲与税・交付金</t>
    <rPh sb="2" eb="4">
      <t>ジョウヨ</t>
    </rPh>
    <rPh sb="4" eb="5">
      <t>ゼイ</t>
    </rPh>
    <rPh sb="6" eb="9">
      <t>コウフキン</t>
    </rPh>
    <phoneticPr fontId="19"/>
  </si>
  <si>
    <t>（全会計ベース）</t>
    <rPh sb="1" eb="2">
      <t>ゼン</t>
    </rPh>
    <rPh sb="2" eb="4">
      <t>カイケイ</t>
    </rPh>
    <phoneticPr fontId="9"/>
  </si>
  <si>
    <r>
      <t>24</t>
    </r>
    <r>
      <rPr>
        <sz val="11"/>
        <rFont val="ＭＳ Ｐゴシック"/>
        <family val="3"/>
        <charset val="128"/>
      </rPr>
      <t>決算</t>
    </r>
    <phoneticPr fontId="19"/>
  </si>
  <si>
    <r>
      <t>24</t>
    </r>
    <r>
      <rPr>
        <sz val="11"/>
        <rFont val="ＭＳ Ｐゴシック"/>
        <family val="3"/>
        <charset val="128"/>
      </rPr>
      <t>決算</t>
    </r>
    <rPh sb="2" eb="4">
      <t>ケッサン</t>
    </rPh>
    <phoneticPr fontId="19"/>
  </si>
  <si>
    <t xml:space="preserve"> 　24年度</t>
    <rPh sb="4" eb="6">
      <t>ネンド</t>
    </rPh>
    <phoneticPr fontId="9"/>
  </si>
  <si>
    <t>(△</t>
    <phoneticPr fontId="9"/>
  </si>
  <si>
    <t>4.2)</t>
    <phoneticPr fontId="9"/>
  </si>
  <si>
    <t>Ｈ２４年度</t>
    <rPh sb="3" eb="5">
      <t>ネンド</t>
    </rPh>
    <phoneticPr fontId="9"/>
  </si>
  <si>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9"/>
  </si>
  <si>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9"/>
  </si>
  <si>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9"/>
  </si>
  <si>
    <t>を中心とする毎年経常的に収入される一般財源（経常一般財源）、臨時財政対策債及び減収補て</t>
    <rPh sb="1" eb="3">
      <t>チュウシン</t>
    </rPh>
    <rPh sb="6" eb="8">
      <t>マイトシ</t>
    </rPh>
    <rPh sb="8" eb="10">
      <t>ケイジョウ</t>
    </rPh>
    <rPh sb="10" eb="11">
      <t>テキ</t>
    </rPh>
    <rPh sb="12" eb="14">
      <t>シュウニュウ</t>
    </rPh>
    <phoneticPr fontId="9"/>
  </si>
  <si>
    <t>ん債(特例分)の合計額に占める割合。</t>
    <rPh sb="1" eb="2">
      <t>サイ</t>
    </rPh>
    <rPh sb="3" eb="5">
      <t>トクレイ</t>
    </rPh>
    <rPh sb="5" eb="6">
      <t>ブン</t>
    </rPh>
    <phoneticPr fontId="9"/>
  </si>
  <si>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9"/>
  </si>
  <si>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9"/>
  </si>
  <si>
    <t>わらない見込みのものを、予算の定めるところにより翌年度に繰り越すこと。）等の財源を控除</t>
    <rPh sb="4" eb="6">
      <t>ミコ</t>
    </rPh>
    <rPh sb="12" eb="14">
      <t>ヨサン</t>
    </rPh>
    <rPh sb="15" eb="16">
      <t>サダ</t>
    </rPh>
    <phoneticPr fontId="9"/>
  </si>
  <si>
    <t>した額。</t>
    <phoneticPr fontId="9"/>
  </si>
  <si>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9"/>
  </si>
  <si>
    <t>うち
障がい者自立支援給付費</t>
    <rPh sb="3" eb="4">
      <t>ショウ</t>
    </rPh>
    <rPh sb="6" eb="7">
      <t>シャ</t>
    </rPh>
    <rPh sb="7" eb="9">
      <t>ジリツ</t>
    </rPh>
    <rPh sb="9" eb="11">
      <t>シエン</t>
    </rPh>
    <rPh sb="11" eb="13">
      <t>キュウフ</t>
    </rPh>
    <rPh sb="13" eb="14">
      <t>ヒ</t>
    </rPh>
    <phoneticPr fontId="9"/>
  </si>
  <si>
    <t>24年度の上段（　　）は、財政調整基金への移替額（118,616百万円）を除いた実質的な決算額</t>
    <rPh sb="2" eb="4">
      <t>ネンド</t>
    </rPh>
    <rPh sb="5" eb="7">
      <t>ジョウダン</t>
    </rPh>
    <rPh sb="13" eb="15">
      <t>ザイセイ</t>
    </rPh>
    <rPh sb="15" eb="17">
      <t>チョウセイ</t>
    </rPh>
    <rPh sb="17" eb="19">
      <t>キキン</t>
    </rPh>
    <rPh sb="21" eb="22">
      <t>ワタル</t>
    </rPh>
    <rPh sb="22" eb="23">
      <t>カワ</t>
    </rPh>
    <rPh sb="23" eb="24">
      <t>ガク</t>
    </rPh>
    <rPh sb="32" eb="34">
      <t>ヒャクマン</t>
    </rPh>
    <rPh sb="34" eb="35">
      <t>エン</t>
    </rPh>
    <rPh sb="37" eb="38">
      <t>ノゾ</t>
    </rPh>
    <rPh sb="40" eb="43">
      <t>ジッシツテキ</t>
    </rPh>
    <rPh sb="44" eb="46">
      <t>ケッサン</t>
    </rPh>
    <rPh sb="46" eb="47">
      <t>ガク</t>
    </rPh>
    <phoneticPr fontId="9"/>
  </si>
  <si>
    <t xml:space="preserve"> 　25年度</t>
    <rPh sb="4" eb="6">
      <t>ネンド</t>
    </rPh>
    <phoneticPr fontId="9"/>
  </si>
  <si>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9"/>
  </si>
  <si>
    <t>＝　一般会計　＋</t>
    <rPh sb="2" eb="4">
      <t>イッパン</t>
    </rPh>
    <rPh sb="4" eb="6">
      <t>カイケイ</t>
    </rPh>
    <phoneticPr fontId="9"/>
  </si>
  <si>
    <t>　　心身障害者扶養共済事業会計</t>
    <rPh sb="2" eb="4">
      <t>シンシン</t>
    </rPh>
    <rPh sb="4" eb="7">
      <t>ショウガイシャ</t>
    </rPh>
    <rPh sb="7" eb="9">
      <t>フヨウ</t>
    </rPh>
    <rPh sb="9" eb="11">
      <t>キョウサイ</t>
    </rPh>
    <rPh sb="11" eb="13">
      <t>ジギョウ</t>
    </rPh>
    <rPh sb="13" eb="15">
      <t>カイケイ</t>
    </rPh>
    <phoneticPr fontId="9"/>
  </si>
  <si>
    <r>
      <t>25決算</t>
    </r>
    <r>
      <rPr>
        <sz val="11"/>
        <rFont val="ＭＳ Ｐゴシック"/>
        <family val="3"/>
        <charset val="128"/>
      </rPr>
      <t/>
    </r>
  </si>
  <si>
    <r>
      <t>2</t>
    </r>
    <r>
      <rPr>
        <sz val="11"/>
        <rFont val="ＭＳ Ｐゴシック"/>
        <family val="3"/>
        <charset val="128"/>
      </rPr>
      <t>5決算</t>
    </r>
    <rPh sb="2" eb="4">
      <t>ケッサン</t>
    </rPh>
    <phoneticPr fontId="19"/>
  </si>
  <si>
    <t>19決算</t>
    <phoneticPr fontId="19"/>
  </si>
  <si>
    <t>25決算</t>
    <rPh sb="2" eb="4">
      <t>ケッサン</t>
    </rPh>
    <phoneticPr fontId="19"/>
  </si>
  <si>
    <t>Ｈ２５年度</t>
    <rPh sb="3" eb="5">
      <t>ネンド</t>
    </rPh>
    <phoneticPr fontId="9"/>
  </si>
  <si>
    <t>うち
臨時財政対策債</t>
    <rPh sb="3" eb="5">
      <t>リンジ</t>
    </rPh>
    <rPh sb="5" eb="7">
      <t>ザイセイ</t>
    </rPh>
    <rPh sb="7" eb="9">
      <t>タイサク</t>
    </rPh>
    <rPh sb="9" eb="10">
      <t>サイ</t>
    </rPh>
    <phoneticPr fontId="9"/>
  </si>
  <si>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9"/>
  </si>
  <si>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9"/>
  </si>
  <si>
    <r>
      <t>26</t>
    </r>
    <r>
      <rPr>
        <sz val="11"/>
        <rFont val="ＭＳ Ｐゴシック"/>
        <family val="3"/>
        <charset val="128"/>
      </rPr>
      <t>決算</t>
    </r>
    <rPh sb="2" eb="4">
      <t>ケッサン</t>
    </rPh>
    <phoneticPr fontId="19"/>
  </si>
  <si>
    <t>26決算</t>
    <rPh sb="2" eb="4">
      <t>ケッサン</t>
    </rPh>
    <phoneticPr fontId="19"/>
  </si>
  <si>
    <t xml:space="preserve"> 　26年度</t>
    <rPh sb="4" eb="6">
      <t>ネンド</t>
    </rPh>
    <phoneticPr fontId="9"/>
  </si>
  <si>
    <t>Ｈ２６年度</t>
    <rPh sb="3" eb="5">
      <t>ネンド</t>
    </rPh>
    <phoneticPr fontId="9"/>
  </si>
  <si>
    <t>　　母子父子寡婦福祉貸付資金会計</t>
    <rPh sb="2" eb="4">
      <t>ボシ</t>
    </rPh>
    <rPh sb="4" eb="6">
      <t>フシ</t>
    </rPh>
    <rPh sb="6" eb="8">
      <t>カフ</t>
    </rPh>
    <rPh sb="8" eb="10">
      <t>フクシ</t>
    </rPh>
    <rPh sb="10" eb="12">
      <t>カシツケ</t>
    </rPh>
    <rPh sb="12" eb="14">
      <t>シキン</t>
    </rPh>
    <rPh sb="14" eb="16">
      <t>カイケイ</t>
    </rPh>
    <phoneticPr fontId="9"/>
  </si>
  <si>
    <t>（単位：百万円・％）</t>
    <phoneticPr fontId="9"/>
  </si>
  <si>
    <t>うち
繰入金</t>
    <rPh sb="3" eb="5">
      <t>クリイレ</t>
    </rPh>
    <rPh sb="5" eb="6">
      <t>キン</t>
    </rPh>
    <phoneticPr fontId="9"/>
  </si>
  <si>
    <r>
      <t>2</t>
    </r>
    <r>
      <rPr>
        <sz val="11"/>
        <rFont val="ＭＳ Ｐゴシック"/>
        <family val="3"/>
        <charset val="128"/>
      </rPr>
      <t>7決算</t>
    </r>
    <phoneticPr fontId="9"/>
  </si>
  <si>
    <t>27決算</t>
    <rPh sb="2" eb="4">
      <t>ケッサン</t>
    </rPh>
    <phoneticPr fontId="19"/>
  </si>
  <si>
    <r>
      <t>27</t>
    </r>
    <r>
      <rPr>
        <sz val="11"/>
        <rFont val="ＭＳ Ｐゴシック"/>
        <family val="3"/>
        <charset val="128"/>
      </rPr>
      <t>決算</t>
    </r>
    <rPh sb="2" eb="4">
      <t>ケッサン</t>
    </rPh>
    <phoneticPr fontId="19"/>
  </si>
  <si>
    <r>
      <t>2</t>
    </r>
    <r>
      <rPr>
        <sz val="11"/>
        <rFont val="ＭＳ Ｐゴシック"/>
        <family val="3"/>
        <charset val="128"/>
      </rPr>
      <t>7</t>
    </r>
    <r>
      <rPr>
        <sz val="11"/>
        <rFont val="ＭＳ Ｐゴシック"/>
        <family val="3"/>
        <charset val="128"/>
      </rPr>
      <t>決算</t>
    </r>
    <rPh sb="2" eb="4">
      <t>ケッサン</t>
    </rPh>
    <phoneticPr fontId="19"/>
  </si>
  <si>
    <t>Ｈ２７年度</t>
    <rPh sb="3" eb="5">
      <t>ネンド</t>
    </rPh>
    <phoneticPr fontId="9"/>
  </si>
  <si>
    <t xml:space="preserve"> 　27年度</t>
    <rPh sb="4" eb="6">
      <t>ネンド</t>
    </rPh>
    <phoneticPr fontId="9"/>
  </si>
  <si>
    <t>（参　考）</t>
    <rPh sb="1" eb="2">
      <t>サン</t>
    </rPh>
    <rPh sb="3" eb="4">
      <t>コウ</t>
    </rPh>
    <phoneticPr fontId="9"/>
  </si>
  <si>
    <t>（単位：百万円・％）</t>
    <rPh sb="1" eb="3">
      <t>タンイ</t>
    </rPh>
    <rPh sb="4" eb="7">
      <t>ヒャクマンエン</t>
    </rPh>
    <phoneticPr fontId="19"/>
  </si>
  <si>
    <t>区分</t>
    <rPh sb="0" eb="2">
      <t>クブン</t>
    </rPh>
    <phoneticPr fontId="19"/>
  </si>
  <si>
    <t>差引増△減</t>
    <rPh sb="0" eb="2">
      <t>サシヒキ</t>
    </rPh>
    <rPh sb="2" eb="3">
      <t>ゾウ</t>
    </rPh>
    <rPh sb="4" eb="5">
      <t>ゲン</t>
    </rPh>
    <phoneticPr fontId="19"/>
  </si>
  <si>
    <t>伸び率</t>
    <rPh sb="0" eb="1">
      <t>ノ</t>
    </rPh>
    <rPh sb="2" eb="3">
      <t>リツ</t>
    </rPh>
    <phoneticPr fontId="19"/>
  </si>
  <si>
    <t>市税総計</t>
    <rPh sb="0" eb="2">
      <t>シゼイ</t>
    </rPh>
    <rPh sb="2" eb="4">
      <t>ソウケイ</t>
    </rPh>
    <phoneticPr fontId="19"/>
  </si>
  <si>
    <t>市民税</t>
    <rPh sb="0" eb="3">
      <t>シミンゼイ</t>
    </rPh>
    <phoneticPr fontId="19"/>
  </si>
  <si>
    <t>個人市民税</t>
    <rPh sb="0" eb="2">
      <t>コジン</t>
    </rPh>
    <rPh sb="2" eb="5">
      <t>シミンゼイ</t>
    </rPh>
    <phoneticPr fontId="19"/>
  </si>
  <si>
    <t>法人市民税</t>
    <rPh sb="0" eb="2">
      <t>ホウジン</t>
    </rPh>
    <rPh sb="2" eb="5">
      <t>シミンゼイ</t>
    </rPh>
    <phoneticPr fontId="19"/>
  </si>
  <si>
    <t>固定資産税</t>
    <rPh sb="0" eb="5">
      <t>コ</t>
    </rPh>
    <phoneticPr fontId="19"/>
  </si>
  <si>
    <t>土地</t>
    <rPh sb="0" eb="2">
      <t>トチ</t>
    </rPh>
    <phoneticPr fontId="19"/>
  </si>
  <si>
    <t>家屋</t>
    <rPh sb="0" eb="2">
      <t>カオク</t>
    </rPh>
    <phoneticPr fontId="19"/>
  </si>
  <si>
    <t>償却資産</t>
    <rPh sb="0" eb="2">
      <t>ショウキャク</t>
    </rPh>
    <rPh sb="2" eb="4">
      <t>シサン</t>
    </rPh>
    <phoneticPr fontId="19"/>
  </si>
  <si>
    <t>交付金</t>
    <rPh sb="0" eb="3">
      <t>コウフキン</t>
    </rPh>
    <phoneticPr fontId="19"/>
  </si>
  <si>
    <t>都市計画税</t>
    <rPh sb="0" eb="5">
      <t>ト</t>
    </rPh>
    <phoneticPr fontId="19"/>
  </si>
  <si>
    <t>軽自動車税</t>
    <rPh sb="0" eb="5">
      <t>ケ</t>
    </rPh>
    <phoneticPr fontId="19"/>
  </si>
  <si>
    <t>市たばこ税</t>
    <rPh sb="0" eb="5">
      <t>シ</t>
    </rPh>
    <phoneticPr fontId="19"/>
  </si>
  <si>
    <t>事業所税</t>
    <rPh sb="0" eb="4">
      <t>ジ</t>
    </rPh>
    <phoneticPr fontId="19"/>
  </si>
  <si>
    <t>＜主な税目の増△減＞</t>
    <rPh sb="1" eb="2">
      <t>オモ</t>
    </rPh>
    <rPh sb="3" eb="5">
      <t>ゼイモク</t>
    </rPh>
    <rPh sb="6" eb="7">
      <t>ゾウ</t>
    </rPh>
    <rPh sb="8" eb="9">
      <t>ゲン</t>
    </rPh>
    <phoneticPr fontId="19"/>
  </si>
  <si>
    <t>個人市民税</t>
    <rPh sb="0" eb="5">
      <t>コ</t>
    </rPh>
    <phoneticPr fontId="19"/>
  </si>
  <si>
    <t>法人市民税</t>
    <rPh sb="0" eb="5">
      <t>ホ</t>
    </rPh>
    <phoneticPr fontId="19"/>
  </si>
  <si>
    <t>＜収納率＞</t>
    <rPh sb="1" eb="3">
      <t>シュウノウ</t>
    </rPh>
    <rPh sb="3" eb="4">
      <t>リツ</t>
    </rPh>
    <phoneticPr fontId="19"/>
  </si>
  <si>
    <t>（参考）市税収入の推移</t>
    <rPh sb="1" eb="3">
      <t>サンコウ</t>
    </rPh>
    <rPh sb="4" eb="6">
      <t>シゼイ</t>
    </rPh>
    <rPh sb="6" eb="8">
      <t>シュウニュウ</t>
    </rPh>
    <rPh sb="9" eb="11">
      <t>スイイ</t>
    </rPh>
    <phoneticPr fontId="19"/>
  </si>
  <si>
    <t>うち
教育・保育
給付費</t>
    <rPh sb="3" eb="5">
      <t>キョウイク</t>
    </rPh>
    <rPh sb="6" eb="8">
      <t>ホイク</t>
    </rPh>
    <rPh sb="9" eb="11">
      <t>キュウフ</t>
    </rPh>
    <rPh sb="11" eb="12">
      <t>ヒ</t>
    </rPh>
    <phoneticPr fontId="9"/>
  </si>
  <si>
    <t xml:space="preserve">
</t>
    <phoneticPr fontId="9"/>
  </si>
  <si>
    <r>
      <t>28</t>
    </r>
    <r>
      <rPr>
        <sz val="11"/>
        <rFont val="ＭＳ Ｐゴシック"/>
        <family val="3"/>
        <charset val="128"/>
      </rPr>
      <t>決算</t>
    </r>
    <phoneticPr fontId="9"/>
  </si>
  <si>
    <r>
      <t>28</t>
    </r>
    <r>
      <rPr>
        <sz val="11"/>
        <rFont val="ＭＳ Ｐゴシック"/>
        <family val="3"/>
        <charset val="128"/>
      </rPr>
      <t>決算</t>
    </r>
    <rPh sb="2" eb="4">
      <t>ケッサン</t>
    </rPh>
    <phoneticPr fontId="19"/>
  </si>
  <si>
    <t>28決算</t>
    <rPh sb="2" eb="4">
      <t>ケッサン</t>
    </rPh>
    <phoneticPr fontId="19"/>
  </si>
  <si>
    <t xml:space="preserve"> 　28年度</t>
    <rPh sb="4" eb="6">
      <t>ネンド</t>
    </rPh>
    <phoneticPr fontId="9"/>
  </si>
  <si>
    <t>Ｈ２８年度</t>
    <rPh sb="3" eb="5">
      <t>ネンド</t>
    </rPh>
    <phoneticPr fontId="9"/>
  </si>
  <si>
    <t>- 会計相互間の重複</t>
    <phoneticPr fontId="9"/>
  </si>
  <si>
    <t>29年度</t>
    <rPh sb="2" eb="4">
      <t>ネンド</t>
    </rPh>
    <phoneticPr fontId="19"/>
  </si>
  <si>
    <t>29決算</t>
  </si>
  <si>
    <r>
      <t>2</t>
    </r>
    <r>
      <rPr>
        <sz val="11"/>
        <rFont val="ＭＳ Ｐゴシック"/>
        <family val="3"/>
        <charset val="128"/>
      </rPr>
      <t>9決算</t>
    </r>
    <phoneticPr fontId="9"/>
  </si>
  <si>
    <r>
      <t>2</t>
    </r>
    <r>
      <rPr>
        <sz val="11"/>
        <rFont val="ＭＳ Ｐゴシック"/>
        <family val="3"/>
        <charset val="128"/>
      </rPr>
      <t>8決算</t>
    </r>
    <phoneticPr fontId="9"/>
  </si>
  <si>
    <t>27決算</t>
  </si>
  <si>
    <t>28決算</t>
  </si>
  <si>
    <t>29決算</t>
    <rPh sb="2" eb="4">
      <t>ケッサン</t>
    </rPh>
    <phoneticPr fontId="19"/>
  </si>
  <si>
    <t>Ｈ２９年度</t>
    <rPh sb="3" eb="5">
      <t>ネンド</t>
    </rPh>
    <phoneticPr fontId="9"/>
  </si>
  <si>
    <t xml:space="preserve"> 　29年度</t>
    <rPh sb="4" eb="6">
      <t>ネンド</t>
    </rPh>
    <phoneticPr fontId="9"/>
  </si>
  <si>
    <t>うち
積立金</t>
    <rPh sb="3" eb="5">
      <t>ツミタテ</t>
    </rPh>
    <rPh sb="5" eb="6">
      <t>キン</t>
    </rPh>
    <phoneticPr fontId="9"/>
  </si>
  <si>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9"/>
  </si>
  <si>
    <t>4　財政構造の弾力性（経常収支比率）</t>
    <rPh sb="2" eb="4">
      <t>ザイセイ</t>
    </rPh>
    <rPh sb="4" eb="6">
      <t>コウゾウ</t>
    </rPh>
    <rPh sb="7" eb="10">
      <t>ダンリョクセイ</t>
    </rPh>
    <rPh sb="11" eb="13">
      <t>ケイジョウ</t>
    </rPh>
    <rPh sb="13" eb="15">
      <t>シュウシ</t>
    </rPh>
    <rPh sb="15" eb="17">
      <t>ヒリツ</t>
    </rPh>
    <phoneticPr fontId="19"/>
  </si>
  <si>
    <t>（百万円）</t>
    <rPh sb="1" eb="4">
      <t>ヒャクマンエン</t>
    </rPh>
    <phoneticPr fontId="9"/>
  </si>
  <si>
    <t>平　成　３0　年　度</t>
    <rPh sb="0" eb="1">
      <t>ヒラ</t>
    </rPh>
    <rPh sb="2" eb="3">
      <t>シゲル</t>
    </rPh>
    <rPh sb="7" eb="8">
      <t>トシ</t>
    </rPh>
    <rPh sb="9" eb="10">
      <t>ド</t>
    </rPh>
    <phoneticPr fontId="19"/>
  </si>
  <si>
    <t>平成30年度　　大阪市普通会計決算見込額</t>
    <phoneticPr fontId="9"/>
  </si>
  <si>
    <t>決算見込額</t>
    <phoneticPr fontId="9"/>
  </si>
  <si>
    <t>（伸び率）</t>
    <phoneticPr fontId="9"/>
  </si>
  <si>
    <t>決算見込額</t>
    <phoneticPr fontId="9"/>
  </si>
  <si>
    <t>増減額</t>
    <phoneticPr fontId="9"/>
  </si>
  <si>
    <t>歳入総額</t>
    <phoneticPr fontId="9"/>
  </si>
  <si>
    <t>歳出総額</t>
    <phoneticPr fontId="9"/>
  </si>
  <si>
    <t>地方税</t>
    <phoneticPr fontId="9"/>
  </si>
  <si>
    <t>義務的経費</t>
    <phoneticPr fontId="9"/>
  </si>
  <si>
    <t>うち
個人市民税</t>
    <rPh sb="3" eb="5">
      <t>コジン</t>
    </rPh>
    <rPh sb="5" eb="8">
      <t>シミンゼイ</t>
    </rPh>
    <phoneticPr fontId="9"/>
  </si>
  <si>
    <t>人件費</t>
    <phoneticPr fontId="9"/>
  </si>
  <si>
    <t>譲与税・交付金</t>
    <phoneticPr fontId="9"/>
  </si>
  <si>
    <t>扶助費</t>
    <phoneticPr fontId="9"/>
  </si>
  <si>
    <t>うち
府民税所得割
臨時交付金</t>
    <rPh sb="3" eb="5">
      <t>フミン</t>
    </rPh>
    <rPh sb="5" eb="6">
      <t>ゼイ</t>
    </rPh>
    <rPh sb="6" eb="8">
      <t>ショトク</t>
    </rPh>
    <rPh sb="8" eb="9">
      <t>ワリ</t>
    </rPh>
    <rPh sb="10" eb="12">
      <t>リンジ</t>
    </rPh>
    <rPh sb="12" eb="15">
      <t>コウフキン</t>
    </rPh>
    <phoneticPr fontId="9"/>
  </si>
  <si>
    <t>公債費</t>
    <phoneticPr fontId="9"/>
  </si>
  <si>
    <t>投資的経費</t>
    <phoneticPr fontId="9"/>
  </si>
  <si>
    <t>その他</t>
    <phoneticPr fontId="9"/>
  </si>
  <si>
    <t>その他経費</t>
    <phoneticPr fontId="9"/>
  </si>
  <si>
    <t>うち
諸収入</t>
    <rPh sb="3" eb="4">
      <t>ショ</t>
    </rPh>
    <rPh sb="4" eb="6">
      <t>シュウニュウ</t>
    </rPh>
    <phoneticPr fontId="9"/>
  </si>
  <si>
    <t>うち
府支出金</t>
    <rPh sb="3" eb="4">
      <t>フ</t>
    </rPh>
    <rPh sb="4" eb="7">
      <t>シシュツキン</t>
    </rPh>
    <phoneticPr fontId="9"/>
  </si>
  <si>
    <t>うち
繰出金</t>
    <rPh sb="3" eb="4">
      <t>ク</t>
    </rPh>
    <rPh sb="4" eb="5">
      <t>ダ</t>
    </rPh>
    <rPh sb="5" eb="6">
      <t>キン</t>
    </rPh>
    <phoneticPr fontId="9"/>
  </si>
  <si>
    <t>うち
使用料・手数料</t>
    <rPh sb="3" eb="6">
      <t>シヨウリョウ</t>
    </rPh>
    <rPh sb="7" eb="10">
      <t>テスウリョウ</t>
    </rPh>
    <phoneticPr fontId="9"/>
  </si>
  <si>
    <t>うち
補助費等</t>
    <rPh sb="3" eb="5">
      <t>ホジョ</t>
    </rPh>
    <rPh sb="5" eb="6">
      <t>ヒ</t>
    </rPh>
    <rPh sb="6" eb="7">
      <t>トウ</t>
    </rPh>
    <phoneticPr fontId="9"/>
  </si>
  <si>
    <t>令和元年９月</t>
    <rPh sb="0" eb="2">
      <t>レイワ</t>
    </rPh>
    <rPh sb="2" eb="3">
      <t>ガン</t>
    </rPh>
    <rPh sb="3" eb="4">
      <t>ネン</t>
    </rPh>
    <rPh sb="5" eb="6">
      <t>ガツ</t>
    </rPh>
    <phoneticPr fontId="19"/>
  </si>
  <si>
    <t>２，５６６百万円</t>
    <rPh sb="5" eb="8">
      <t>ヒャクマンエン</t>
    </rPh>
    <phoneticPr fontId="9"/>
  </si>
  <si>
    <t>　　　２，００４百万円</t>
    <phoneticPr fontId="9"/>
  </si>
  <si>
    <t>４２９百万円</t>
    <rPh sb="3" eb="5">
      <t>ヒャクマンエン</t>
    </rPh>
    <phoneticPr fontId="9"/>
  </si>
  <si>
    <t xml:space="preserve">     　 ４２０百万円</t>
    <phoneticPr fontId="9"/>
  </si>
  <si>
    <t>９６．９％</t>
    <phoneticPr fontId="9"/>
  </si>
  <si>
    <t xml:space="preserve">        ９８．３％</t>
    <phoneticPr fontId="9"/>
  </si>
  <si>
    <t>１兆９，０６３億円</t>
    <phoneticPr fontId="9"/>
  </si>
  <si>
    <t>３兆５，５９５億円</t>
    <phoneticPr fontId="9"/>
  </si>
  <si>
    <t>　　　４兆１，３８０億円</t>
    <phoneticPr fontId="9"/>
  </si>
  <si>
    <t>30年度</t>
    <phoneticPr fontId="9"/>
  </si>
  <si>
    <t>29年度</t>
    <phoneticPr fontId="9"/>
  </si>
  <si>
    <t>　　歳出総額は１兆7,586億円で、前年度決算と比較すると、＋178億円、＋1.0％の増となっている。</t>
    <rPh sb="2" eb="4">
      <t>サイシュツ</t>
    </rPh>
    <rPh sb="4" eb="6">
      <t>ソウガク</t>
    </rPh>
    <rPh sb="18" eb="21">
      <t>ゼンネンド</t>
    </rPh>
    <rPh sb="21" eb="23">
      <t>ケッサン</t>
    </rPh>
    <rPh sb="24" eb="26">
      <t>ヒカク</t>
    </rPh>
    <rPh sb="43" eb="44">
      <t>ゾウ</t>
    </rPh>
    <phoneticPr fontId="19"/>
  </si>
  <si>
    <t>30年度</t>
    <rPh sb="2" eb="4">
      <t>ネンド</t>
    </rPh>
    <phoneticPr fontId="19"/>
  </si>
  <si>
    <t>　平成30年度末で１兆9,063億円となっている。</t>
    <phoneticPr fontId="19"/>
  </si>
  <si>
    <r>
      <t>29決算</t>
    </r>
    <r>
      <rPr>
        <sz val="11"/>
        <rFont val="ＭＳ Ｐゴシック"/>
        <family val="3"/>
        <charset val="128"/>
      </rPr>
      <t/>
    </r>
    <phoneticPr fontId="9"/>
  </si>
  <si>
    <t>30決算</t>
    <phoneticPr fontId="9"/>
  </si>
  <si>
    <t>29決算</t>
    <phoneticPr fontId="9"/>
  </si>
  <si>
    <t>29決算</t>
    <phoneticPr fontId="9"/>
  </si>
  <si>
    <t>30決算</t>
    <phoneticPr fontId="9"/>
  </si>
  <si>
    <t>30決算</t>
    <phoneticPr fontId="9"/>
  </si>
  <si>
    <t>30決算</t>
    <phoneticPr fontId="9"/>
  </si>
  <si>
    <r>
      <t>30</t>
    </r>
    <r>
      <rPr>
        <sz val="11"/>
        <rFont val="ＭＳ Ｐゴシック"/>
        <family val="3"/>
        <charset val="128"/>
      </rPr>
      <t>決算</t>
    </r>
    <phoneticPr fontId="9"/>
  </si>
  <si>
    <t>　 30年度</t>
    <rPh sb="4" eb="6">
      <t>ネンド</t>
    </rPh>
    <phoneticPr fontId="9"/>
  </si>
  <si>
    <t>Ｈ３０年度</t>
    <rPh sb="3" eb="5">
      <t>ネンド</t>
    </rPh>
    <phoneticPr fontId="9"/>
  </si>
  <si>
    <t>千円</t>
    <rPh sb="0" eb="1">
      <t>セン</t>
    </rPh>
    <rPh sb="1" eb="2">
      <t>エン</t>
    </rPh>
    <phoneticPr fontId="19"/>
  </si>
  <si>
    <t>税源移譲</t>
    <rPh sb="0" eb="4">
      <t>ゼイゲンイジョウ</t>
    </rPh>
    <phoneticPr fontId="19"/>
  </si>
  <si>
    <t>30決算</t>
    <rPh sb="2" eb="4">
      <t>ケッサン</t>
    </rPh>
    <phoneticPr fontId="19"/>
  </si>
  <si>
    <t>千円</t>
    <rPh sb="0" eb="2">
      <t>センエン</t>
    </rPh>
    <phoneticPr fontId="19"/>
  </si>
  <si>
    <t>億円</t>
    <rPh sb="0" eb="2">
      <t>オクエン</t>
    </rPh>
    <phoneticPr fontId="19"/>
  </si>
  <si>
    <t>個人</t>
    <rPh sb="0" eb="2">
      <t>コジン</t>
    </rPh>
    <phoneticPr fontId="19"/>
  </si>
  <si>
    <t>法人</t>
    <rPh sb="0" eb="2">
      <t>ホウジン</t>
    </rPh>
    <phoneticPr fontId="19"/>
  </si>
  <si>
    <t>固・都</t>
    <rPh sb="0" eb="1">
      <t>モトヨリ</t>
    </rPh>
    <rPh sb="2" eb="3">
      <t>ト</t>
    </rPh>
    <phoneticPr fontId="19"/>
  </si>
  <si>
    <t>入湯税</t>
    <rPh sb="0" eb="2">
      <t>ニュウトウ</t>
    </rPh>
    <rPh sb="2" eb="3">
      <t>ゼイ</t>
    </rPh>
    <phoneticPr fontId="19"/>
  </si>
  <si>
    <t>皆増</t>
    <rPh sb="0" eb="2">
      <t>ミナゾウ</t>
    </rPh>
    <phoneticPr fontId="19"/>
  </si>
  <si>
    <t>府費負担教職員制度の見直しに伴う税源移譲や納税義務者数の増などにより、</t>
    <rPh sb="0" eb="1">
      <t>フ</t>
    </rPh>
    <rPh sb="1" eb="2">
      <t>ヒ</t>
    </rPh>
    <rPh sb="2" eb="4">
      <t>フタン</t>
    </rPh>
    <rPh sb="4" eb="7">
      <t>キョウショクイン</t>
    </rPh>
    <rPh sb="7" eb="9">
      <t>セイド</t>
    </rPh>
    <rPh sb="10" eb="12">
      <t>ミナオ</t>
    </rPh>
    <rPh sb="14" eb="15">
      <t>トモナ</t>
    </rPh>
    <rPh sb="16" eb="18">
      <t>ゼイゲン</t>
    </rPh>
    <rPh sb="18" eb="20">
      <t>イジョウ</t>
    </rPh>
    <rPh sb="21" eb="23">
      <t>ノウゼイ</t>
    </rPh>
    <rPh sb="23" eb="25">
      <t>ギム</t>
    </rPh>
    <rPh sb="25" eb="26">
      <t>シャ</t>
    </rPh>
    <rPh sb="26" eb="27">
      <t>スウ</t>
    </rPh>
    <rPh sb="28" eb="29">
      <t>ゾウ</t>
    </rPh>
    <phoneticPr fontId="19"/>
  </si>
  <si>
    <t>＋32.4%と7年連続の増</t>
    <rPh sb="8" eb="9">
      <t>ネン</t>
    </rPh>
    <rPh sb="9" eb="11">
      <t>レンゾク</t>
    </rPh>
    <rPh sb="12" eb="13">
      <t>ゾウ</t>
    </rPh>
    <phoneticPr fontId="19"/>
  </si>
  <si>
    <t>企業収益の増などにより、+5.9%と2年連続の増</t>
    <rPh sb="0" eb="2">
      <t>キギョウ</t>
    </rPh>
    <rPh sb="2" eb="4">
      <t>シュウエキ</t>
    </rPh>
    <rPh sb="5" eb="6">
      <t>ゾウ</t>
    </rPh>
    <rPh sb="19" eb="20">
      <t>ネン</t>
    </rPh>
    <rPh sb="20" eb="22">
      <t>レンゾク</t>
    </rPh>
    <rPh sb="23" eb="24">
      <t>ゾウ</t>
    </rPh>
    <phoneticPr fontId="19"/>
  </si>
  <si>
    <t>土地の評価替えによる増などにより、＋1.9％と6年連続の増</t>
    <rPh sb="0" eb="2">
      <t>トチ</t>
    </rPh>
    <rPh sb="3" eb="5">
      <t>ヒョウカ</t>
    </rPh>
    <rPh sb="5" eb="6">
      <t>ガ</t>
    </rPh>
    <rPh sb="10" eb="11">
      <t>ゾウ</t>
    </rPh>
    <rPh sb="24" eb="25">
      <t>ネン</t>
    </rPh>
    <rPh sb="25" eb="27">
      <t>レンゾク</t>
    </rPh>
    <rPh sb="28" eb="29">
      <t>ゾウ</t>
    </rPh>
    <phoneticPr fontId="19"/>
  </si>
  <si>
    <t>　　歳入総額は1兆7,611億円で、前年度決算と比較すると、＋183億円、＋1.1％の増となっている。</t>
    <rPh sb="2" eb="4">
      <t>サイニュウ</t>
    </rPh>
    <rPh sb="4" eb="6">
      <t>ソウガク</t>
    </rPh>
    <rPh sb="18" eb="21">
      <t>ゼンネンド</t>
    </rPh>
    <rPh sb="21" eb="23">
      <t>ケッサン</t>
    </rPh>
    <rPh sb="24" eb="26">
      <t>ヒカク</t>
    </rPh>
    <rPh sb="43" eb="44">
      <t>ゾウ</t>
    </rPh>
    <phoneticPr fontId="19"/>
  </si>
  <si>
    <t>　　　臨時福祉給付金の減（△94億円、皆減）などにより減（△72億円、△1.8％）となっている。</t>
    <rPh sb="3" eb="5">
      <t>リンジ</t>
    </rPh>
    <rPh sb="5" eb="7">
      <t>フクシ</t>
    </rPh>
    <rPh sb="7" eb="10">
      <t>キュウフキン</t>
    </rPh>
    <rPh sb="11" eb="12">
      <t>ゲン</t>
    </rPh>
    <rPh sb="19" eb="20">
      <t>ミナ</t>
    </rPh>
    <rPh sb="20" eb="21">
      <t>ゲン</t>
    </rPh>
    <rPh sb="27" eb="28">
      <t>ゲン</t>
    </rPh>
    <rPh sb="32" eb="34">
      <t>オクエン</t>
    </rPh>
    <phoneticPr fontId="19"/>
  </si>
  <si>
    <t>18決算</t>
    <phoneticPr fontId="19"/>
  </si>
  <si>
    <r>
      <t>2</t>
    </r>
    <r>
      <rPr>
        <sz val="11"/>
        <rFont val="ＭＳ Ｐゴシック"/>
        <family val="3"/>
        <charset val="128"/>
      </rPr>
      <t>3</t>
    </r>
    <r>
      <rPr>
        <sz val="11"/>
        <rFont val="ＭＳ Ｐゴシック"/>
        <family val="3"/>
        <charset val="128"/>
      </rPr>
      <t>決算</t>
    </r>
    <phoneticPr fontId="19"/>
  </si>
  <si>
    <t>地方税</t>
    <phoneticPr fontId="19"/>
  </si>
  <si>
    <t>21決算</t>
    <phoneticPr fontId="19"/>
  </si>
  <si>
    <t>-</t>
    <phoneticPr fontId="19"/>
  </si>
  <si>
    <t>18決算</t>
    <phoneticPr fontId="19"/>
  </si>
  <si>
    <t>　（市民一人当たり　30年度決算：708千円　29年度決算：769千円　）</t>
    <phoneticPr fontId="19"/>
  </si>
  <si>
    <t>　　（＋18億円、著増）などにより、２年連続の増（＋89億円、＋7.7％）となっている。</t>
    <rPh sb="19" eb="20">
      <t>ネン</t>
    </rPh>
    <rPh sb="20" eb="22">
      <t>レンゾク</t>
    </rPh>
    <rPh sb="23" eb="24">
      <t>ゾウ</t>
    </rPh>
    <phoneticPr fontId="9"/>
  </si>
  <si>
    <t>　　公債費が増（＋293億円、＋11.1％）となった結果、義務的経費が2年連続の増（＋315億円、</t>
    <rPh sb="36" eb="37">
      <t>ネン</t>
    </rPh>
    <rPh sb="37" eb="39">
      <t>レンゾク</t>
    </rPh>
    <rPh sb="40" eb="41">
      <t>ゾウ</t>
    </rPh>
    <phoneticPr fontId="19"/>
  </si>
  <si>
    <t>　　＋2.8％）となっている。　　</t>
    <phoneticPr fontId="19"/>
  </si>
  <si>
    <t>　　　後年度に地方交付税で全額措置される臨時財政対策債を含めた実質的な地方交付税総額は、</t>
    <rPh sb="3" eb="6">
      <t>コウネンド</t>
    </rPh>
    <rPh sb="7" eb="9">
      <t>チホウ</t>
    </rPh>
    <rPh sb="9" eb="12">
      <t>コウフゼイ</t>
    </rPh>
    <rPh sb="13" eb="15">
      <t>ゼンガク</t>
    </rPh>
    <rPh sb="15" eb="17">
      <t>ソチ</t>
    </rPh>
    <rPh sb="20" eb="22">
      <t>リンジ</t>
    </rPh>
    <rPh sb="22" eb="24">
      <t>ザイセイ</t>
    </rPh>
    <rPh sb="24" eb="26">
      <t>タイサク</t>
    </rPh>
    <rPh sb="26" eb="27">
      <t>サイ</t>
    </rPh>
    <rPh sb="28" eb="29">
      <t>フク</t>
    </rPh>
    <rPh sb="31" eb="34">
      <t>ジッシツテキ</t>
    </rPh>
    <phoneticPr fontId="19"/>
  </si>
  <si>
    <t>　　1,077億円（△197億円、△15.4％）となっている。</t>
    <phoneticPr fontId="9"/>
  </si>
  <si>
    <t>　　△12.2％）となっている。</t>
    <phoneticPr fontId="19"/>
  </si>
  <si>
    <t>　　　臨時財政対策債の減（△105億円、△14.1％）などにより、２年ぶりの減（△144億円、</t>
    <rPh sb="3" eb="5">
      <t>リンジ</t>
    </rPh>
    <rPh sb="5" eb="7">
      <t>ザイセイ</t>
    </rPh>
    <rPh sb="7" eb="9">
      <t>タイサク</t>
    </rPh>
    <rPh sb="9" eb="10">
      <t>サイ</t>
    </rPh>
    <rPh sb="11" eb="12">
      <t>ゲン</t>
    </rPh>
    <rPh sb="17" eb="19">
      <t>オクエン</t>
    </rPh>
    <rPh sb="34" eb="35">
      <t>ネン</t>
    </rPh>
    <rPh sb="38" eb="39">
      <t>ゲン</t>
    </rPh>
    <phoneticPr fontId="19"/>
  </si>
  <si>
    <t>　　　２兆　　６９８億円</t>
    <phoneticPr fontId="9"/>
  </si>
  <si>
    <t>　　　府費負担教職員制度の見直しに伴う税源移譲などによる個人市民税の増（＋488億円、＋32.4％）</t>
    <rPh sb="3" eb="4">
      <t>フ</t>
    </rPh>
    <rPh sb="4" eb="5">
      <t>ヒ</t>
    </rPh>
    <rPh sb="5" eb="7">
      <t>フタン</t>
    </rPh>
    <rPh sb="7" eb="10">
      <t>キョウショクイン</t>
    </rPh>
    <rPh sb="10" eb="12">
      <t>セイド</t>
    </rPh>
    <rPh sb="13" eb="15">
      <t>ミナオ</t>
    </rPh>
    <rPh sb="17" eb="18">
      <t>トモナ</t>
    </rPh>
    <rPh sb="19" eb="21">
      <t>ゼイゲン</t>
    </rPh>
    <rPh sb="21" eb="23">
      <t>イジョウ</t>
    </rPh>
    <rPh sb="28" eb="30">
      <t>コジン</t>
    </rPh>
    <rPh sb="30" eb="33">
      <t>シミンゼイ</t>
    </rPh>
    <rPh sb="34" eb="35">
      <t>ゾウ</t>
    </rPh>
    <rPh sb="40" eb="42">
      <t>オクエン</t>
    </rPh>
    <phoneticPr fontId="19"/>
  </si>
  <si>
    <t>　　２年連続の増（＋620億円、＋9.2％）となっている。（詳細はP９～10を参照）</t>
    <rPh sb="4" eb="6">
      <t>レンゾク</t>
    </rPh>
    <phoneticPr fontId="9"/>
  </si>
  <si>
    <t>　　や、企業収益の増などによる法人市民税の増（＋77億円、＋5.9％）などにより、全体として</t>
    <rPh sb="15" eb="17">
      <t>ホウジン</t>
    </rPh>
    <rPh sb="17" eb="20">
      <t>シミンゼイ</t>
    </rPh>
    <rPh sb="21" eb="22">
      <t>ゾウ</t>
    </rPh>
    <phoneticPr fontId="19"/>
  </si>
  <si>
    <t>　　△86.1％）となったことなどにより減（△426億円、△30.9％）となっている。</t>
    <phoneticPr fontId="9"/>
  </si>
  <si>
    <t>　　　府費負担教職員制度の見直しに伴う税源移譲により府民税所得割臨時交付金が減（△403億円、</t>
    <rPh sb="3" eb="4">
      <t>フ</t>
    </rPh>
    <rPh sb="4" eb="5">
      <t>ヒ</t>
    </rPh>
    <rPh sb="5" eb="7">
      <t>フタン</t>
    </rPh>
    <rPh sb="7" eb="10">
      <t>キョウショクイン</t>
    </rPh>
    <rPh sb="10" eb="12">
      <t>セイド</t>
    </rPh>
    <rPh sb="13" eb="15">
      <t>ミナオ</t>
    </rPh>
    <rPh sb="17" eb="18">
      <t>トモナ</t>
    </rPh>
    <rPh sb="19" eb="21">
      <t>ゼイゲン</t>
    </rPh>
    <rPh sb="21" eb="23">
      <t>イジョウ</t>
    </rPh>
    <rPh sb="26" eb="29">
      <t>フミンゼイ</t>
    </rPh>
    <rPh sb="29" eb="31">
      <t>ショトク</t>
    </rPh>
    <rPh sb="31" eb="32">
      <t>ワリ</t>
    </rPh>
    <rPh sb="32" eb="34">
      <t>リンジ</t>
    </rPh>
    <phoneticPr fontId="19"/>
  </si>
  <si>
    <t>　　（＋44億円、＋6.3％）などにより、全体で＋296億円、＋8.3％の増となっている。</t>
    <phoneticPr fontId="9"/>
  </si>
  <si>
    <t>　　△227億円、△4.5％の減となっている。</t>
    <rPh sb="15" eb="16">
      <t>ゲン</t>
    </rPh>
    <phoneticPr fontId="9"/>
  </si>
  <si>
    <t>　　　そのほか、障がい者自立支援給付費の増（＋16億円、＋9.0％）などによる府支出金の増</t>
    <rPh sb="8" eb="9">
      <t>ショウ</t>
    </rPh>
    <rPh sb="11" eb="12">
      <t>シャ</t>
    </rPh>
    <rPh sb="12" eb="14">
      <t>ジリツ</t>
    </rPh>
    <rPh sb="14" eb="16">
      <t>シエン</t>
    </rPh>
    <rPh sb="16" eb="18">
      <t>キュウフ</t>
    </rPh>
    <rPh sb="18" eb="19">
      <t>ヒ</t>
    </rPh>
    <rPh sb="20" eb="21">
      <t>ゾウ</t>
    </rPh>
    <rPh sb="25" eb="27">
      <t>オクエン</t>
    </rPh>
    <rPh sb="39" eb="40">
      <t>フ</t>
    </rPh>
    <rPh sb="40" eb="43">
      <t>シシュツキン</t>
    </rPh>
    <rPh sb="44" eb="45">
      <t>ゾウ</t>
    </rPh>
    <phoneticPr fontId="9"/>
  </si>
  <si>
    <t>　×100</t>
    <phoneticPr fontId="9"/>
  </si>
  <si>
    <t>　　　給与減額措置の見直しなどによる人件費の増（＋12億円、＋0.4％）や、障がい者自立支援給付費</t>
    <rPh sb="3" eb="5">
      <t>キュウヨ</t>
    </rPh>
    <rPh sb="5" eb="7">
      <t>ゲンガク</t>
    </rPh>
    <rPh sb="7" eb="9">
      <t>ソチ</t>
    </rPh>
    <rPh sb="10" eb="12">
      <t>ミナオ</t>
    </rPh>
    <rPh sb="18" eb="21">
      <t>ジンケンヒ</t>
    </rPh>
    <rPh sb="22" eb="23">
      <t>ゾウ</t>
    </rPh>
    <rPh sb="27" eb="29">
      <t>オクエン</t>
    </rPh>
    <phoneticPr fontId="19"/>
  </si>
  <si>
    <r>
      <rPr>
        <sz val="20"/>
        <rFont val="HG丸ｺﾞｼｯｸM-PRO"/>
        <family val="3"/>
        <charset val="128"/>
      </rPr>
      <t>　　　</t>
    </r>
    <r>
      <rPr>
        <u/>
        <sz val="20"/>
        <rFont val="HG丸ｺﾞｼｯｸM-PRO"/>
        <family val="3"/>
        <charset val="128"/>
      </rPr>
      <t>29年度</t>
    </r>
    <rPh sb="5" eb="7">
      <t>ネンド</t>
    </rPh>
    <phoneticPr fontId="9"/>
  </si>
  <si>
    <r>
      <rPr>
        <sz val="20"/>
        <rFont val="HG丸ｺﾞｼｯｸM-PRO"/>
        <family val="3"/>
        <charset val="128"/>
      </rPr>
      <t xml:space="preserve">  　　　</t>
    </r>
    <r>
      <rPr>
        <u/>
        <sz val="20"/>
        <rFont val="HG丸ｺﾞｼｯｸM-PRO"/>
        <family val="3"/>
        <charset val="128"/>
      </rPr>
      <t>30年度</t>
    </r>
    <rPh sb="7" eb="9">
      <t>ネンド</t>
    </rPh>
    <phoneticPr fontId="9"/>
  </si>
  <si>
    <t>形　式　収　支</t>
    <phoneticPr fontId="9"/>
  </si>
  <si>
    <t>実　質　収　支</t>
    <phoneticPr fontId="9"/>
  </si>
  <si>
    <t>経 常 収 支 比 率</t>
    <phoneticPr fontId="9"/>
  </si>
  <si>
    <t>地  方  債  残  高</t>
    <phoneticPr fontId="9"/>
  </si>
  <si>
    <t>30決算見込</t>
    <rPh sb="2" eb="4">
      <t>ケッサン</t>
    </rPh>
    <rPh sb="4" eb="6">
      <t>ミコミ</t>
    </rPh>
    <phoneticPr fontId="19"/>
  </si>
  <si>
    <t>30年度決算見込は、2年連続の増</t>
    <rPh sb="2" eb="4">
      <t>ネンド</t>
    </rPh>
    <rPh sb="4" eb="6">
      <t>ケッサン</t>
    </rPh>
    <rPh sb="6" eb="8">
      <t>ミコミ</t>
    </rPh>
    <rPh sb="11" eb="12">
      <t>ネン</t>
    </rPh>
    <rPh sb="12" eb="14">
      <t>レンゾク</t>
    </rPh>
    <rPh sb="15" eb="16">
      <t>ゾウ</t>
    </rPh>
    <phoneticPr fontId="19"/>
  </si>
  <si>
    <t xml:space="preserve">     （※）交通事業の民営化に伴う終結処理に係る影響を除いた30年度の公債費は、対前年度△18,804百万円減の
　　　　  244,176百万円である。
</t>
    <phoneticPr fontId="9"/>
  </si>
  <si>
    <t>　　　交通事業の民営化に伴う終結処理に係る影響として、市債の繰上償還に係る交通事業からの繰入金</t>
    <rPh sb="3" eb="5">
      <t>コウツウ</t>
    </rPh>
    <rPh sb="5" eb="7">
      <t>ジギョウ</t>
    </rPh>
    <rPh sb="8" eb="11">
      <t>ミンエイカ</t>
    </rPh>
    <rPh sb="12" eb="13">
      <t>トモナ</t>
    </rPh>
    <rPh sb="14" eb="16">
      <t>シュウケツ</t>
    </rPh>
    <rPh sb="16" eb="18">
      <t>ショリ</t>
    </rPh>
    <rPh sb="19" eb="20">
      <t>カカ</t>
    </rPh>
    <rPh sb="21" eb="23">
      <t>エイキョウ</t>
    </rPh>
    <rPh sb="35" eb="36">
      <t>カカ</t>
    </rPh>
    <phoneticPr fontId="19"/>
  </si>
  <si>
    <t>　　が減となったことなどにより、諸収入が減（△61億円、△4.2％）となっている。</t>
    <rPh sb="16" eb="17">
      <t>ショ</t>
    </rPh>
    <rPh sb="17" eb="19">
      <t>シュウニュウ</t>
    </rPh>
    <rPh sb="20" eb="21">
      <t>ゲン</t>
    </rPh>
    <rPh sb="25" eb="27">
      <t>オクエン</t>
    </rPh>
    <phoneticPr fontId="19"/>
  </si>
  <si>
    <t>　　の増などにより、繰入金が増（＋268億円、＋74.8％）となったほか、自動車運送事業貸付金収入</t>
    <rPh sb="10" eb="12">
      <t>クリイレ</t>
    </rPh>
    <rPh sb="12" eb="13">
      <t>キン</t>
    </rPh>
    <rPh sb="14" eb="15">
      <t>ゾウ</t>
    </rPh>
    <rPh sb="20" eb="22">
      <t>オクエン</t>
    </rPh>
    <rPh sb="37" eb="40">
      <t>ジドウシャ</t>
    </rPh>
    <phoneticPr fontId="9"/>
  </si>
  <si>
    <t>　　地方税が増となる一方で、譲与税・交付金や地方交付税・臨時財政対策債が減となるなど、</t>
    <phoneticPr fontId="19"/>
  </si>
  <si>
    <t>　一般財源総額が概ね横ばいである中、経常的な公債費が減となったことなどにより、</t>
    <rPh sb="22" eb="25">
      <t>コウサイヒ</t>
    </rPh>
    <rPh sb="26" eb="27">
      <t>ゲン</t>
    </rPh>
    <phoneticPr fontId="19"/>
  </si>
  <si>
    <t>　財政構造の弾力性を判断するための指標である経常収支比率は、前年度決算と比較して</t>
    <rPh sb="33" eb="35">
      <t>ケッサン</t>
    </rPh>
    <rPh sb="36" eb="38">
      <t>ヒカク</t>
    </rPh>
    <phoneticPr fontId="9"/>
  </si>
  <si>
    <r>
      <t xml:space="preserve">  　・</t>
    </r>
    <r>
      <rPr>
        <sz val="12"/>
        <rFont val="HGS創英角ﾎﾟｯﾌﾟ体"/>
        <family val="3"/>
        <charset val="128"/>
      </rPr>
      <t>交通事業の民営化に伴う終結処理</t>
    </r>
    <r>
      <rPr>
        <sz val="11"/>
        <rFont val="HG丸ｺﾞｼｯｸM-PRO"/>
        <family val="3"/>
        <charset val="128"/>
      </rPr>
      <t>として、</t>
    </r>
    <r>
      <rPr>
        <sz val="12"/>
        <rFont val="HGS創英角ﾎﾟｯﾌﾟ体"/>
        <family val="3"/>
        <charset val="128"/>
      </rPr>
      <t>積立金が減</t>
    </r>
    <r>
      <rPr>
        <sz val="11"/>
        <rFont val="HG丸ｺﾞｼｯｸM-PRO"/>
        <family val="3"/>
        <charset val="128"/>
      </rPr>
      <t>となったほか、市債の繰上
　  　償還により</t>
    </r>
    <r>
      <rPr>
        <sz val="12"/>
        <rFont val="HGS創英角ﾎﾟｯﾌﾟ体"/>
        <family val="3"/>
        <charset val="128"/>
      </rPr>
      <t>公債費等が増</t>
    </r>
    <r>
      <rPr>
        <sz val="11"/>
        <rFont val="HG丸ｺﾞｼｯｸM-PRO"/>
        <family val="3"/>
        <charset val="128"/>
      </rPr>
      <t>となっている。
　  ・そのほか、市街地再開発事業への繰出など、</t>
    </r>
    <r>
      <rPr>
        <sz val="12"/>
        <rFont val="HGP創英角ﾎﾟｯﾌﾟ体"/>
        <family val="3"/>
        <charset val="128"/>
      </rPr>
      <t>繰出金の増</t>
    </r>
    <r>
      <rPr>
        <sz val="11"/>
        <rFont val="HG丸ｺﾞｼｯｸM-PRO"/>
        <family val="3"/>
        <charset val="128"/>
      </rPr>
      <t>や、　
　  ・台風21号の被害復旧などに伴う</t>
    </r>
    <r>
      <rPr>
        <sz val="12"/>
        <rFont val="HGP創英角ﾎﾟｯﾌﾟ体"/>
        <family val="3"/>
        <charset val="128"/>
      </rPr>
      <t>投資的経費の増</t>
    </r>
    <r>
      <rPr>
        <sz val="11"/>
        <rFont val="HG丸ｺﾞｼｯｸM-PRO"/>
        <family val="3"/>
        <charset val="128"/>
      </rPr>
      <t>などにより、
 　 ・総額1兆7,586億円（前年度比＋178億円、＋1.0％）となっている。</t>
    </r>
    <rPh sb="13" eb="14">
      <t>トモナ</t>
    </rPh>
    <rPh sb="15" eb="17">
      <t>シュウケツ</t>
    </rPh>
    <rPh sb="17" eb="19">
      <t>ショリ</t>
    </rPh>
    <rPh sb="50" eb="53">
      <t>コウサイヒ</t>
    </rPh>
    <rPh sb="53" eb="54">
      <t>トウ</t>
    </rPh>
    <rPh sb="55" eb="56">
      <t>ゾウ</t>
    </rPh>
    <rPh sb="83" eb="85">
      <t>クリダ</t>
    </rPh>
    <rPh sb="88" eb="89">
      <t>ク</t>
    </rPh>
    <rPh sb="89" eb="90">
      <t>ダ</t>
    </rPh>
    <rPh sb="90" eb="91">
      <t>キン</t>
    </rPh>
    <rPh sb="92" eb="93">
      <t>ゾウ</t>
    </rPh>
    <rPh sb="101" eb="103">
      <t>タイフウ</t>
    </rPh>
    <rPh sb="105" eb="106">
      <t>ゴウ</t>
    </rPh>
    <rPh sb="107" eb="109">
      <t>ヒガイ</t>
    </rPh>
    <rPh sb="109" eb="111">
      <t>フッキュウ</t>
    </rPh>
    <rPh sb="114" eb="115">
      <t>トモナ</t>
    </rPh>
    <rPh sb="116" eb="119">
      <t>トウシテキ</t>
    </rPh>
    <rPh sb="119" eb="121">
      <t>ケイヒ</t>
    </rPh>
    <rPh sb="122" eb="123">
      <t>ゾウ</t>
    </rPh>
    <phoneticPr fontId="9"/>
  </si>
  <si>
    <r>
      <rPr>
        <sz val="11"/>
        <rFont val="HGP創英角ﾎﾟｯﾌﾟ体"/>
        <family val="3"/>
        <charset val="128"/>
      </rPr>
      <t xml:space="preserve">　　 </t>
    </r>
    <r>
      <rPr>
        <sz val="11"/>
        <rFont val="HG丸ｺﾞｼｯｸM-PRO"/>
        <family val="3"/>
        <charset val="128"/>
      </rPr>
      <t>・</t>
    </r>
    <r>
      <rPr>
        <sz val="12"/>
        <rFont val="HGS創英角ﾎﾟｯﾌﾟ体"/>
        <family val="3"/>
        <charset val="128"/>
      </rPr>
      <t>府費負担教職員制度の見直し</t>
    </r>
    <r>
      <rPr>
        <sz val="11"/>
        <rFont val="HG丸ｺﾞｼｯｸM-PRO"/>
        <family val="3"/>
        <charset val="128"/>
      </rPr>
      <t>に伴う税源移譲等により、</t>
    </r>
    <r>
      <rPr>
        <sz val="12"/>
        <rFont val="HGP創英角ﾎﾟｯﾌﾟ体"/>
        <family val="3"/>
        <charset val="128"/>
      </rPr>
      <t>地方税が増</t>
    </r>
    <r>
      <rPr>
        <sz val="11"/>
        <rFont val="HG丸ｺﾞｼｯｸM-PRO"/>
        <family val="3"/>
        <charset val="128"/>
      </rPr>
      <t>となり、
　　</t>
    </r>
    <r>
      <rPr>
        <sz val="11"/>
        <rFont val="HGP創英角ﾎﾟｯﾌﾟ体"/>
        <family val="3"/>
        <charset val="128"/>
      </rPr>
      <t xml:space="preserve">  </t>
    </r>
    <r>
      <rPr>
        <sz val="12"/>
        <rFont val="HGS創英角ﾎﾟｯﾌﾟ体"/>
        <family val="3"/>
        <charset val="128"/>
      </rPr>
      <t>2年連続</t>
    </r>
    <r>
      <rPr>
        <sz val="12"/>
        <rFont val="HGP創英角ﾎﾟｯﾌﾟ体"/>
        <family val="3"/>
        <charset val="128"/>
      </rPr>
      <t>のプラス</t>
    </r>
    <r>
      <rPr>
        <sz val="11"/>
        <rFont val="HG丸ｺﾞｼｯｸM-PRO"/>
        <family val="3"/>
        <charset val="128"/>
      </rPr>
      <t>となるとともに、</t>
    </r>
    <r>
      <rPr>
        <sz val="12"/>
        <rFont val="HGP創英角ﾎﾟｯﾌﾟ体"/>
        <family val="3"/>
        <charset val="128"/>
      </rPr>
      <t>府民税所得割臨時交付金</t>
    </r>
    <r>
      <rPr>
        <sz val="11"/>
        <rFont val="HG丸ｺﾞｼｯｸM-PRO"/>
        <family val="3"/>
        <charset val="128"/>
      </rPr>
      <t>や、
　　</t>
    </r>
    <r>
      <rPr>
        <sz val="11"/>
        <rFont val="HGS創英角ﾎﾟｯﾌﾟ体"/>
        <family val="3"/>
        <charset val="128"/>
      </rPr>
      <t xml:space="preserve">  </t>
    </r>
    <r>
      <rPr>
        <sz val="12"/>
        <rFont val="HGS創英角ﾎﾟｯﾌﾟ体"/>
        <family val="3"/>
        <charset val="128"/>
      </rPr>
      <t>地方交付税・臨時財政対策債</t>
    </r>
    <r>
      <rPr>
        <sz val="11"/>
        <rFont val="HG丸ｺﾞｼｯｸM-PRO"/>
        <family val="3"/>
        <charset val="128"/>
      </rPr>
      <t>が減となった。
　</t>
    </r>
    <r>
      <rPr>
        <sz val="11"/>
        <rFont val="HGP創英角ﾎﾟｯﾌﾟ体"/>
        <family val="3"/>
        <charset val="128"/>
      </rPr>
      <t xml:space="preserve">  </t>
    </r>
    <r>
      <rPr>
        <sz val="11"/>
        <rFont val="HG丸ｺﾞｼｯｸM-PRO"/>
        <family val="3"/>
        <charset val="128"/>
      </rPr>
      <t>・また、</t>
    </r>
    <r>
      <rPr>
        <sz val="12"/>
        <rFont val="HGP創英角ﾎﾟｯﾌﾟ体"/>
        <family val="3"/>
        <charset val="128"/>
      </rPr>
      <t>交通事業の民営化</t>
    </r>
    <r>
      <rPr>
        <sz val="12"/>
        <rFont val="HGS創英角ﾎﾟｯﾌﾟ体"/>
        <family val="3"/>
        <charset val="128"/>
      </rPr>
      <t>に伴う終結処理</t>
    </r>
    <r>
      <rPr>
        <sz val="11"/>
        <rFont val="HG丸ｺﾞｼｯｸM-PRO"/>
        <family val="3"/>
        <charset val="128"/>
      </rPr>
      <t>に係る交通事業からの繰入金の増など
　　</t>
    </r>
    <r>
      <rPr>
        <sz val="11"/>
        <rFont val="HGP創英角ﾎﾟｯﾌﾟ体"/>
        <family val="3"/>
        <charset val="128"/>
      </rPr>
      <t xml:space="preserve">  </t>
    </r>
    <r>
      <rPr>
        <sz val="11"/>
        <rFont val="HG丸ｺﾞｼｯｸM-PRO"/>
        <family val="3"/>
        <charset val="128"/>
      </rPr>
      <t>により、</t>
    </r>
    <r>
      <rPr>
        <sz val="12"/>
        <rFont val="HGS創英角ﾎﾟｯﾌﾟ体"/>
        <family val="3"/>
        <charset val="128"/>
      </rPr>
      <t>繰入金が増</t>
    </r>
    <r>
      <rPr>
        <sz val="11"/>
        <rFont val="HG丸ｺﾞｼｯｸM-PRO"/>
        <family val="3"/>
        <charset val="128"/>
      </rPr>
      <t>となるなど、
　  ・総額1兆7,611億円（前年度＋183億円、＋1.1％）となっている。</t>
    </r>
    <rPh sb="24" eb="25">
      <t>トウ</t>
    </rPh>
    <rPh sb="44" eb="45">
      <t>ネン</t>
    </rPh>
    <rPh sb="45" eb="47">
      <t>レンゾク</t>
    </rPh>
    <rPh sb="77" eb="79">
      <t>チホウ</t>
    </rPh>
    <rPh sb="79" eb="82">
      <t>コウフゼイ</t>
    </rPh>
    <rPh sb="83" eb="85">
      <t>リンジ</t>
    </rPh>
    <rPh sb="85" eb="87">
      <t>ザイセイ</t>
    </rPh>
    <rPh sb="87" eb="89">
      <t>タイサク</t>
    </rPh>
    <rPh sb="89" eb="90">
      <t>サイ</t>
    </rPh>
    <rPh sb="91" eb="92">
      <t>ゲン</t>
    </rPh>
    <rPh sb="114" eb="115">
      <t>トモナ</t>
    </rPh>
    <rPh sb="116" eb="118">
      <t>シュウケツ</t>
    </rPh>
    <rPh sb="118" eb="120">
      <t>ショリ</t>
    </rPh>
    <rPh sb="121" eb="122">
      <t>カカ</t>
    </rPh>
    <rPh sb="130" eb="132">
      <t>クリイレ</t>
    </rPh>
    <rPh sb="132" eb="133">
      <t>キン</t>
    </rPh>
    <phoneticPr fontId="9"/>
  </si>
  <si>
    <r>
      <t>・その結果、実質収支は</t>
    </r>
    <r>
      <rPr>
        <sz val="12"/>
        <rFont val="HGS創英角ﾎﾟｯﾌﾟ体"/>
        <family val="3"/>
        <charset val="128"/>
      </rPr>
      <t>４億円の黒字</t>
    </r>
    <r>
      <rPr>
        <sz val="11"/>
        <rFont val="HG丸ｺﾞｼｯｸM-PRO"/>
        <family val="3"/>
        <charset val="128"/>
      </rPr>
      <t>となり、</t>
    </r>
    <r>
      <rPr>
        <sz val="12"/>
        <rFont val="HGP創英角ﾎﾟｯﾌﾟ体"/>
        <family val="3"/>
        <charset val="128"/>
      </rPr>
      <t>平成元年度決算から30年連続で黒字</t>
    </r>
    <r>
      <rPr>
        <sz val="11"/>
        <rFont val="HG丸ｺﾞｼｯｸM-PRO"/>
        <family val="3"/>
        <charset val="128"/>
      </rPr>
      <t xml:space="preserve">
　を維持できている。</t>
    </r>
    <rPh sb="3" eb="5">
      <t>ケッカ</t>
    </rPh>
    <rPh sb="6" eb="8">
      <t>ジッシツ</t>
    </rPh>
    <rPh sb="8" eb="10">
      <t>シュウシ</t>
    </rPh>
    <rPh sb="13" eb="14">
      <t>エン</t>
    </rPh>
    <rPh sb="15" eb="17">
      <t>クロジ</t>
    </rPh>
    <rPh sb="41" eb="43">
      <t>イジ</t>
    </rPh>
    <phoneticPr fontId="19"/>
  </si>
  <si>
    <r>
      <t>　</t>
    </r>
    <r>
      <rPr>
        <sz val="11"/>
        <rFont val="HGP創英角ﾎﾟｯﾌﾟ体"/>
        <family val="3"/>
        <charset val="128"/>
      </rPr>
      <t xml:space="preserve"> </t>
    </r>
    <r>
      <rPr>
        <sz val="11"/>
        <rFont val="HG丸ｺﾞｼｯｸM-PRO"/>
        <family val="3"/>
        <charset val="128"/>
      </rPr>
      <t>・地方税が増となる一方で、譲与税・交付金や地方交付税・臨時財政対策債が減となる
　　</t>
    </r>
    <r>
      <rPr>
        <sz val="11"/>
        <rFont val="HGP創英角ﾎﾟｯﾌﾟ体"/>
        <family val="3"/>
        <charset val="128"/>
      </rPr>
      <t xml:space="preserve"> </t>
    </r>
    <r>
      <rPr>
        <sz val="11"/>
        <rFont val="HG丸ｺﾞｼｯｸM-PRO"/>
        <family val="3"/>
        <charset val="128"/>
      </rPr>
      <t xml:space="preserve">など、一般財源総額が概ね横ばいとなる中、
</t>
    </r>
    <r>
      <rPr>
        <sz val="11"/>
        <rFont val="HGP創英角ﾎﾟｯﾌﾟ体"/>
        <family val="3"/>
        <charset val="128"/>
      </rPr>
      <t xml:space="preserve">    </t>
    </r>
    <r>
      <rPr>
        <sz val="11"/>
        <rFont val="HG丸ｺﾞｼｯｸM-PRO"/>
        <family val="3"/>
        <charset val="128"/>
      </rPr>
      <t>・経常的な公債費が減（※）となったことなどにより、
　</t>
    </r>
    <r>
      <rPr>
        <sz val="11"/>
        <rFont val="HGP創英角ﾎﾟｯﾌﾟ体"/>
        <family val="3"/>
        <charset val="128"/>
      </rPr>
      <t xml:space="preserve"> </t>
    </r>
    <r>
      <rPr>
        <sz val="11"/>
        <rFont val="HG丸ｺﾞｼｯｸM-PRO"/>
        <family val="3"/>
        <charset val="128"/>
      </rPr>
      <t>・前年度決算と比較して</t>
    </r>
    <r>
      <rPr>
        <sz val="11"/>
        <rFont val="HGP創英角ﾎﾟｯﾌﾟ体"/>
        <family val="3"/>
        <charset val="128"/>
      </rPr>
      <t>△</t>
    </r>
    <r>
      <rPr>
        <sz val="12"/>
        <rFont val="HGP創英角ﾎﾟｯﾌﾟ体"/>
        <family val="3"/>
        <charset val="128"/>
      </rPr>
      <t>1.4ポイント好転</t>
    </r>
    <r>
      <rPr>
        <sz val="11"/>
        <rFont val="HG丸ｺﾞｼｯｸM-PRO"/>
        <family val="3"/>
        <charset val="128"/>
      </rPr>
      <t>し、</t>
    </r>
    <r>
      <rPr>
        <sz val="12"/>
        <rFont val="HGP創英角ﾎﾟｯﾌﾟ体"/>
        <family val="3"/>
        <charset val="128"/>
      </rPr>
      <t>96.9％</t>
    </r>
    <r>
      <rPr>
        <sz val="11"/>
        <rFont val="HG丸ｺﾞｼｯｸM-PRO"/>
        <family val="3"/>
        <charset val="128"/>
      </rPr>
      <t xml:space="preserve">となっている。
</t>
    </r>
    <rPh sb="3" eb="6">
      <t>チホウゼイ</t>
    </rPh>
    <rPh sb="7" eb="8">
      <t>ゾウ</t>
    </rPh>
    <rPh sb="11" eb="13">
      <t>イッポウ</t>
    </rPh>
    <rPh sb="15" eb="17">
      <t>ジョウヨ</t>
    </rPh>
    <rPh sb="17" eb="18">
      <t>ゼイ</t>
    </rPh>
    <rPh sb="19" eb="22">
      <t>コウフキン</t>
    </rPh>
    <rPh sb="23" eb="25">
      <t>チホウ</t>
    </rPh>
    <rPh sb="25" eb="28">
      <t>コウフゼイ</t>
    </rPh>
    <rPh sb="29" eb="31">
      <t>リンジ</t>
    </rPh>
    <rPh sb="31" eb="33">
      <t>ザイセイ</t>
    </rPh>
    <rPh sb="33" eb="35">
      <t>タイサク</t>
    </rPh>
    <rPh sb="35" eb="36">
      <t>サイ</t>
    </rPh>
    <rPh sb="37" eb="38">
      <t>ゲン</t>
    </rPh>
    <rPh sb="48" eb="50">
      <t>イッパン</t>
    </rPh>
    <rPh sb="50" eb="52">
      <t>ザイゲン</t>
    </rPh>
    <rPh sb="52" eb="54">
      <t>ソウガク</t>
    </rPh>
    <rPh sb="55" eb="56">
      <t>オオム</t>
    </rPh>
    <rPh sb="63" eb="64">
      <t>ナカ</t>
    </rPh>
    <rPh sb="71" eb="74">
      <t>ケイジョウテキ</t>
    </rPh>
    <rPh sb="99" eb="102">
      <t>ゼンネンド</t>
    </rPh>
    <rPh sb="102" eb="104">
      <t>ケッサン</t>
    </rPh>
    <rPh sb="105" eb="107">
      <t>ヒカク</t>
    </rPh>
    <phoneticPr fontId="19"/>
  </si>
  <si>
    <r>
      <t>・市債発行をこの間極力抑制してきた結果、
・</t>
    </r>
    <r>
      <rPr>
        <sz val="12"/>
        <rFont val="HGP創英角ﾎﾟｯﾌﾟ体"/>
        <family val="3"/>
        <charset val="128"/>
      </rPr>
      <t>13</t>
    </r>
    <r>
      <rPr>
        <sz val="12"/>
        <rFont val="HGS創英角ﾎﾟｯﾌﾟ体"/>
        <family val="3"/>
        <charset val="128"/>
      </rPr>
      <t>年連続で減少</t>
    </r>
    <r>
      <rPr>
        <sz val="11"/>
        <rFont val="HG丸ｺﾞｼｯｸM-PRO"/>
        <family val="3"/>
        <charset val="128"/>
      </rPr>
      <t>（△1,635億円、△7.9％）し、
・</t>
    </r>
    <r>
      <rPr>
        <sz val="12"/>
        <rFont val="HGS創英角ﾎﾟｯﾌﾟ体"/>
        <family val="3"/>
        <charset val="128"/>
      </rPr>
      <t>平成30年度末で１兆9,063億円</t>
    </r>
    <r>
      <rPr>
        <sz val="11"/>
        <rFont val="HG丸ｺﾞｼｯｸM-PRO"/>
        <family val="3"/>
        <charset val="128"/>
      </rPr>
      <t>となっている。
・なお、全会計ベースでは平成30年度末で3兆5,595億円となっている。</t>
    </r>
    <rPh sb="24" eb="25">
      <t>ネン</t>
    </rPh>
    <rPh sb="25" eb="27">
      <t>レンゾク</t>
    </rPh>
    <rPh sb="28" eb="30">
      <t>ゲンショウ</t>
    </rPh>
    <rPh sb="37" eb="39">
      <t>オクエン</t>
    </rPh>
    <rPh sb="50" eb="52">
      <t>ヘイセイ</t>
    </rPh>
    <rPh sb="54" eb="56">
      <t>ネンド</t>
    </rPh>
    <rPh sb="56" eb="57">
      <t>マツ</t>
    </rPh>
    <rPh sb="59" eb="60">
      <t>チョウ</t>
    </rPh>
    <rPh sb="65" eb="67">
      <t>オクエン</t>
    </rPh>
    <rPh sb="79" eb="80">
      <t>ゼン</t>
    </rPh>
    <rPh sb="80" eb="82">
      <t>カイケイ</t>
    </rPh>
    <rPh sb="87" eb="89">
      <t>ヘイセイ</t>
    </rPh>
    <rPh sb="91" eb="93">
      <t>ネンド</t>
    </rPh>
    <rPh sb="93" eb="94">
      <t>マツ</t>
    </rPh>
    <rPh sb="96" eb="97">
      <t>チョウ</t>
    </rPh>
    <rPh sb="102" eb="104">
      <t>オクエン</t>
    </rPh>
    <phoneticPr fontId="19"/>
  </si>
  <si>
    <t>　　（＋64億円、＋8.0％）、教育・保育給付費（＋49億円、＋7.7％）の増などによる扶助費の増</t>
    <phoneticPr fontId="9"/>
  </si>
  <si>
    <t>　　（＋10億円、＋0.2％）に加え、交通事業の民営化に伴う終結処理に係る市債の繰上償還により</t>
    <rPh sb="16" eb="17">
      <t>クワ</t>
    </rPh>
    <rPh sb="19" eb="21">
      <t>コウツウ</t>
    </rPh>
    <rPh sb="21" eb="23">
      <t>ジギョウ</t>
    </rPh>
    <rPh sb="24" eb="27">
      <t>ミンエイカ</t>
    </rPh>
    <rPh sb="28" eb="29">
      <t>トモナ</t>
    </rPh>
    <rPh sb="30" eb="32">
      <t>シュウケツ</t>
    </rPh>
    <rPh sb="32" eb="34">
      <t>ショリ</t>
    </rPh>
    <rPh sb="35" eb="36">
      <t>カカ</t>
    </rPh>
    <rPh sb="37" eb="39">
      <t>シサイ</t>
    </rPh>
    <phoneticPr fontId="19"/>
  </si>
  <si>
    <t>　　　台風21号の被害復旧に伴う災害復旧事業費の増（＋32億円、皆増）や中学校給食事業の増</t>
    <rPh sb="3" eb="5">
      <t>タイフウ</t>
    </rPh>
    <rPh sb="7" eb="8">
      <t>ゴウ</t>
    </rPh>
    <rPh sb="9" eb="11">
      <t>ヒガイ</t>
    </rPh>
    <rPh sb="11" eb="13">
      <t>フッキュウ</t>
    </rPh>
    <rPh sb="14" eb="15">
      <t>トモナ</t>
    </rPh>
    <rPh sb="16" eb="18">
      <t>サイガイ</t>
    </rPh>
    <phoneticPr fontId="9"/>
  </si>
  <si>
    <r>
      <t>　　４億円の黒字となり、</t>
    </r>
    <r>
      <rPr>
        <sz val="12"/>
        <rFont val="HGP創英角ﾎﾟｯﾌﾟ体"/>
        <family val="3"/>
        <charset val="128"/>
      </rPr>
      <t>平成元年度決算から30年連続で黒字</t>
    </r>
    <r>
      <rPr>
        <sz val="11"/>
        <rFont val="HG丸ｺﾞｼｯｸM-PRO"/>
        <family val="3"/>
        <charset val="128"/>
      </rPr>
      <t>を維持できている。</t>
    </r>
    <rPh sb="6" eb="8">
      <t>クロジ</t>
    </rPh>
    <rPh sb="30" eb="32">
      <t>イジ</t>
    </rPh>
    <phoneticPr fontId="19"/>
  </si>
  <si>
    <r>
      <t>　</t>
    </r>
    <r>
      <rPr>
        <sz val="11"/>
        <rFont val="HGP創英角ﾎﾟｯﾌﾟ体"/>
        <family val="3"/>
        <charset val="128"/>
      </rPr>
      <t>△1.4ポイント好転し、96.9％</t>
    </r>
    <r>
      <rPr>
        <sz val="11"/>
        <rFont val="HG丸ｺﾞｼｯｸM-PRO"/>
        <family val="3"/>
        <charset val="128"/>
      </rPr>
      <t>となっている。</t>
    </r>
    <phoneticPr fontId="9"/>
  </si>
  <si>
    <r>
      <t>　　市債発行をこの間極力抑制してきた結果、</t>
    </r>
    <r>
      <rPr>
        <sz val="11"/>
        <rFont val="HGP創英角ﾎﾟｯﾌﾟ体"/>
        <family val="3"/>
        <charset val="128"/>
      </rPr>
      <t>13年連続で減少</t>
    </r>
    <r>
      <rPr>
        <sz val="11"/>
        <rFont val="HG丸ｺﾞｼｯｸM-PRO"/>
        <family val="3"/>
        <charset val="128"/>
      </rPr>
      <t>（△1,635億円、△7.9％）し、</t>
    </r>
    <rPh sb="2" eb="4">
      <t>シサイ</t>
    </rPh>
    <rPh sb="4" eb="6">
      <t>ハッコウ</t>
    </rPh>
    <rPh sb="9" eb="10">
      <t>カン</t>
    </rPh>
    <rPh sb="10" eb="12">
      <t>キョクリョク</t>
    </rPh>
    <rPh sb="12" eb="14">
      <t>ヨクセイ</t>
    </rPh>
    <rPh sb="18" eb="20">
      <t>ケッカ</t>
    </rPh>
    <rPh sb="23" eb="24">
      <t>ネン</t>
    </rPh>
    <rPh sb="24" eb="26">
      <t>レンゾク</t>
    </rPh>
    <rPh sb="27" eb="29">
      <t>ゲンショウ</t>
    </rPh>
    <rPh sb="36" eb="38">
      <t>オクエン</t>
    </rPh>
    <phoneticPr fontId="19"/>
  </si>
  <si>
    <t>　　　</t>
    <phoneticPr fontId="19"/>
  </si>
  <si>
    <t>　　となっているほか、阿倍野再開発事業に係る公債費負担の平準化のための市街地再開発事業への繰出</t>
    <phoneticPr fontId="19"/>
  </si>
  <si>
    <t>　　（＋130億円、皆増）などによる繰出金の増（＋101億円、＋7.8％）などもあり、全体で</t>
    <phoneticPr fontId="9"/>
  </si>
  <si>
    <t>　　　交通事業の民営化に伴う終結処理に係る影響として、29年度に行った交通政策基金への積立が減</t>
    <rPh sb="12" eb="13">
      <t>トモナ</t>
    </rPh>
    <rPh sb="14" eb="16">
      <t>シュウケツ</t>
    </rPh>
    <rPh sb="16" eb="18">
      <t>ショリ</t>
    </rPh>
    <rPh sb="19" eb="20">
      <t>カカ</t>
    </rPh>
    <rPh sb="21" eb="23">
      <t>エイキョウ</t>
    </rPh>
    <rPh sb="29" eb="31">
      <t>ネンド</t>
    </rPh>
    <rPh sb="32" eb="33">
      <t>オコナ</t>
    </rPh>
    <phoneticPr fontId="9"/>
  </si>
  <si>
    <t>　　となったことなどにより、積立金が減（△392億円、△85.6％）となっているものの、市債の繰上</t>
    <phoneticPr fontId="9"/>
  </si>
  <si>
    <t>　　償還に係る交通事業からの繰入金に対する返還などにより、補助費等が増（＋80億円、＋6.9％）</t>
    <rPh sb="5" eb="6">
      <t>カカ</t>
    </rPh>
    <rPh sb="14" eb="16">
      <t>クリイレ</t>
    </rPh>
    <rPh sb="16" eb="17">
      <t>キン</t>
    </rPh>
    <rPh sb="18" eb="19">
      <t>タイ</t>
    </rPh>
    <rPh sb="21" eb="23">
      <t>ヘンカン</t>
    </rPh>
    <phoneticPr fontId="19"/>
  </si>
  <si>
    <t>交通事業の民営化に伴う終結処理に係る</t>
    <rPh sb="0" eb="2">
      <t>コウツウ</t>
    </rPh>
    <rPh sb="2" eb="4">
      <t>ジギョウ</t>
    </rPh>
    <rPh sb="5" eb="8">
      <t>ミンエイカ</t>
    </rPh>
    <rPh sb="9" eb="10">
      <t>トモナ</t>
    </rPh>
    <rPh sb="11" eb="13">
      <t>シュウケツ</t>
    </rPh>
    <rPh sb="13" eb="15">
      <t>ショリ</t>
    </rPh>
    <rPh sb="16" eb="17">
      <t>カカ</t>
    </rPh>
    <phoneticPr fontId="78"/>
  </si>
  <si>
    <t>普通会計決算上の影響について</t>
    <phoneticPr fontId="78"/>
  </si>
  <si>
    <t>本市では、平成30年4月1日に交通事業（高速鉄道事業・自動車運送事業）を民営化しました。</t>
    <rPh sb="0" eb="1">
      <t>ホン</t>
    </rPh>
    <rPh sb="1" eb="2">
      <t>シ</t>
    </rPh>
    <rPh sb="5" eb="7">
      <t>ヘイセイ</t>
    </rPh>
    <rPh sb="9" eb="10">
      <t>ネン</t>
    </rPh>
    <rPh sb="11" eb="12">
      <t>ガツ</t>
    </rPh>
    <rPh sb="12" eb="14">
      <t>ツイタチ</t>
    </rPh>
    <rPh sb="15" eb="17">
      <t>コウツウ</t>
    </rPh>
    <rPh sb="17" eb="19">
      <t>ジギョウ</t>
    </rPh>
    <rPh sb="20" eb="22">
      <t>コウソク</t>
    </rPh>
    <rPh sb="22" eb="24">
      <t>テツドウ</t>
    </rPh>
    <rPh sb="24" eb="26">
      <t>ジギョウ</t>
    </rPh>
    <rPh sb="27" eb="30">
      <t>ジドウシャ</t>
    </rPh>
    <rPh sb="30" eb="32">
      <t>ウンソウ</t>
    </rPh>
    <rPh sb="32" eb="34">
      <t>ジギョウ</t>
    </rPh>
    <rPh sb="36" eb="39">
      <t>ミンエイカ</t>
    </rPh>
    <phoneticPr fontId="78"/>
  </si>
  <si>
    <t>これに伴う終結処理のうち市債の繰上償還については、普通会計と本市一般会計で計上ルール</t>
    <rPh sb="3" eb="4">
      <t>トモナ</t>
    </rPh>
    <rPh sb="5" eb="7">
      <t>シュウケツ</t>
    </rPh>
    <rPh sb="7" eb="9">
      <t>ショリ</t>
    </rPh>
    <rPh sb="25" eb="27">
      <t>フツウ</t>
    </rPh>
    <rPh sb="27" eb="29">
      <t>カイケイ</t>
    </rPh>
    <rPh sb="30" eb="31">
      <t>ホン</t>
    </rPh>
    <rPh sb="31" eb="32">
      <t>シ</t>
    </rPh>
    <rPh sb="32" eb="34">
      <t>イッパン</t>
    </rPh>
    <rPh sb="34" eb="36">
      <t>カイケイ</t>
    </rPh>
    <rPh sb="37" eb="39">
      <t>ケイジョウ</t>
    </rPh>
    <phoneticPr fontId="78"/>
  </si>
  <si>
    <t>に違いがあります。</t>
    <phoneticPr fontId="78"/>
  </si>
  <si>
    <t>【終結処理のうち、一般会計では計上せず普通会計では計上されるもの】</t>
    <rPh sb="9" eb="11">
      <t>イッパン</t>
    </rPh>
    <rPh sb="11" eb="13">
      <t>カイケイ</t>
    </rPh>
    <rPh sb="15" eb="17">
      <t>ケイジョウ</t>
    </rPh>
    <rPh sb="19" eb="21">
      <t>フツウ</t>
    </rPh>
    <rPh sb="21" eb="23">
      <t>カイケイ</t>
    </rPh>
    <rPh sb="25" eb="27">
      <t>ケイジョウ</t>
    </rPh>
    <phoneticPr fontId="78"/>
  </si>
  <si>
    <t>項　　　目</t>
    <rPh sb="0" eb="1">
      <t>コウ</t>
    </rPh>
    <rPh sb="4" eb="5">
      <t>メ</t>
    </rPh>
    <phoneticPr fontId="78"/>
  </si>
  <si>
    <t>金額（百万円）</t>
    <rPh sb="0" eb="1">
      <t>キン</t>
    </rPh>
    <rPh sb="1" eb="2">
      <t>ガク</t>
    </rPh>
    <rPh sb="3" eb="6">
      <t>ヒャクマンエン</t>
    </rPh>
    <phoneticPr fontId="78"/>
  </si>
  <si>
    <t>歳 出</t>
    <rPh sb="0" eb="1">
      <t>トシ</t>
    </rPh>
    <rPh sb="2" eb="3">
      <t>デ</t>
    </rPh>
    <phoneticPr fontId="78"/>
  </si>
  <si>
    <t>一般会計出資債・補助金債の繰上償還</t>
    <phoneticPr fontId="78"/>
  </si>
  <si>
    <t>歳 入</t>
    <rPh sb="0" eb="1">
      <t>トシ</t>
    </rPh>
    <rPh sb="2" eb="3">
      <t>ニュウ</t>
    </rPh>
    <phoneticPr fontId="78"/>
  </si>
  <si>
    <t>交通事業からの繰入金（上記繰上償還の財源）</t>
    <rPh sb="0" eb="2">
      <t>コウツウ</t>
    </rPh>
    <rPh sb="2" eb="4">
      <t>ジギョウ</t>
    </rPh>
    <rPh sb="7" eb="9">
      <t>クリイレ</t>
    </rPh>
    <rPh sb="9" eb="10">
      <t>キン</t>
    </rPh>
    <phoneticPr fontId="78"/>
  </si>
  <si>
    <t>減債基金の取崩し（　　　　〃　　　　）</t>
    <rPh sb="0" eb="2">
      <t>ゲンサイ</t>
    </rPh>
    <rPh sb="2" eb="4">
      <t>キキン</t>
    </rPh>
    <rPh sb="5" eb="7">
      <t>トリクズ</t>
    </rPh>
    <phoneticPr fontId="78"/>
  </si>
  <si>
    <r>
      <t>注）上記の歳出・歳入については、本市では公債関係を一括経理している公債費会計で</t>
    </r>
    <r>
      <rPr>
        <u val="double"/>
        <sz val="15"/>
        <color theme="1"/>
        <rFont val="HG丸ｺﾞｼｯｸM-PRO"/>
        <family val="3"/>
        <charset val="128"/>
      </rPr>
      <t/>
    </r>
    <rPh sb="0" eb="1">
      <t>チュウ</t>
    </rPh>
    <rPh sb="2" eb="4">
      <t>ジョウキ</t>
    </rPh>
    <rPh sb="5" eb="7">
      <t>サイシュツ</t>
    </rPh>
    <rPh sb="8" eb="10">
      <t>サイニュウ</t>
    </rPh>
    <rPh sb="16" eb="18">
      <t>ホンシ</t>
    </rPh>
    <rPh sb="20" eb="22">
      <t>コウサイ</t>
    </rPh>
    <rPh sb="22" eb="24">
      <t>カンケイ</t>
    </rPh>
    <rPh sb="25" eb="27">
      <t>イッカツ</t>
    </rPh>
    <rPh sb="27" eb="29">
      <t>ケイリ</t>
    </rPh>
    <rPh sb="33" eb="36">
      <t>コウサイヒ</t>
    </rPh>
    <rPh sb="36" eb="38">
      <t>カイケイ</t>
    </rPh>
    <phoneticPr fontId="78"/>
  </si>
  <si>
    <t>　　計上しています。</t>
    <rPh sb="2" eb="4">
      <t>ケイジョウ</t>
    </rPh>
    <phoneticPr fontId="78"/>
  </si>
  <si>
    <t>これら普通会計特有の計上ルールによるものを除くと、実質的な歳入・歳出総額は以下のとおり</t>
    <rPh sb="3" eb="5">
      <t>フツウ</t>
    </rPh>
    <rPh sb="5" eb="7">
      <t>カイケイ</t>
    </rPh>
    <rPh sb="7" eb="9">
      <t>トクユウ</t>
    </rPh>
    <rPh sb="10" eb="12">
      <t>ケイジョウ</t>
    </rPh>
    <phoneticPr fontId="78"/>
  </si>
  <si>
    <t>となり、決算の基調は一般会計と概ね同様となっています。</t>
    <phoneticPr fontId="78"/>
  </si>
  <si>
    <t>○普通会計</t>
    <rPh sb="1" eb="3">
      <t>フツウ</t>
    </rPh>
    <rPh sb="3" eb="5">
      <t>カイケイ</t>
    </rPh>
    <phoneticPr fontId="9"/>
  </si>
  <si>
    <t>（単位：百万円・％）</t>
    <phoneticPr fontId="9"/>
  </si>
  <si>
    <t>歳出総額</t>
    <phoneticPr fontId="9"/>
  </si>
  <si>
    <r>
      <t>○普通会計</t>
    </r>
    <r>
      <rPr>
        <sz val="11"/>
        <rFont val="HGP創英角ﾎﾟｯﾌﾟ体"/>
        <family val="3"/>
        <charset val="128"/>
      </rPr>
      <t>（終結処理に係る普通会計特有の計上ルールによるものを除く）</t>
    </r>
    <rPh sb="1" eb="3">
      <t>フツウ</t>
    </rPh>
    <rPh sb="3" eb="5">
      <t>カイケイ</t>
    </rPh>
    <rPh sb="6" eb="8">
      <t>シュウケツ</t>
    </rPh>
    <rPh sb="8" eb="10">
      <t>ショリ</t>
    </rPh>
    <rPh sb="11" eb="12">
      <t>カカ</t>
    </rPh>
    <rPh sb="13" eb="15">
      <t>フツウ</t>
    </rPh>
    <rPh sb="15" eb="17">
      <t>カイケイ</t>
    </rPh>
    <rPh sb="17" eb="19">
      <t>トクユウ</t>
    </rPh>
    <rPh sb="20" eb="22">
      <t>ケイジョウ</t>
    </rPh>
    <rPh sb="31" eb="32">
      <t>ノゾ</t>
    </rPh>
    <phoneticPr fontId="9"/>
  </si>
  <si>
    <t>歳入総額</t>
    <phoneticPr fontId="9"/>
  </si>
  <si>
    <t>○一般会計（参考）</t>
    <rPh sb="1" eb="3">
      <t>イッパン</t>
    </rPh>
    <rPh sb="3" eb="5">
      <t>カイケイ</t>
    </rPh>
    <rPh sb="6" eb="8">
      <t>サンコウ</t>
    </rPh>
    <phoneticPr fontId="9"/>
  </si>
  <si>
    <t>－</t>
    <phoneticPr fontId="19"/>
  </si>
  <si>
    <t>※「伸び率」は千円単位の金額により算出。</t>
    <phoneticPr fontId="19"/>
  </si>
  <si>
    <t>※（　）書きは、府費負担教職員制度の見直しに伴う税源移譲の影響を除いた計数を記載している。</t>
    <phoneticPr fontId="19"/>
  </si>
  <si>
    <t>◆</t>
    <phoneticPr fontId="19"/>
  </si>
  <si>
    <r>
      <t>○　</t>
    </r>
    <r>
      <rPr>
        <b/>
        <sz val="12"/>
        <rFont val="ＭＳ 明朝"/>
        <family val="1"/>
        <charset val="128"/>
      </rPr>
      <t/>
    </r>
    <phoneticPr fontId="19"/>
  </si>
  <si>
    <r>
      <t>○　</t>
    </r>
    <r>
      <rPr>
        <b/>
        <sz val="12"/>
        <rFont val="ＭＳ 明朝"/>
        <family val="1"/>
        <charset val="128"/>
      </rPr>
      <t/>
    </r>
    <phoneticPr fontId="19"/>
  </si>
  <si>
    <r>
      <t>○　</t>
    </r>
    <r>
      <rPr>
        <b/>
        <sz val="12"/>
        <rFont val="ＭＳ 明朝"/>
        <family val="1"/>
        <charset val="128"/>
      </rPr>
      <t/>
    </r>
    <phoneticPr fontId="19"/>
  </si>
  <si>
    <t>8年度</t>
    <rPh sb="1" eb="3">
      <t>ネンド</t>
    </rPh>
    <phoneticPr fontId="19"/>
  </si>
  <si>
    <t>20年度</t>
    <rPh sb="2" eb="4">
      <t>ネンド</t>
    </rPh>
    <phoneticPr fontId="90"/>
  </si>
  <si>
    <t>21年度</t>
    <rPh sb="2" eb="4">
      <t>ネンド</t>
    </rPh>
    <phoneticPr fontId="90"/>
  </si>
  <si>
    <t>22年度</t>
    <rPh sb="2" eb="4">
      <t>ネンド</t>
    </rPh>
    <phoneticPr fontId="90"/>
  </si>
  <si>
    <t>27年度</t>
    <rPh sb="2" eb="4">
      <t>ネンド</t>
    </rPh>
    <phoneticPr fontId="90"/>
  </si>
  <si>
    <t>28年度</t>
    <rPh sb="2" eb="4">
      <t>ネンド</t>
    </rPh>
    <phoneticPr fontId="90"/>
  </si>
  <si>
    <t>29年度</t>
    <rPh sb="2" eb="4">
      <t>ネンド</t>
    </rPh>
    <phoneticPr fontId="90"/>
  </si>
  <si>
    <t>30年度
（見込）</t>
    <rPh sb="2" eb="4">
      <t>ネンド</t>
    </rPh>
    <rPh sb="6" eb="8">
      <t>ミコミ</t>
    </rPh>
    <phoneticPr fontId="90"/>
  </si>
  <si>
    <t>固定資産税・都市計画税</t>
    <rPh sb="0" eb="2">
      <t>コテイ</t>
    </rPh>
    <rPh sb="2" eb="5">
      <t>シサンゼイ</t>
    </rPh>
    <rPh sb="6" eb="8">
      <t>トシ</t>
    </rPh>
    <rPh sb="8" eb="10">
      <t>ケイカク</t>
    </rPh>
    <rPh sb="10" eb="11">
      <t>ゼイ</t>
    </rPh>
    <phoneticPr fontId="19"/>
  </si>
  <si>
    <t>その他の税</t>
    <rPh sb="2" eb="3">
      <t>タ</t>
    </rPh>
    <rPh sb="4" eb="5">
      <t>ゼイ</t>
    </rPh>
    <phoneticPr fontId="19"/>
  </si>
  <si>
    <t>※　H28決算以降は、計に合わせた端数調整を行わないこととしたため、四捨五入の関係で合計が一致しない場合がある。</t>
    <rPh sb="5" eb="7">
      <t>ケッサン</t>
    </rPh>
    <rPh sb="7" eb="9">
      <t>イコウ</t>
    </rPh>
    <rPh sb="11" eb="12">
      <t>ケイ</t>
    </rPh>
    <rPh sb="13" eb="14">
      <t>ア</t>
    </rPh>
    <rPh sb="17" eb="19">
      <t>ハスウ</t>
    </rPh>
    <rPh sb="19" eb="21">
      <t>チョウセイ</t>
    </rPh>
    <rPh sb="22" eb="23">
      <t>オコナ</t>
    </rPh>
    <phoneticPr fontId="19"/>
  </si>
  <si>
    <t>収納率</t>
    <rPh sb="0" eb="2">
      <t>シュウノウ</t>
    </rPh>
    <rPh sb="2" eb="3">
      <t>リツ</t>
    </rPh>
    <phoneticPr fontId="19"/>
  </si>
  <si>
    <t>うち現年課税分</t>
    <rPh sb="2" eb="3">
      <t>ゲン</t>
    </rPh>
    <rPh sb="3" eb="4">
      <t>ネン</t>
    </rPh>
    <rPh sb="4" eb="6">
      <t>カゼイ</t>
    </rPh>
    <rPh sb="6" eb="7">
      <t>ブン</t>
    </rPh>
    <phoneticPr fontId="19"/>
  </si>
  <si>
    <t>26年度</t>
    <rPh sb="2" eb="4">
      <t>ネンド</t>
    </rPh>
    <phoneticPr fontId="19"/>
  </si>
  <si>
    <t>27年度</t>
    <rPh sb="2" eb="4">
      <t>ネンド</t>
    </rPh>
    <phoneticPr fontId="19"/>
  </si>
  <si>
    <t>28年度</t>
    <rPh sb="2" eb="4">
      <t>ネンド</t>
    </rPh>
    <phoneticPr fontId="19"/>
  </si>
  <si>
    <t>30年度（見込）</t>
    <rPh sb="2" eb="4">
      <t>ネンド</t>
    </rPh>
    <rPh sb="5" eb="7">
      <t>ミコミ</t>
    </rPh>
    <phoneticPr fontId="19"/>
  </si>
  <si>
    <t>24年度</t>
    <rPh sb="2" eb="4">
      <t>ネンド</t>
    </rPh>
    <phoneticPr fontId="19"/>
  </si>
  <si>
    <t>25年度</t>
    <rPh sb="2" eb="4">
      <t>ネンド</t>
    </rPh>
    <phoneticPr fontId="19"/>
  </si>
  <si>
    <t>市税総額の未収金</t>
    <rPh sb="0" eb="2">
      <t>シゼイ</t>
    </rPh>
    <rPh sb="2" eb="4">
      <t>ソウガク</t>
    </rPh>
    <rPh sb="5" eb="8">
      <t>ミシュウキン</t>
    </rPh>
    <phoneticPr fontId="19"/>
  </si>
  <si>
    <t>現年課税分の未収金</t>
    <rPh sb="0" eb="1">
      <t>ゲン</t>
    </rPh>
    <rPh sb="1" eb="2">
      <t>ネン</t>
    </rPh>
    <rPh sb="2" eb="4">
      <t>カゼイ</t>
    </rPh>
    <rPh sb="4" eb="5">
      <t>ブン</t>
    </rPh>
    <rPh sb="6" eb="8">
      <t>ミシュウ</t>
    </rPh>
    <rPh sb="8" eb="9">
      <t>キン</t>
    </rPh>
    <phoneticPr fontId="19"/>
  </si>
  <si>
    <t>滞納繰越分の未収金</t>
    <rPh sb="0" eb="2">
      <t>タイノウ</t>
    </rPh>
    <rPh sb="2" eb="4">
      <t>クリコシ</t>
    </rPh>
    <rPh sb="4" eb="5">
      <t>ブン</t>
    </rPh>
    <rPh sb="6" eb="8">
      <t>ミシュウ</t>
    </rPh>
    <rPh sb="8" eb="9">
      <t>キン</t>
    </rPh>
    <phoneticPr fontId="19"/>
  </si>
  <si>
    <t>現年課税分の収納率</t>
    <rPh sb="0" eb="1">
      <t>ゲン</t>
    </rPh>
    <rPh sb="1" eb="2">
      <t>ネン</t>
    </rPh>
    <rPh sb="2" eb="4">
      <t>カゼイ</t>
    </rPh>
    <rPh sb="4" eb="5">
      <t>ブン</t>
    </rPh>
    <rPh sb="6" eb="8">
      <t>シュウノウ</t>
    </rPh>
    <rPh sb="8" eb="9">
      <t>リツ</t>
    </rPh>
    <phoneticPr fontId="19"/>
  </si>
  <si>
    <t>市税総額の収納率</t>
    <rPh sb="0" eb="2">
      <t>シゼイ</t>
    </rPh>
    <rPh sb="2" eb="4">
      <t>ソウガク</t>
    </rPh>
    <rPh sb="5" eb="7">
      <t>シュウノウ</t>
    </rPh>
    <rPh sb="7" eb="8">
      <t>リツ</t>
    </rPh>
    <phoneticPr fontId="19"/>
  </si>
  <si>
    <t>※すべて手入力</t>
    <rPh sb="4" eb="5">
      <t>テ</t>
    </rPh>
    <rPh sb="5" eb="7">
      <t>ニュウリョク</t>
    </rPh>
    <phoneticPr fontId="9"/>
  </si>
  <si>
    <t>課税年度</t>
    <rPh sb="0" eb="2">
      <t>カゼイ</t>
    </rPh>
    <rPh sb="2" eb="4">
      <t>ネンド</t>
    </rPh>
    <phoneticPr fontId="19"/>
  </si>
  <si>
    <t>繰越 １年目</t>
    <rPh sb="0" eb="2">
      <t>クリコシ</t>
    </rPh>
    <rPh sb="4" eb="6">
      <t>ネンメ</t>
    </rPh>
    <phoneticPr fontId="19"/>
  </si>
  <si>
    <t>繰越 ２年目</t>
    <rPh sb="0" eb="2">
      <t>クリコシ</t>
    </rPh>
    <rPh sb="4" eb="6">
      <t>ネンメ</t>
    </rPh>
    <phoneticPr fontId="19"/>
  </si>
  <si>
    <t>繰越 ３年目</t>
    <rPh sb="0" eb="2">
      <t>クリコシ</t>
    </rPh>
    <rPh sb="4" eb="6">
      <t>ネンメ</t>
    </rPh>
    <phoneticPr fontId="19"/>
  </si>
  <si>
    <t>繰越 ４年目</t>
    <rPh sb="0" eb="2">
      <t>クリコシ</t>
    </rPh>
    <rPh sb="4" eb="6">
      <t>ネンメ</t>
    </rPh>
    <phoneticPr fontId="19"/>
  </si>
  <si>
    <t>合計</t>
    <rPh sb="0" eb="2">
      <t>ゴウケイ</t>
    </rPh>
    <phoneticPr fontId="19"/>
  </si>
  <si>
    <t>３年度</t>
    <rPh sb="1" eb="3">
      <t>ネンド</t>
    </rPh>
    <phoneticPr fontId="19"/>
  </si>
  <si>
    <t>４年度</t>
    <rPh sb="1" eb="3">
      <t>ネンド</t>
    </rPh>
    <phoneticPr fontId="19"/>
  </si>
  <si>
    <t>５年度</t>
    <rPh sb="1" eb="3">
      <t>ネンド</t>
    </rPh>
    <phoneticPr fontId="19"/>
  </si>
  <si>
    <t>６年度</t>
    <rPh sb="1" eb="3">
      <t>ネンド</t>
    </rPh>
    <phoneticPr fontId="19"/>
  </si>
  <si>
    <t>７年度</t>
    <rPh sb="1" eb="3">
      <t>ネンド</t>
    </rPh>
    <phoneticPr fontId="19"/>
  </si>
  <si>
    <t>８年度</t>
    <rPh sb="1" eb="3">
      <t>ネンド</t>
    </rPh>
    <phoneticPr fontId="19"/>
  </si>
  <si>
    <t>９年度</t>
    <rPh sb="1" eb="3">
      <t>ネンド</t>
    </rPh>
    <phoneticPr fontId="19"/>
  </si>
  <si>
    <t>１０年度</t>
    <rPh sb="2" eb="4">
      <t>ネンド</t>
    </rPh>
    <phoneticPr fontId="19"/>
  </si>
  <si>
    <t>１１年度</t>
    <rPh sb="2" eb="4">
      <t>ネンド</t>
    </rPh>
    <phoneticPr fontId="19"/>
  </si>
  <si>
    <t>１２年度</t>
    <rPh sb="2" eb="4">
      <t>ネンド</t>
    </rPh>
    <phoneticPr fontId="19"/>
  </si>
  <si>
    <t>１３年度</t>
    <rPh sb="2" eb="4">
      <t>ネンド</t>
    </rPh>
    <phoneticPr fontId="19"/>
  </si>
  <si>
    <t>１４年度</t>
    <rPh sb="2" eb="4">
      <t>ネンド</t>
    </rPh>
    <phoneticPr fontId="19"/>
  </si>
  <si>
    <t>17年度</t>
    <rPh sb="2" eb="4">
      <t>ネンド</t>
    </rPh>
    <phoneticPr fontId="19"/>
  </si>
  <si>
    <t>18年度</t>
    <rPh sb="2" eb="4">
      <t>ネンド</t>
    </rPh>
    <phoneticPr fontId="19"/>
  </si>
  <si>
    <t>19年度</t>
    <rPh sb="2" eb="4">
      <t>ネンド</t>
    </rPh>
    <phoneticPr fontId="19"/>
  </si>
  <si>
    <t>21年度</t>
    <rPh sb="2" eb="4">
      <t>ネンド</t>
    </rPh>
    <phoneticPr fontId="19"/>
  </si>
  <si>
    <t>22年度</t>
    <rPh sb="2" eb="4">
      <t>ネンド</t>
    </rPh>
    <phoneticPr fontId="19"/>
  </si>
  <si>
    <t>23年度</t>
    <rPh sb="2" eb="4">
      <t>ネンド</t>
    </rPh>
    <phoneticPr fontId="19"/>
  </si>
  <si>
    <t>30年度（見込）</t>
    <rPh sb="2" eb="4">
      <t>ネンド</t>
    </rPh>
    <phoneticPr fontId="19"/>
  </si>
  <si>
    <t>※すべて最新年度のシートをみて手入力</t>
    <rPh sb="4" eb="6">
      <t>サイシン</t>
    </rPh>
    <rPh sb="6" eb="7">
      <t>ネン</t>
    </rPh>
    <rPh sb="7" eb="8">
      <t>ド</t>
    </rPh>
    <rPh sb="15" eb="16">
      <t>テ</t>
    </rPh>
    <rPh sb="16" eb="18">
      <t>ニュウリョク</t>
    </rPh>
    <phoneticPr fontId="9"/>
  </si>
  <si>
    <t>説明用資料の数値のリンクが切れているものがあるので、説明用資料の数値についても</t>
    <rPh sb="0" eb="2">
      <t>セツメイ</t>
    </rPh>
    <rPh sb="2" eb="3">
      <t>ヨウ</t>
    </rPh>
    <rPh sb="3" eb="5">
      <t>シリョウ</t>
    </rPh>
    <rPh sb="6" eb="8">
      <t>スウチ</t>
    </rPh>
    <rPh sb="13" eb="14">
      <t>キ</t>
    </rPh>
    <rPh sb="26" eb="29">
      <t>セツメイヨウ</t>
    </rPh>
    <rPh sb="29" eb="31">
      <t>シリョウ</t>
    </rPh>
    <rPh sb="32" eb="34">
      <t>スウチ</t>
    </rPh>
    <phoneticPr fontId="9"/>
  </si>
  <si>
    <t>手打ち修正必要か要確認</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</si>
</sst>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quot;△ &quot;#,##0;&quot;－&quot;"/>
    <numFmt numFmtId="188" formatCode="\(#,##0\)_ "/>
    <numFmt numFmtId="189" formatCode="#,##0_);\(#,##0\)"/>
    <numFmt numFmtId="190" formatCode="&quot;△&quot;\ #,000&quot;億&quot;&quot;円&quot;"/>
    <numFmt numFmtId="191" formatCode="0.0;&quot;△ &quot;0.0"/>
    <numFmt numFmtId="192" formatCode="0.0;&quot;▲ &quot;0.0"/>
    <numFmt numFmtId="193" formatCode="\(#,##0\);\(&quot;▲ &quot;#,##0\)"/>
    <numFmt numFmtId="194" formatCode="\(#,##0\);\(&quot;△ &quot;#,##0\)"/>
    <numFmt numFmtId="195" formatCode="\(0.0\);\(&quot;△ &quot;0.0\)"/>
    <numFmt numFmtId="196" formatCode="0.0%"/>
  </numFmts>
  <fonts count="96">
    <font>
      <sz val="10.5"/>
      <name val="明朝体"/>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
      <name val="明朝"/>
      <family val="1"/>
      <charset val="128"/>
    </font>
    <font>
      <sz val="10.5"/>
      <name val="ＭＳ Ｐゴシック"/>
      <family val="3"/>
      <charset val="128"/>
    </font>
    <font>
      <sz val="11"/>
      <name val="ＭＳ Ｐゴシック"/>
      <family val="3"/>
      <charset val="128"/>
    </font>
    <font>
      <sz val="10.5"/>
      <name val="明朝体"/>
      <family val="3"/>
      <charset val="128"/>
    </font>
    <font>
      <i/>
      <sz val="10"/>
      <name val="ＭＳ Ｐゴシック"/>
      <family val="3"/>
      <charset val="128"/>
    </font>
    <font>
      <sz val="10.5"/>
      <name val="ＭＳ Ｐ明朝"/>
      <family val="1"/>
      <charset val="128"/>
    </font>
    <font>
      <sz val="10"/>
      <name val="ＭＳ Ｐ明朝"/>
      <family val="1"/>
      <charset val="128"/>
    </font>
    <font>
      <sz val="9"/>
      <color indexed="81"/>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10"/>
      <name val="HG丸ｺﾞｼｯｸM-PRO"/>
      <family val="3"/>
      <charset val="128"/>
    </font>
    <font>
      <sz val="9"/>
      <name val="HG丸ｺﾞｼｯｸM-PRO"/>
      <family val="3"/>
      <charset val="128"/>
    </font>
    <font>
      <sz val="10.5"/>
      <name val="HG丸ｺﾞｼｯｸM-PRO"/>
      <family val="3"/>
      <charset val="128"/>
    </font>
    <font>
      <sz val="12"/>
      <name val="HG丸ｺﾞｼｯｸM-PRO"/>
      <family val="3"/>
      <charset val="128"/>
    </font>
    <font>
      <sz val="11"/>
      <name val="HG丸ｺﾞｼｯｸM-PRO"/>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16"/>
      <name val="HG創英角ﾎﾟｯﾌﾟ体"/>
      <family val="3"/>
      <charset val="128"/>
    </font>
    <font>
      <sz val="7"/>
      <name val="ＭＳ Ｐゴシック"/>
      <family val="3"/>
      <charset val="128"/>
    </font>
    <font>
      <sz val="11"/>
      <color rgb="FFFF0000"/>
      <name val="HG創英角ﾎﾟｯﾌﾟ体"/>
      <family val="3"/>
      <charset val="128"/>
    </font>
    <font>
      <sz val="11"/>
      <color theme="1"/>
      <name val="HG丸ｺﾞｼｯｸM-PRO"/>
      <family val="3"/>
      <charset val="128"/>
    </font>
    <font>
      <sz val="8"/>
      <name val="ＭＳ Ｐ明朝"/>
      <family val="1"/>
      <charset val="128"/>
    </font>
    <font>
      <sz val="12"/>
      <name val="明朝"/>
      <family val="1"/>
      <charset val="128"/>
    </font>
    <font>
      <b/>
      <sz val="12"/>
      <color rgb="FFFF0000"/>
      <name val="HG丸ｺﾞｼｯｸM-PRO"/>
      <family val="3"/>
      <charset val="128"/>
    </font>
    <font>
      <sz val="12"/>
      <name val="ＭＳ 明朝"/>
      <family val="1"/>
      <charset val="128"/>
    </font>
    <font>
      <sz val="10"/>
      <color theme="1"/>
      <name val="明朝"/>
      <family val="1"/>
      <charset val="128"/>
    </font>
    <font>
      <sz val="14"/>
      <color theme="1"/>
      <name val="HGP創英角ﾎﾟｯﾌﾟ体"/>
      <family val="3"/>
      <charset val="128"/>
    </font>
    <font>
      <i/>
      <sz val="10"/>
      <color theme="1"/>
      <name val="ＭＳ Ｐゴシック"/>
      <family val="3"/>
      <charset val="128"/>
    </font>
    <font>
      <sz val="10"/>
      <color theme="1"/>
      <name val="HG丸ｺﾞｼｯｸM-PRO"/>
      <family val="3"/>
      <charset val="128"/>
    </font>
    <font>
      <sz val="8"/>
      <color theme="1"/>
      <name val="HG丸ｺﾞｼｯｸM-PRO"/>
      <family val="3"/>
      <charset val="128"/>
    </font>
    <font>
      <b/>
      <sz val="11"/>
      <color theme="1"/>
      <name val="メイリオ"/>
      <family val="3"/>
      <charset val="128"/>
    </font>
    <font>
      <b/>
      <sz val="14"/>
      <name val="ＭＳ 明朝"/>
      <family val="1"/>
      <charset val="128"/>
    </font>
    <font>
      <sz val="20"/>
      <name val="ＭＳ ゴシック"/>
      <family val="3"/>
      <charset val="128"/>
    </font>
    <font>
      <sz val="11"/>
      <name val="ＭＳ 明朝"/>
      <family val="1"/>
      <charset val="128"/>
    </font>
    <font>
      <sz val="10"/>
      <name val="ＭＳ 明朝"/>
      <family val="1"/>
      <charset val="128"/>
    </font>
    <font>
      <sz val="14"/>
      <name val="ＭＳ 明朝"/>
      <family val="1"/>
      <charset val="128"/>
    </font>
    <font>
      <sz val="14"/>
      <color indexed="10"/>
      <name val="ＭＳ 明朝"/>
      <family val="1"/>
      <charset val="128"/>
    </font>
    <font>
      <sz val="10"/>
      <color theme="1"/>
      <name val="ＭＳ 明朝"/>
      <family val="1"/>
      <charset val="128"/>
    </font>
    <font>
      <b/>
      <u/>
      <sz val="14"/>
      <name val="ＭＳ Ｐゴシック"/>
      <family val="3"/>
      <charset val="128"/>
    </font>
    <font>
      <b/>
      <sz val="12"/>
      <name val="ＭＳ ゴシック"/>
      <family val="3"/>
      <charset val="128"/>
    </font>
    <font>
      <b/>
      <sz val="12"/>
      <name val="ＭＳ 明朝"/>
      <family val="1"/>
      <charset val="128"/>
    </font>
    <font>
      <b/>
      <i/>
      <sz val="10"/>
      <name val="ＭＳ 明朝"/>
      <family val="1"/>
      <charset val="128"/>
    </font>
    <font>
      <b/>
      <sz val="11"/>
      <name val="ＭＳ 明朝"/>
      <family val="1"/>
      <charset val="128"/>
    </font>
    <font>
      <sz val="12"/>
      <name val="ＭＳ ゴシック"/>
      <family val="3"/>
      <charset val="128"/>
    </font>
    <font>
      <sz val="8"/>
      <name val="HG丸ｺﾞｼｯｸM-PRO"/>
      <family val="3"/>
      <charset val="128"/>
    </font>
    <font>
      <sz val="11"/>
      <color rgb="FFFF0000"/>
      <name val="HG丸ｺﾞｼｯｸM-PRO"/>
      <family val="3"/>
      <charset val="128"/>
    </font>
    <font>
      <sz val="8"/>
      <name val="ＭＳ 明朝"/>
      <family val="1"/>
      <charset val="128"/>
    </font>
    <font>
      <sz val="8"/>
      <name val="ＭＳ ゴシック"/>
      <family val="3"/>
      <charset val="128"/>
    </font>
    <font>
      <sz val="11"/>
      <color theme="1"/>
      <name val="ＭＳ Ｐゴシック"/>
      <family val="2"/>
      <scheme val="minor"/>
    </font>
    <font>
      <sz val="8"/>
      <name val="明朝体"/>
      <family val="3"/>
      <charset val="128"/>
    </font>
    <font>
      <sz val="14"/>
      <name val="HG丸ｺﾞｼｯｸM-PRO"/>
      <family val="3"/>
      <charset val="128"/>
    </font>
    <font>
      <u/>
      <sz val="20"/>
      <name val="HG丸ｺﾞｼｯｸM-PRO"/>
      <family val="3"/>
      <charset val="128"/>
    </font>
    <font>
      <sz val="20"/>
      <name val="HG丸ｺﾞｼｯｸM-PRO"/>
      <family val="3"/>
      <charset val="128"/>
    </font>
    <font>
      <i/>
      <sz val="14"/>
      <name val="HG丸ｺﾞｼｯｸM-PRO"/>
      <family val="3"/>
      <charset val="128"/>
    </font>
    <font>
      <sz val="14"/>
      <name val="明朝"/>
      <family val="1"/>
      <charset val="128"/>
    </font>
    <font>
      <sz val="14"/>
      <color theme="1"/>
      <name val="HG丸ｺﾞｼｯｸM-PRO"/>
      <family val="3"/>
      <charset val="128"/>
    </font>
    <font>
      <sz val="12"/>
      <name val="明朝体"/>
      <family val="3"/>
      <charset val="128"/>
    </font>
    <font>
      <sz val="12"/>
      <name val="HGS創英角ﾎﾟｯﾌﾟ体"/>
      <family val="3"/>
      <charset val="128"/>
    </font>
    <font>
      <sz val="12"/>
      <name val="HGP創英角ﾎﾟｯﾌﾟ体"/>
      <family val="3"/>
      <charset val="128"/>
    </font>
    <font>
      <sz val="11"/>
      <name val="HGP創英角ﾎﾟｯﾌﾟ体"/>
      <family val="3"/>
      <charset val="128"/>
    </font>
    <font>
      <sz val="11"/>
      <name val="HGS創英角ﾎﾟｯﾌﾟ体"/>
      <family val="3"/>
      <charset val="128"/>
    </font>
    <font>
      <b/>
      <sz val="24"/>
      <color theme="1"/>
      <name val="HG丸ｺﾞｼｯｸM-PRO"/>
      <family val="3"/>
      <charset val="128"/>
    </font>
    <font>
      <sz val="6"/>
      <name val="ＭＳ Ｐゴシック"/>
      <family val="3"/>
      <charset val="128"/>
      <scheme val="minor"/>
    </font>
    <font>
      <b/>
      <sz val="21"/>
      <color theme="1"/>
      <name val="HG丸ｺﾞｼｯｸM-PRO"/>
      <family val="3"/>
      <charset val="128"/>
    </font>
    <font>
      <b/>
      <sz val="11"/>
      <color theme="1"/>
      <name val="HG丸ｺﾞｼｯｸM-PRO"/>
      <family val="3"/>
      <charset val="128"/>
    </font>
    <font>
      <sz val="15"/>
      <color theme="1"/>
      <name val="HG丸ｺﾞｼｯｸM-PRO"/>
      <family val="3"/>
      <charset val="128"/>
    </font>
    <font>
      <b/>
      <sz val="15"/>
      <color theme="1"/>
      <name val="HG丸ｺﾞｼｯｸM-PRO"/>
      <family val="3"/>
      <charset val="128"/>
    </font>
    <font>
      <u val="double"/>
      <sz val="15"/>
      <color theme="1"/>
      <name val="HG丸ｺﾞｼｯｸM-PRO"/>
      <family val="3"/>
      <charset val="128"/>
    </font>
    <font>
      <sz val="16"/>
      <color theme="1"/>
      <name val="HG丸ｺﾞｼｯｸM-PRO"/>
      <family val="3"/>
      <charset val="128"/>
    </font>
    <font>
      <sz val="10"/>
      <color indexed="9"/>
      <name val="明朝"/>
      <family val="1"/>
      <charset val="128"/>
    </font>
    <font>
      <sz val="14"/>
      <name val="HGP創英角ﾎﾟｯﾌﾟ体"/>
      <family val="3"/>
      <charset val="128"/>
    </font>
    <font>
      <b/>
      <u/>
      <sz val="10"/>
      <name val="HG丸ｺﾞｼｯｸM-PRO"/>
      <family val="3"/>
      <charset val="128"/>
    </font>
    <font>
      <b/>
      <u/>
      <sz val="8"/>
      <name val="HG丸ｺﾞｼｯｸM-PRO"/>
      <family val="3"/>
      <charset val="128"/>
    </font>
    <font>
      <b/>
      <u/>
      <sz val="11"/>
      <color theme="1"/>
      <name val="ＭＳ Ｐゴシック"/>
      <family val="2"/>
      <scheme val="minor"/>
    </font>
    <font>
      <sz val="6"/>
      <name val="ＭＳ 明朝"/>
      <family val="1"/>
      <charset val="128"/>
    </font>
    <font>
      <sz val="11"/>
      <color indexed="12"/>
      <name val="ＭＳ ゴシック"/>
      <family val="3"/>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18">
    <xf numFmtId="0" fontId="0" fillId="0" borderId="0"/>
    <xf numFmtId="9" fontId="8" fillId="0" borderId="0" applyFont="0" applyFill="0" applyBorder="0" applyAlignment="0" applyProtection="0"/>
    <xf numFmtId="38" fontId="8" fillId="0" borderId="0" applyFont="0" applyFill="0" applyBorder="0" applyAlignment="0" applyProtection="0"/>
    <xf numFmtId="0" fontId="13" fillId="0" borderId="0"/>
    <xf numFmtId="0" fontId="12" fillId="0" borderId="0"/>
    <xf numFmtId="38" fontId="12" fillId="0" borderId="0" applyFont="0" applyFill="0" applyBorder="0" applyAlignment="0" applyProtection="0"/>
    <xf numFmtId="0" fontId="13" fillId="0" borderId="0"/>
    <xf numFmtId="0" fontId="7" fillId="0" borderId="0"/>
    <xf numFmtId="0" fontId="40" fillId="0" borderId="0"/>
    <xf numFmtId="0" fontId="3" fillId="0" borderId="0"/>
    <xf numFmtId="0" fontId="1" fillId="0" borderId="0"/>
    <xf numFmtId="38" fontId="1" fillId="0" borderId="0" applyFont="0" applyFill="0" applyBorder="0" applyAlignment="0" applyProtection="0"/>
    <xf numFmtId="0" fontId="1" fillId="0" borderId="0"/>
    <xf numFmtId="0" fontId="1" fillId="0" borderId="0"/>
    <xf numFmtId="0" fontId="64" fillId="0" borderId="0"/>
    <xf numFmtId="38" fontId="64" fillId="0" borderId="0" applyFont="0" applyFill="0" applyBorder="0" applyAlignment="0" applyProtection="0">
      <alignment vertical="center"/>
    </xf>
    <xf numFmtId="9" fontId="64" fillId="0" borderId="0" applyFont="0" applyFill="0" applyBorder="0" applyAlignment="0" applyProtection="0">
      <alignment vertical="center"/>
    </xf>
    <xf numFmtId="9" fontId="1" fillId="0" borderId="0" applyFont="0" applyFill="0" applyBorder="0" applyAlignment="0" applyProtection="0"/>
  </cellStyleXfs>
  <cellXfs count="786">
    <xf numFmtId="0" fontId="0" fillId="0" borderId="0" xfId="0"/>
    <xf numFmtId="38" fontId="11" fillId="0" borderId="0" xfId="2" applyFont="1"/>
    <xf numFmtId="38" fontId="11" fillId="0" borderId="0" xfId="2" applyFont="1" applyAlignment="1">
      <alignment horizontal="center"/>
    </xf>
    <xf numFmtId="0" fontId="15" fillId="2" borderId="0" xfId="0" applyNumberFormat="1" applyFont="1" applyFill="1"/>
    <xf numFmtId="0" fontId="15" fillId="2" borderId="0" xfId="0" applyFont="1" applyFill="1"/>
    <xf numFmtId="0" fontId="16" fillId="2" borderId="0" xfId="0" applyNumberFormat="1" applyFont="1" applyFill="1" applyAlignment="1">
      <alignment vertical="center"/>
    </xf>
    <xf numFmtId="0" fontId="15" fillId="2" borderId="2" xfId="0" applyNumberFormat="1" applyFont="1" applyFill="1" applyBorder="1" applyAlignment="1">
      <alignment vertical="center"/>
    </xf>
    <xf numFmtId="0" fontId="15" fillId="2" borderId="3" xfId="0" applyNumberFormat="1" applyFont="1" applyFill="1" applyBorder="1" applyAlignment="1">
      <alignment vertical="center"/>
    </xf>
    <xf numFmtId="0" fontId="15" fillId="2" borderId="4" xfId="0" applyNumberFormat="1" applyFont="1" applyFill="1" applyBorder="1" applyAlignment="1">
      <alignment vertical="center"/>
    </xf>
    <xf numFmtId="0" fontId="15" fillId="2" borderId="5" xfId="0" applyNumberFormat="1" applyFont="1" applyFill="1" applyBorder="1" applyAlignment="1">
      <alignment horizontal="right" vertical="center"/>
    </xf>
    <xf numFmtId="0" fontId="15" fillId="2" borderId="6" xfId="0" applyNumberFormat="1" applyFont="1" applyFill="1" applyBorder="1" applyAlignment="1">
      <alignment vertical="center"/>
    </xf>
    <xf numFmtId="0" fontId="16" fillId="2" borderId="5" xfId="0" applyNumberFormat="1" applyFont="1" applyFill="1" applyBorder="1" applyAlignment="1">
      <alignment vertical="center"/>
    </xf>
    <xf numFmtId="0" fontId="15" fillId="2" borderId="7" xfId="0" applyNumberFormat="1" applyFont="1" applyFill="1" applyBorder="1" applyAlignment="1">
      <alignment vertical="center"/>
    </xf>
    <xf numFmtId="0" fontId="16" fillId="2" borderId="7" xfId="0" applyNumberFormat="1" applyFont="1" applyFill="1" applyBorder="1" applyAlignment="1">
      <alignment horizontal="distributed" vertical="center" justifyLastLine="1"/>
    </xf>
    <xf numFmtId="0" fontId="16" fillId="2" borderId="8" xfId="0" applyNumberFormat="1" applyFont="1" applyFill="1" applyBorder="1" applyAlignment="1">
      <alignment vertical="center"/>
    </xf>
    <xf numFmtId="0" fontId="15" fillId="2" borderId="8" xfId="0" applyNumberFormat="1" applyFont="1" applyFill="1" applyBorder="1" applyAlignment="1">
      <alignment vertical="center"/>
    </xf>
    <xf numFmtId="0" fontId="16" fillId="2" borderId="9" xfId="0" applyNumberFormat="1" applyFont="1" applyFill="1" applyBorder="1" applyAlignment="1">
      <alignment vertical="center"/>
    </xf>
    <xf numFmtId="176" fontId="16" fillId="2" borderId="9" xfId="0" applyNumberFormat="1" applyFont="1" applyFill="1" applyBorder="1" applyAlignment="1">
      <alignment vertical="center"/>
    </xf>
    <xf numFmtId="182" fontId="16" fillId="2" borderId="9" xfId="0" applyNumberFormat="1" applyFont="1" applyFill="1" applyBorder="1" applyAlignment="1">
      <alignment vertical="center"/>
    </xf>
    <xf numFmtId="176" fontId="16" fillId="2" borderId="3" xfId="0" applyNumberFormat="1" applyFont="1" applyFill="1" applyBorder="1" applyAlignment="1">
      <alignment horizontal="right" vertical="center"/>
    </xf>
    <xf numFmtId="177" fontId="16" fillId="2" borderId="4" xfId="0" applyNumberFormat="1" applyFont="1" applyFill="1" applyBorder="1" applyAlignment="1">
      <alignment vertical="center"/>
    </xf>
    <xf numFmtId="180" fontId="16" fillId="2" borderId="4" xfId="0" applyNumberFormat="1" applyFont="1" applyFill="1" applyBorder="1" applyAlignment="1">
      <alignment vertical="center"/>
    </xf>
    <xf numFmtId="176" fontId="16" fillId="2" borderId="4" xfId="0" applyNumberFormat="1" applyFont="1" applyFill="1" applyBorder="1" applyAlignment="1">
      <alignment vertical="center"/>
    </xf>
    <xf numFmtId="176" fontId="16" fillId="2" borderId="8" xfId="0" applyNumberFormat="1" applyFont="1" applyFill="1" applyBorder="1" applyAlignment="1">
      <alignment vertical="center"/>
    </xf>
    <xf numFmtId="182" fontId="16" fillId="2" borderId="8" xfId="0" applyNumberFormat="1" applyFont="1" applyFill="1" applyBorder="1" applyAlignment="1">
      <alignment vertical="center"/>
    </xf>
    <xf numFmtId="176" fontId="16" fillId="2" borderId="10" xfId="0" applyNumberFormat="1" applyFont="1" applyFill="1" applyBorder="1" applyAlignment="1">
      <alignment horizontal="right" vertical="center"/>
    </xf>
    <xf numFmtId="177" fontId="16" fillId="2" borderId="11" xfId="0" applyNumberFormat="1" applyFont="1" applyFill="1" applyBorder="1" applyAlignment="1">
      <alignment vertical="center"/>
    </xf>
    <xf numFmtId="180" fontId="16" fillId="2" borderId="11" xfId="0" applyNumberFormat="1" applyFont="1" applyFill="1" applyBorder="1" applyAlignment="1">
      <alignment vertical="center"/>
    </xf>
    <xf numFmtId="0" fontId="16" fillId="2" borderId="8" xfId="0" applyNumberFormat="1" applyFont="1" applyFill="1" applyBorder="1" applyAlignment="1">
      <alignment horizontal="left" vertical="center"/>
    </xf>
    <xf numFmtId="0" fontId="15" fillId="2" borderId="0" xfId="0" applyNumberFormat="1" applyFont="1" applyFill="1" applyAlignment="1">
      <alignment horizontal="center"/>
    </xf>
    <xf numFmtId="0" fontId="15" fillId="2" borderId="0" xfId="0" applyNumberFormat="1" applyFont="1" applyFill="1" applyAlignment="1">
      <alignment horizontal="right"/>
    </xf>
    <xf numFmtId="3" fontId="15" fillId="2" borderId="0" xfId="0" applyNumberFormat="1" applyFont="1" applyFill="1"/>
    <xf numFmtId="38" fontId="15" fillId="2" borderId="0" xfId="2" applyFont="1" applyFill="1" applyAlignment="1"/>
    <xf numFmtId="38" fontId="13" fillId="0" borderId="0" xfId="2" applyFont="1" applyAlignment="1"/>
    <xf numFmtId="183" fontId="11" fillId="0" borderId="0" xfId="2" applyNumberFormat="1" applyFont="1"/>
    <xf numFmtId="38" fontId="11" fillId="0" borderId="0" xfId="2" applyFont="1" applyAlignment="1">
      <alignment wrapText="1"/>
    </xf>
    <xf numFmtId="38" fontId="20" fillId="0" borderId="0" xfId="2" applyFont="1" applyAlignment="1">
      <alignment horizontal="center"/>
    </xf>
    <xf numFmtId="0" fontId="16" fillId="2" borderId="7" xfId="0" applyNumberFormat="1" applyFont="1" applyFill="1" applyBorder="1" applyAlignment="1">
      <alignment horizontal="center" vertical="center"/>
    </xf>
    <xf numFmtId="0" fontId="16" fillId="2" borderId="8" xfId="0" applyNumberFormat="1" applyFont="1" applyFill="1" applyBorder="1" applyAlignment="1">
      <alignment horizontal="center" vertical="center"/>
    </xf>
    <xf numFmtId="0" fontId="16" fillId="2" borderId="2" xfId="0" applyNumberFormat="1" applyFont="1" applyFill="1" applyBorder="1" applyAlignment="1">
      <alignment horizontal="center" vertical="center"/>
    </xf>
    <xf numFmtId="0" fontId="24" fillId="0" borderId="0" xfId="0" applyFont="1"/>
    <xf numFmtId="0" fontId="25" fillId="0" borderId="0" xfId="0" quotePrefix="1" applyFont="1"/>
    <xf numFmtId="38" fontId="11" fillId="0" borderId="0" xfId="2" applyFont="1" applyFill="1"/>
    <xf numFmtId="0" fontId="15" fillId="0" borderId="0" xfId="0" applyNumberFormat="1" applyFont="1" applyFill="1"/>
    <xf numFmtId="0" fontId="16" fillId="0" borderId="8" xfId="0" applyNumberFormat="1" applyFont="1" applyFill="1" applyBorder="1" applyAlignment="1">
      <alignment horizontal="left" vertical="center"/>
    </xf>
    <xf numFmtId="176" fontId="16" fillId="0" borderId="8" xfId="0" applyNumberFormat="1" applyFont="1" applyFill="1" applyBorder="1" applyAlignment="1">
      <alignment vertical="center"/>
    </xf>
    <xf numFmtId="182" fontId="16" fillId="0" borderId="8" xfId="0" applyNumberFormat="1" applyFont="1" applyFill="1" applyBorder="1" applyAlignment="1">
      <alignment vertical="center"/>
    </xf>
    <xf numFmtId="176" fontId="16" fillId="0" borderId="10" xfId="0" applyNumberFormat="1" applyFont="1" applyFill="1" applyBorder="1" applyAlignment="1">
      <alignment horizontal="right" vertical="center"/>
    </xf>
    <xf numFmtId="177" fontId="16" fillId="0" borderId="11" xfId="0" applyNumberFormat="1" applyFont="1" applyFill="1" applyBorder="1" applyAlignment="1">
      <alignment vertical="center"/>
    </xf>
    <xf numFmtId="180" fontId="16" fillId="0" borderId="11" xfId="0" applyNumberFormat="1" applyFont="1" applyFill="1" applyBorder="1" applyAlignment="1">
      <alignment vertical="center"/>
    </xf>
    <xf numFmtId="0" fontId="21" fillId="0" borderId="0" xfId="3" applyNumberFormat="1" applyFont="1" applyFill="1" applyAlignment="1">
      <alignment horizontal="center"/>
    </xf>
    <xf numFmtId="0" fontId="10" fillId="0" borderId="0" xfId="3" applyFont="1" applyFill="1" applyAlignment="1">
      <alignment horizontal="center"/>
    </xf>
    <xf numFmtId="0" fontId="21" fillId="0" borderId="0" xfId="3" applyNumberFormat="1" applyFont="1" applyFill="1"/>
    <xf numFmtId="0" fontId="10" fillId="0" borderId="0" xfId="3" applyNumberFormat="1" applyFont="1" applyFill="1"/>
    <xf numFmtId="0" fontId="25" fillId="0" borderId="0" xfId="4" applyFont="1"/>
    <xf numFmtId="0" fontId="29" fillId="0" borderId="0" xfId="4" applyFont="1" applyAlignment="1">
      <alignment horizontal="center"/>
    </xf>
    <xf numFmtId="0" fontId="29" fillId="0" borderId="0" xfId="4" applyFont="1" applyAlignment="1">
      <alignment horizontal="distributed"/>
    </xf>
    <xf numFmtId="0" fontId="30" fillId="0" borderId="0" xfId="4" applyFont="1"/>
    <xf numFmtId="0" fontId="30" fillId="0" borderId="5" xfId="4" applyFont="1" applyFill="1" applyBorder="1"/>
    <xf numFmtId="0" fontId="30" fillId="0" borderId="14" xfId="4" applyFont="1" applyFill="1" applyBorder="1"/>
    <xf numFmtId="0" fontId="30" fillId="0" borderId="6" xfId="4" applyFont="1" applyFill="1" applyBorder="1"/>
    <xf numFmtId="0" fontId="30" fillId="0" borderId="10" xfId="4" applyFont="1" applyFill="1" applyBorder="1" applyAlignment="1">
      <alignment horizontal="left" vertical="distributed" wrapText="1" indent="1"/>
    </xf>
    <xf numFmtId="0" fontId="30" fillId="0" borderId="13" xfId="4" applyFont="1" applyFill="1" applyBorder="1" applyAlignment="1">
      <alignment horizontal="left" vertical="distributed" wrapText="1" indent="1"/>
    </xf>
    <xf numFmtId="0" fontId="30" fillId="0" borderId="11" xfId="4" applyFont="1" applyFill="1" applyBorder="1" applyAlignment="1">
      <alignment horizontal="left" vertical="distributed" wrapText="1" indent="1"/>
    </xf>
    <xf numFmtId="0" fontId="30" fillId="0" borderId="5" xfId="4" applyFont="1" applyFill="1" applyBorder="1" applyAlignment="1">
      <alignment horizontal="left" vertical="distributed" wrapText="1" indent="1"/>
    </xf>
    <xf numFmtId="0" fontId="30" fillId="0" borderId="14" xfId="4" applyFont="1" applyFill="1" applyBorder="1" applyAlignment="1">
      <alignment horizontal="left" vertical="distributed" wrapText="1" indent="1"/>
    </xf>
    <xf numFmtId="0" fontId="30" fillId="0" borderId="6" xfId="4" applyFont="1" applyFill="1" applyBorder="1" applyAlignment="1">
      <alignment horizontal="left" vertical="distributed" wrapText="1" indent="1"/>
    </xf>
    <xf numFmtId="0" fontId="25" fillId="0" borderId="0" xfId="4" applyFont="1" applyFill="1"/>
    <xf numFmtId="0" fontId="30" fillId="0" borderId="0" xfId="4" applyFont="1" applyAlignment="1">
      <alignment horizontal="right"/>
    </xf>
    <xf numFmtId="0" fontId="25" fillId="2" borderId="0" xfId="4" applyFont="1" applyFill="1"/>
    <xf numFmtId="0" fontId="25" fillId="2" borderId="0" xfId="4" applyFont="1" applyFill="1" applyAlignment="1">
      <alignment horizontal="right"/>
    </xf>
    <xf numFmtId="0" fontId="25" fillId="2" borderId="9" xfId="4" applyFont="1" applyFill="1" applyBorder="1"/>
    <xf numFmtId="0" fontId="25" fillId="2" borderId="9" xfId="4" applyFont="1" applyFill="1" applyBorder="1" applyAlignment="1">
      <alignment horizontal="center" vertical="center"/>
    </xf>
    <xf numFmtId="0" fontId="25" fillId="2" borderId="9" xfId="4" applyFont="1" applyFill="1" applyBorder="1" applyAlignment="1">
      <alignment horizontal="center" vertical="center" wrapText="1"/>
    </xf>
    <xf numFmtId="0" fontId="21" fillId="2" borderId="9" xfId="4" applyFont="1" applyFill="1" applyBorder="1" applyAlignment="1">
      <alignment horizontal="center" vertical="center" wrapText="1"/>
    </xf>
    <xf numFmtId="186" fontId="25" fillId="2" borderId="9" xfId="4" applyNumberFormat="1" applyFont="1" applyFill="1" applyBorder="1" applyAlignment="1">
      <alignment vertical="center"/>
    </xf>
    <xf numFmtId="0" fontId="15" fillId="2" borderId="0" xfId="6" applyFont="1" applyFill="1"/>
    <xf numFmtId="0" fontId="16" fillId="2" borderId="0" xfId="0" applyNumberFormat="1" applyFont="1" applyFill="1" applyAlignment="1">
      <alignment horizontal="right" vertical="center"/>
    </xf>
    <xf numFmtId="0" fontId="25" fillId="0" borderId="0" xfId="0" applyFont="1"/>
    <xf numFmtId="0" fontId="30" fillId="0" borderId="0" xfId="0" applyFont="1"/>
    <xf numFmtId="0" fontId="22" fillId="0" borderId="0" xfId="0" applyFont="1"/>
    <xf numFmtId="0" fontId="15" fillId="2" borderId="5" xfId="0" applyNumberFormat="1" applyFont="1" applyFill="1" applyBorder="1" applyAlignment="1">
      <alignment vertical="center"/>
    </xf>
    <xf numFmtId="0" fontId="16" fillId="2" borderId="1" xfId="0" applyNumberFormat="1" applyFont="1" applyFill="1" applyBorder="1" applyAlignment="1">
      <alignment horizontal="distributed" vertical="center" justifyLastLine="1"/>
    </xf>
    <xf numFmtId="0" fontId="15" fillId="2" borderId="10" xfId="0" applyNumberFormat="1" applyFont="1" applyFill="1" applyBorder="1" applyAlignment="1">
      <alignment vertical="center"/>
    </xf>
    <xf numFmtId="177" fontId="16" fillId="2" borderId="3" xfId="0" applyNumberFormat="1" applyFont="1" applyFill="1" applyBorder="1" applyAlignment="1">
      <alignment vertical="center"/>
    </xf>
    <xf numFmtId="177" fontId="16" fillId="2" borderId="10" xfId="0" applyNumberFormat="1" applyFont="1" applyFill="1" applyBorder="1" applyAlignment="1">
      <alignment vertical="center"/>
    </xf>
    <xf numFmtId="177" fontId="16" fillId="0" borderId="10" xfId="0" applyNumberFormat="1" applyFont="1" applyFill="1" applyBorder="1" applyAlignment="1">
      <alignment vertical="center"/>
    </xf>
    <xf numFmtId="0" fontId="15" fillId="2" borderId="22" xfId="0" applyFont="1" applyFill="1" applyBorder="1"/>
    <xf numFmtId="0" fontId="16" fillId="2" borderId="23" xfId="0" applyNumberFormat="1" applyFont="1" applyFill="1" applyBorder="1" applyAlignment="1">
      <alignment horizontal="distributed" vertical="center" justifyLastLine="1"/>
    </xf>
    <xf numFmtId="176" fontId="16" fillId="2" borderId="31" xfId="0" applyNumberFormat="1" applyFont="1" applyFill="1" applyBorder="1"/>
    <xf numFmtId="176" fontId="16" fillId="0" borderId="31" xfId="0" applyNumberFormat="1" applyFont="1" applyFill="1" applyBorder="1"/>
    <xf numFmtId="0" fontId="15" fillId="2" borderId="30" xfId="0" applyFont="1" applyFill="1" applyBorder="1" applyAlignment="1">
      <alignment horizontal="right"/>
    </xf>
    <xf numFmtId="0" fontId="35" fillId="0" borderId="0" xfId="0" applyFont="1"/>
    <xf numFmtId="0" fontId="35" fillId="0" borderId="0" xfId="4" applyFont="1"/>
    <xf numFmtId="0" fontId="10" fillId="0" borderId="0" xfId="3" applyFont="1" applyFill="1"/>
    <xf numFmtId="58" fontId="10" fillId="0" borderId="0" xfId="3" applyNumberFormat="1" applyFont="1" applyFill="1" applyBorder="1" applyAlignment="1">
      <alignment horizontal="left" vertical="center"/>
    </xf>
    <xf numFmtId="0" fontId="10" fillId="0" borderId="0" xfId="3" applyFont="1" applyFill="1" applyBorder="1" applyAlignment="1">
      <alignment vertical="center"/>
    </xf>
    <xf numFmtId="0" fontId="10" fillId="0" borderId="1" xfId="3" applyFont="1" applyFill="1" applyBorder="1"/>
    <xf numFmtId="178" fontId="21" fillId="0" borderId="6" xfId="1" applyNumberFormat="1" applyFont="1" applyFill="1" applyBorder="1" applyAlignment="1">
      <alignment vertical="center"/>
    </xf>
    <xf numFmtId="178" fontId="21" fillId="0" borderId="11" xfId="1" applyNumberFormat="1" applyFont="1" applyFill="1" applyBorder="1" applyAlignment="1">
      <alignment vertical="center"/>
    </xf>
    <xf numFmtId="178" fontId="21" fillId="0" borderId="20" xfId="1" applyNumberFormat="1" applyFont="1" applyFill="1" applyBorder="1" applyAlignment="1">
      <alignment vertical="center"/>
    </xf>
    <xf numFmtId="0" fontId="10" fillId="0" borderId="11" xfId="3" applyFont="1" applyFill="1" applyBorder="1"/>
    <xf numFmtId="0" fontId="10" fillId="0" borderId="0" xfId="3" applyFont="1" applyFill="1" applyBorder="1"/>
    <xf numFmtId="0" fontId="23" fillId="0" borderId="0" xfId="3" applyFont="1" applyFill="1" applyBorder="1" applyAlignment="1">
      <alignment vertical="center"/>
    </xf>
    <xf numFmtId="0" fontId="10" fillId="0" borderId="0" xfId="3" applyNumberFormat="1" applyFont="1" applyFill="1" applyAlignment="1">
      <alignment horizontal="center"/>
    </xf>
    <xf numFmtId="0" fontId="14" fillId="0" borderId="0" xfId="3" applyFont="1" applyFill="1" applyAlignment="1">
      <alignment horizontal="center"/>
    </xf>
    <xf numFmtId="176" fontId="16" fillId="0" borderId="5" xfId="0" applyNumberFormat="1" applyFont="1" applyFill="1" applyBorder="1" applyAlignment="1">
      <alignment horizontal="right" vertical="center"/>
    </xf>
    <xf numFmtId="0" fontId="15" fillId="2" borderId="10" xfId="0" applyNumberFormat="1" applyFont="1" applyFill="1" applyBorder="1"/>
    <xf numFmtId="177" fontId="16" fillId="0" borderId="11" xfId="0" applyNumberFormat="1" applyFont="1" applyFill="1" applyBorder="1" applyAlignment="1">
      <alignment horizontal="right" vertical="center"/>
    </xf>
    <xf numFmtId="0" fontId="37" fillId="2" borderId="0" xfId="0" applyNumberFormat="1" applyFont="1" applyFill="1" applyAlignment="1">
      <alignment horizontal="left"/>
    </xf>
    <xf numFmtId="0" fontId="24" fillId="0" borderId="0" xfId="3" applyNumberFormat="1" applyFont="1" applyFill="1" applyBorder="1" applyAlignment="1">
      <alignment horizontal="center"/>
    </xf>
    <xf numFmtId="0" fontId="38" fillId="0" borderId="0" xfId="3" applyFont="1" applyFill="1" applyBorder="1"/>
    <xf numFmtId="0" fontId="38" fillId="0" borderId="0" xfId="3" applyNumberFormat="1" applyFont="1" applyFill="1" applyAlignment="1">
      <alignment horizontal="center"/>
    </xf>
    <xf numFmtId="0" fontId="38" fillId="0" borderId="0" xfId="3" applyFont="1" applyFill="1" applyAlignment="1">
      <alignment horizontal="center"/>
    </xf>
    <xf numFmtId="188" fontId="16" fillId="0" borderId="7" xfId="0" applyNumberFormat="1" applyFont="1" applyFill="1" applyBorder="1" applyAlignment="1">
      <alignment vertical="center"/>
    </xf>
    <xf numFmtId="176" fontId="16" fillId="0" borderId="1" xfId="0" applyNumberFormat="1" applyFont="1" applyFill="1" applyBorder="1" applyAlignment="1">
      <alignment horizontal="right" vertical="center"/>
    </xf>
    <xf numFmtId="177" fontId="16" fillId="0" borderId="20" xfId="0" applyNumberFormat="1" applyFont="1" applyFill="1" applyBorder="1" applyAlignment="1">
      <alignment horizontal="right" vertical="center"/>
    </xf>
    <xf numFmtId="189" fontId="16" fillId="0" borderId="8" xfId="0" applyNumberFormat="1" applyFont="1" applyFill="1" applyBorder="1" applyAlignment="1">
      <alignment vertical="center"/>
    </xf>
    <xf numFmtId="0" fontId="30" fillId="0" borderId="0" xfId="4" applyFont="1" applyFill="1"/>
    <xf numFmtId="38" fontId="16" fillId="0" borderId="11" xfId="2" applyFont="1" applyFill="1" applyBorder="1" applyAlignment="1">
      <alignment vertical="center"/>
    </xf>
    <xf numFmtId="179" fontId="25" fillId="2" borderId="9" xfId="4" applyNumberFormat="1" applyFont="1" applyFill="1" applyBorder="1" applyAlignment="1">
      <alignment vertical="center"/>
    </xf>
    <xf numFmtId="0" fontId="7" fillId="0" borderId="0" xfId="7"/>
    <xf numFmtId="0" fontId="7" fillId="0" borderId="12" xfId="7" applyBorder="1" applyAlignment="1">
      <alignment horizontal="distributed" vertical="center"/>
    </xf>
    <xf numFmtId="0" fontId="7" fillId="0" borderId="2" xfId="7" applyBorder="1" applyAlignment="1">
      <alignment horizontal="center" vertical="center"/>
    </xf>
    <xf numFmtId="0" fontId="7" fillId="0" borderId="9" xfId="7" applyFont="1" applyBorder="1" applyAlignment="1">
      <alignment horizontal="center"/>
    </xf>
    <xf numFmtId="0" fontId="7" fillId="0" borderId="0" xfId="7" applyAlignment="1"/>
    <xf numFmtId="0" fontId="7" fillId="0" borderId="9" xfId="7" applyBorder="1" applyAlignment="1">
      <alignment horizontal="distributed" vertical="center"/>
    </xf>
    <xf numFmtId="179" fontId="7" fillId="0" borderId="9" xfId="7" applyNumberFormat="1" applyBorder="1" applyAlignment="1">
      <alignment horizontal="right" vertical="center"/>
    </xf>
    <xf numFmtId="179" fontId="7" fillId="0" borderId="9" xfId="7" applyNumberFormat="1" applyBorder="1" applyAlignment="1"/>
    <xf numFmtId="179" fontId="7" fillId="0" borderId="9" xfId="7" applyNumberFormat="1" applyFill="1" applyBorder="1" applyAlignment="1"/>
    <xf numFmtId="0" fontId="7" fillId="0" borderId="0" xfId="7" applyBorder="1" applyAlignment="1">
      <alignment horizontal="distributed" vertical="center"/>
    </xf>
    <xf numFmtId="179" fontId="7" fillId="0" borderId="0" xfId="7" applyNumberFormat="1" applyBorder="1" applyAlignment="1">
      <alignment horizontal="right" vertical="center"/>
    </xf>
    <xf numFmtId="0" fontId="7" fillId="0" borderId="2" xfId="7" applyFont="1" applyBorder="1" applyAlignment="1">
      <alignment horizontal="center" vertical="center"/>
    </xf>
    <xf numFmtId="181" fontId="7" fillId="0" borderId="9" xfId="7" applyNumberFormat="1" applyBorder="1" applyAlignment="1">
      <alignment horizontal="right" vertical="center"/>
    </xf>
    <xf numFmtId="177" fontId="7" fillId="0" borderId="9" xfId="7" applyNumberFormat="1" applyBorder="1" applyAlignment="1">
      <alignment horizontal="right" vertical="center"/>
    </xf>
    <xf numFmtId="177" fontId="27" fillId="0" borderId="9" xfId="7" applyNumberFormat="1" applyFont="1" applyBorder="1" applyAlignment="1">
      <alignment horizontal="right" vertical="center"/>
    </xf>
    <xf numFmtId="177" fontId="7" fillId="0" borderId="9" xfId="7" applyNumberFormat="1" applyFont="1" applyBorder="1" applyAlignment="1">
      <alignment horizontal="right" vertical="center"/>
    </xf>
    <xf numFmtId="0" fontId="18" fillId="0" borderId="13" xfId="7" applyFont="1" applyFill="1" applyBorder="1" applyAlignment="1">
      <alignment vertical="center"/>
    </xf>
    <xf numFmtId="0" fontId="18" fillId="0" borderId="0" xfId="7" applyFont="1"/>
    <xf numFmtId="0" fontId="18" fillId="0" borderId="12" xfId="7" applyFont="1" applyBorder="1" applyAlignment="1">
      <alignment horizontal="distributed" vertical="center"/>
    </xf>
    <xf numFmtId="0" fontId="18" fillId="0" borderId="9" xfId="7" applyFont="1" applyBorder="1" applyAlignment="1">
      <alignment horizontal="distributed" vertical="center"/>
    </xf>
    <xf numFmtId="179" fontId="18" fillId="0" borderId="9" xfId="7" applyNumberFormat="1" applyFont="1" applyBorder="1" applyAlignment="1">
      <alignment horizontal="right" vertical="center"/>
    </xf>
    <xf numFmtId="0" fontId="20" fillId="4" borderId="13" xfId="7" applyFont="1" applyFill="1" applyBorder="1" applyAlignment="1">
      <alignment vertical="center"/>
    </xf>
    <xf numFmtId="0" fontId="18" fillId="4" borderId="13" xfId="7" applyFont="1" applyFill="1" applyBorder="1" applyAlignment="1">
      <alignment vertical="center"/>
    </xf>
    <xf numFmtId="0" fontId="18" fillId="4" borderId="0" xfId="7" applyFont="1" applyFill="1"/>
    <xf numFmtId="0" fontId="7" fillId="4" borderId="0" xfId="7" applyFill="1"/>
    <xf numFmtId="0" fontId="18" fillId="4" borderId="12" xfId="7" applyFont="1" applyFill="1" applyBorder="1" applyAlignment="1">
      <alignment horizontal="distributed" vertical="center"/>
    </xf>
    <xf numFmtId="0" fontId="20" fillId="4" borderId="9" xfId="7" applyFont="1" applyFill="1" applyBorder="1" applyAlignment="1">
      <alignment horizontal="distributed" vertical="center"/>
    </xf>
    <xf numFmtId="179" fontId="26" fillId="4" borderId="9" xfId="7" applyNumberFormat="1" applyFont="1" applyFill="1" applyBorder="1" applyAlignment="1">
      <alignment horizontal="right" vertical="center"/>
    </xf>
    <xf numFmtId="0" fontId="20" fillId="4" borderId="0" xfId="7" applyFont="1" applyFill="1" applyBorder="1" applyAlignment="1">
      <alignment horizontal="left" vertical="center"/>
    </xf>
    <xf numFmtId="179" fontId="26" fillId="4" borderId="0" xfId="7" applyNumberFormat="1" applyFont="1" applyFill="1" applyBorder="1" applyAlignment="1">
      <alignment horizontal="right" vertical="center"/>
    </xf>
    <xf numFmtId="0" fontId="20" fillId="0" borderId="0" xfId="7" applyFont="1" applyBorder="1" applyAlignment="1">
      <alignment horizontal="distributed" vertical="center"/>
    </xf>
    <xf numFmtId="179" fontId="26" fillId="0" borderId="0" xfId="7" applyNumberFormat="1" applyFont="1" applyBorder="1" applyAlignment="1">
      <alignment horizontal="right" vertical="center"/>
    </xf>
    <xf numFmtId="0" fontId="7" fillId="0" borderId="13" xfId="7" applyFill="1" applyBorder="1" applyAlignment="1">
      <alignment horizontal="left" vertical="center"/>
    </xf>
    <xf numFmtId="177" fontId="7" fillId="0" borderId="9" xfId="7" applyNumberFormat="1" applyFill="1" applyBorder="1" applyAlignment="1">
      <alignment horizontal="right" vertical="center"/>
    </xf>
    <xf numFmtId="179" fontId="7" fillId="0" borderId="0" xfId="7" applyNumberFormat="1" applyFill="1" applyBorder="1" applyAlignment="1">
      <alignment horizontal="right" vertical="center"/>
    </xf>
    <xf numFmtId="0" fontId="39" fillId="0" borderId="0" xfId="0" applyFont="1"/>
    <xf numFmtId="0" fontId="6" fillId="0" borderId="9" xfId="7" applyFont="1" applyBorder="1" applyAlignment="1">
      <alignment horizontal="center"/>
    </xf>
    <xf numFmtId="0" fontId="6" fillId="0" borderId="2" xfId="7" applyFont="1" applyBorder="1" applyAlignment="1">
      <alignment horizontal="center" vertical="center"/>
    </xf>
    <xf numFmtId="177" fontId="28" fillId="0" borderId="9" xfId="7" applyNumberFormat="1" applyFont="1" applyBorder="1" applyAlignment="1">
      <alignment horizontal="right" vertical="center"/>
    </xf>
    <xf numFmtId="0" fontId="5" fillId="0" borderId="9" xfId="7" applyFont="1" applyBorder="1" applyAlignment="1">
      <alignment horizontal="center" vertical="center"/>
    </xf>
    <xf numFmtId="178" fontId="14" fillId="0" borderId="0" xfId="3" applyNumberFormat="1" applyFont="1" applyFill="1" applyAlignment="1">
      <alignment horizontal="left" vertical="center"/>
    </xf>
    <xf numFmtId="176" fontId="16" fillId="0" borderId="8" xfId="0" applyNumberFormat="1" applyFont="1" applyFill="1" applyBorder="1" applyAlignment="1">
      <alignment vertical="center" shrinkToFit="1"/>
    </xf>
    <xf numFmtId="182" fontId="16" fillId="0" borderId="8" xfId="0" applyNumberFormat="1" applyFont="1" applyFill="1" applyBorder="1" applyAlignment="1">
      <alignment vertical="center" shrinkToFit="1"/>
    </xf>
    <xf numFmtId="176" fontId="16" fillId="0" borderId="10" xfId="0" applyNumberFormat="1" applyFont="1" applyFill="1" applyBorder="1" applyAlignment="1">
      <alignment horizontal="right" vertical="center" shrinkToFit="1"/>
    </xf>
    <xf numFmtId="177" fontId="16" fillId="0" borderId="11" xfId="0" applyNumberFormat="1" applyFont="1" applyFill="1" applyBorder="1" applyAlignment="1">
      <alignment vertical="center" shrinkToFit="1"/>
    </xf>
    <xf numFmtId="38" fontId="16" fillId="0" borderId="11" xfId="2" applyFont="1" applyFill="1" applyBorder="1" applyAlignment="1">
      <alignment vertical="center" shrinkToFit="1"/>
    </xf>
    <xf numFmtId="176" fontId="16" fillId="2" borderId="31" xfId="0" applyNumberFormat="1" applyFont="1" applyFill="1" applyBorder="1" applyAlignment="1">
      <alignment shrinkToFit="1"/>
    </xf>
    <xf numFmtId="0" fontId="24" fillId="0" borderId="0" xfId="3" applyNumberFormat="1" applyFont="1" applyFill="1" applyAlignment="1">
      <alignment horizontal="center"/>
    </xf>
    <xf numFmtId="0" fontId="21" fillId="0" borderId="0" xfId="3" applyNumberFormat="1" applyFont="1" applyFill="1" applyAlignment="1">
      <alignment horizontal="right" vertical="center"/>
    </xf>
    <xf numFmtId="0" fontId="4" fillId="0" borderId="9" xfId="7" applyFont="1" applyBorder="1" applyAlignment="1">
      <alignment horizontal="center"/>
    </xf>
    <xf numFmtId="0" fontId="4" fillId="0" borderId="9" xfId="7" applyFont="1" applyBorder="1" applyAlignment="1">
      <alignment horizontal="center" vertical="center"/>
    </xf>
    <xf numFmtId="0" fontId="41" fillId="0" borderId="0" xfId="3" applyNumberFormat="1" applyFont="1" applyFill="1"/>
    <xf numFmtId="0" fontId="41" fillId="0" borderId="0" xfId="3" applyFont="1" applyFill="1"/>
    <xf numFmtId="58" fontId="41" fillId="0" borderId="0" xfId="3" applyNumberFormat="1" applyFont="1" applyFill="1" applyBorder="1" applyAlignment="1">
      <alignment horizontal="left" vertical="center"/>
    </xf>
    <xf numFmtId="0" fontId="42" fillId="0" borderId="0" xfId="3" applyNumberFormat="1" applyFont="1" applyFill="1" applyAlignment="1">
      <alignment vertical="center"/>
    </xf>
    <xf numFmtId="0" fontId="43" fillId="0" borderId="0" xfId="3" applyFont="1" applyFill="1"/>
    <xf numFmtId="0" fontId="44" fillId="0" borderId="0" xfId="3" applyNumberFormat="1" applyFont="1" applyFill="1"/>
    <xf numFmtId="0" fontId="44" fillId="0" borderId="0" xfId="3" applyFont="1" applyFill="1"/>
    <xf numFmtId="0" fontId="44" fillId="0" borderId="0" xfId="3" applyNumberFormat="1" applyFont="1" applyFill="1" applyAlignment="1">
      <alignment horizontal="right"/>
    </xf>
    <xf numFmtId="178" fontId="44" fillId="0" borderId="0" xfId="1" applyNumberFormat="1" applyFont="1" applyFill="1" applyBorder="1" applyAlignment="1">
      <alignment horizontal="right" vertical="center"/>
    </xf>
    <xf numFmtId="0" fontId="44" fillId="0" borderId="0" xfId="3" applyNumberFormat="1" applyFont="1" applyFill="1" applyBorder="1" applyAlignment="1">
      <alignment horizontal="distributed" vertical="center" wrapText="1"/>
    </xf>
    <xf numFmtId="176" fontId="44" fillId="0" borderId="0" xfId="3" applyNumberFormat="1" applyFont="1" applyFill="1" applyBorder="1" applyAlignment="1">
      <alignment horizontal="right" vertical="center"/>
    </xf>
    <xf numFmtId="0" fontId="46" fillId="0" borderId="0" xfId="3" applyNumberFormat="1" applyFont="1" applyFill="1" applyBorder="1" applyAlignment="1">
      <alignment horizontal="left" vertical="center" wrapText="1"/>
    </xf>
    <xf numFmtId="0" fontId="44" fillId="0" borderId="0" xfId="3" applyNumberFormat="1" applyFont="1" applyFill="1" applyAlignment="1">
      <alignment horizontal="center"/>
    </xf>
    <xf numFmtId="0" fontId="44" fillId="0" borderId="0" xfId="3" applyNumberFormat="1" applyFont="1" applyFill="1" applyAlignment="1">
      <alignment horizontal="left"/>
    </xf>
    <xf numFmtId="0" fontId="41" fillId="0" borderId="0" xfId="3" applyNumberFormat="1" applyFont="1" applyFill="1" applyAlignment="1">
      <alignment horizontal="center"/>
    </xf>
    <xf numFmtId="190" fontId="44" fillId="0" borderId="0" xfId="3" applyNumberFormat="1" applyFont="1" applyFill="1" applyAlignment="1">
      <alignment horizontal="center"/>
    </xf>
    <xf numFmtId="0" fontId="41" fillId="0" borderId="0" xfId="3" applyNumberFormat="1" applyFont="1" applyFill="1" applyAlignment="1">
      <alignment horizontal="center" vertical="center"/>
    </xf>
    <xf numFmtId="0" fontId="41" fillId="0" borderId="0" xfId="3" applyFont="1" applyFill="1" applyAlignment="1">
      <alignment horizontal="center"/>
    </xf>
    <xf numFmtId="0" fontId="44" fillId="0" borderId="0" xfId="3" applyNumberFormat="1" applyFont="1" applyFill="1" applyBorder="1" applyAlignment="1">
      <alignment horizontal="distributed" vertical="center"/>
    </xf>
    <xf numFmtId="179" fontId="45" fillId="0" borderId="0" xfId="1" applyNumberFormat="1" applyFont="1" applyFill="1" applyBorder="1" applyAlignment="1">
      <alignment horizontal="right" vertical="top"/>
    </xf>
    <xf numFmtId="0" fontId="21" fillId="0" borderId="5" xfId="3" applyNumberFormat="1" applyFont="1" applyFill="1" applyBorder="1" applyAlignment="1">
      <alignment vertical="center"/>
    </xf>
    <xf numFmtId="0" fontId="21" fillId="0" borderId="14" xfId="3" applyNumberFormat="1" applyFont="1" applyFill="1" applyBorder="1" applyAlignment="1">
      <alignment vertical="center"/>
    </xf>
    <xf numFmtId="0" fontId="21" fillId="0" borderId="6" xfId="3" applyNumberFormat="1" applyFont="1" applyFill="1" applyBorder="1" applyAlignment="1">
      <alignment vertical="center"/>
    </xf>
    <xf numFmtId="0" fontId="21" fillId="0" borderId="16" xfId="3" applyNumberFormat="1" applyFont="1" applyFill="1" applyBorder="1" applyAlignment="1">
      <alignment vertical="center"/>
    </xf>
    <xf numFmtId="0" fontId="21" fillId="0" borderId="10" xfId="3" applyNumberFormat="1" applyFont="1" applyFill="1" applyBorder="1" applyAlignment="1">
      <alignment vertical="center"/>
    </xf>
    <xf numFmtId="0" fontId="21" fillId="0" borderId="13" xfId="3" applyNumberFormat="1" applyFont="1" applyFill="1" applyBorder="1" applyAlignment="1">
      <alignment vertical="center"/>
    </xf>
    <xf numFmtId="0" fontId="21" fillId="0" borderId="11" xfId="3" applyNumberFormat="1" applyFont="1" applyFill="1" applyBorder="1" applyAlignment="1">
      <alignment vertical="center"/>
    </xf>
    <xf numFmtId="0" fontId="21" fillId="0" borderId="17" xfId="3" applyNumberFormat="1" applyFont="1" applyFill="1" applyBorder="1" applyAlignment="1">
      <alignment vertical="center"/>
    </xf>
    <xf numFmtId="178" fontId="21" fillId="0" borderId="21" xfId="1" applyNumberFormat="1" applyFont="1" applyFill="1" applyBorder="1" applyAlignment="1">
      <alignment horizontal="right" vertical="center"/>
    </xf>
    <xf numFmtId="178" fontId="21" fillId="0" borderId="0" xfId="1" applyNumberFormat="1" applyFont="1" applyFill="1" applyBorder="1" applyAlignment="1">
      <alignment horizontal="right" vertical="center"/>
    </xf>
    <xf numFmtId="178" fontId="21" fillId="0" borderId="13" xfId="1" applyNumberFormat="1" applyFont="1" applyFill="1" applyBorder="1" applyAlignment="1">
      <alignment horizontal="right" vertical="center"/>
    </xf>
    <xf numFmtId="0" fontId="21" fillId="0" borderId="2" xfId="3" applyNumberFormat="1" applyFont="1" applyFill="1" applyBorder="1" applyAlignment="1">
      <alignment horizontal="distributed" vertical="center"/>
    </xf>
    <xf numFmtId="178" fontId="21" fillId="0" borderId="18" xfId="1" applyNumberFormat="1" applyFont="1" applyFill="1" applyBorder="1" applyAlignment="1">
      <alignment horizontal="right" vertical="center"/>
    </xf>
    <xf numFmtId="0" fontId="21" fillId="0" borderId="7" xfId="3" applyNumberFormat="1" applyFont="1" applyFill="1" applyBorder="1" applyAlignment="1">
      <alignment horizontal="distributed" vertical="center"/>
    </xf>
    <xf numFmtId="178" fontId="21" fillId="0" borderId="19" xfId="1" applyNumberFormat="1" applyFont="1" applyFill="1" applyBorder="1" applyAlignment="1">
      <alignment horizontal="right" vertical="center"/>
    </xf>
    <xf numFmtId="0" fontId="21" fillId="0" borderId="23" xfId="3" applyNumberFormat="1" applyFont="1" applyFill="1" applyBorder="1" applyAlignment="1">
      <alignment horizontal="distributed" vertical="center"/>
    </xf>
    <xf numFmtId="0" fontId="10" fillId="0" borderId="7" xfId="3" applyFont="1" applyFill="1" applyBorder="1"/>
    <xf numFmtId="0" fontId="10" fillId="0" borderId="8" xfId="3" applyFont="1" applyFill="1" applyBorder="1"/>
    <xf numFmtId="0" fontId="23" fillId="0" borderId="2" xfId="3" applyFont="1" applyFill="1" applyBorder="1" applyAlignment="1">
      <alignment horizontal="distributed" vertical="center"/>
    </xf>
    <xf numFmtId="0" fontId="23" fillId="0" borderId="1" xfId="3" applyFont="1" applyFill="1" applyBorder="1" applyAlignment="1">
      <alignment horizontal="distributed" vertical="center"/>
    </xf>
    <xf numFmtId="0" fontId="21" fillId="0" borderId="8" xfId="3" applyNumberFormat="1" applyFont="1" applyFill="1" applyBorder="1" applyAlignment="1">
      <alignment horizontal="distributed" vertical="center"/>
    </xf>
    <xf numFmtId="0" fontId="30" fillId="0" borderId="0" xfId="4" applyFont="1" applyAlignment="1">
      <alignment wrapText="1"/>
    </xf>
    <xf numFmtId="0" fontId="3" fillId="0" borderId="9" xfId="7" applyFont="1" applyBorder="1" applyAlignment="1">
      <alignment horizontal="center"/>
    </xf>
    <xf numFmtId="0" fontId="3" fillId="0" borderId="2" xfId="7" applyFont="1" applyBorder="1" applyAlignment="1">
      <alignment horizontal="center" vertical="center"/>
    </xf>
    <xf numFmtId="179" fontId="7" fillId="0" borderId="9" xfId="7" applyNumberFormat="1" applyFill="1" applyBorder="1" applyAlignment="1">
      <alignment horizontal="right" vertical="center"/>
    </xf>
    <xf numFmtId="181" fontId="7" fillId="0" borderId="9" xfId="7" applyNumberFormat="1" applyFill="1" applyBorder="1" applyAlignment="1">
      <alignment horizontal="right" vertical="center"/>
    </xf>
    <xf numFmtId="177" fontId="7" fillId="0" borderId="9" xfId="7" applyNumberFormat="1" applyFont="1" applyFill="1" applyBorder="1" applyAlignment="1">
      <alignment horizontal="right" vertical="center"/>
    </xf>
    <xf numFmtId="177" fontId="28" fillId="0" borderId="9" xfId="7" applyNumberFormat="1" applyFont="1" applyFill="1" applyBorder="1" applyAlignment="1">
      <alignment horizontal="right" vertical="center"/>
    </xf>
    <xf numFmtId="0" fontId="7" fillId="0" borderId="0" xfId="7" applyFill="1"/>
    <xf numFmtId="179" fontId="18" fillId="0" borderId="9" xfId="7" applyNumberFormat="1" applyFont="1" applyFill="1" applyBorder="1" applyAlignment="1">
      <alignment horizontal="right" vertical="center"/>
    </xf>
    <xf numFmtId="179" fontId="26" fillId="0" borderId="9" xfId="7" applyNumberFormat="1" applyFont="1" applyFill="1" applyBorder="1" applyAlignment="1">
      <alignment horizontal="right" vertical="center"/>
    </xf>
    <xf numFmtId="0" fontId="25" fillId="0" borderId="0" xfId="0" applyFont="1" applyAlignment="1">
      <alignment vertical="top"/>
    </xf>
    <xf numFmtId="0" fontId="21" fillId="0" borderId="30" xfId="3" applyNumberFormat="1" applyFont="1" applyFill="1" applyBorder="1" applyAlignment="1">
      <alignment horizontal="distributed" vertical="center"/>
    </xf>
    <xf numFmtId="0" fontId="24" fillId="0" borderId="0" xfId="3" applyFont="1" applyFill="1" applyAlignment="1">
      <alignment horizontal="center"/>
    </xf>
    <xf numFmtId="0" fontId="25" fillId="0" borderId="0" xfId="4" applyFont="1" applyAlignment="1"/>
    <xf numFmtId="0" fontId="2" fillId="0" borderId="9" xfId="7" applyFont="1" applyBorder="1" applyAlignment="1">
      <alignment horizontal="center"/>
    </xf>
    <xf numFmtId="0" fontId="2" fillId="0" borderId="9" xfId="7" applyFont="1" applyBorder="1" applyAlignment="1">
      <alignment horizontal="center" vertical="center"/>
    </xf>
    <xf numFmtId="0" fontId="30" fillId="0" borderId="0" xfId="0" applyFont="1" applyFill="1"/>
    <xf numFmtId="0" fontId="35" fillId="0" borderId="0" xfId="0" applyFont="1" applyFill="1"/>
    <xf numFmtId="0" fontId="30" fillId="0" borderId="0" xfId="4" applyFont="1" applyAlignment="1">
      <alignment horizontal="left" vertical="top" wrapText="1"/>
    </xf>
    <xf numFmtId="0" fontId="30" fillId="0" borderId="1" xfId="4" applyFont="1" applyFill="1" applyBorder="1"/>
    <xf numFmtId="0" fontId="31" fillId="0" borderId="0" xfId="4" applyFont="1" applyFill="1" applyBorder="1" applyAlignment="1">
      <alignment horizontal="center"/>
    </xf>
    <xf numFmtId="0" fontId="30" fillId="0" borderId="0" xfId="4" applyFont="1" applyFill="1" applyBorder="1"/>
    <xf numFmtId="0" fontId="30" fillId="0" borderId="20" xfId="4" applyFont="1" applyFill="1" applyBorder="1"/>
    <xf numFmtId="0" fontId="32" fillId="0" borderId="0" xfId="4" applyFont="1" applyFill="1" applyBorder="1" applyAlignment="1">
      <alignment horizontal="center" vertical="center"/>
    </xf>
    <xf numFmtId="0" fontId="30" fillId="0" borderId="0" xfId="4" applyFont="1" applyFill="1" applyBorder="1" applyAlignment="1">
      <alignment horizontal="center" vertical="center"/>
    </xf>
    <xf numFmtId="0" fontId="30" fillId="0" borderId="0" xfId="4" applyFont="1" applyFill="1" applyBorder="1" applyAlignment="1">
      <alignment horizontal="left" vertical="distributed" wrapText="1" indent="1"/>
    </xf>
    <xf numFmtId="0" fontId="30" fillId="0" borderId="10" xfId="4" applyFont="1" applyFill="1" applyBorder="1"/>
    <xf numFmtId="0" fontId="30" fillId="0" borderId="13" xfId="4" applyFont="1" applyFill="1" applyBorder="1"/>
    <xf numFmtId="0" fontId="30" fillId="0" borderId="11" xfId="4" applyFont="1" applyFill="1" applyBorder="1"/>
    <xf numFmtId="0" fontId="30" fillId="0" borderId="0" xfId="4" applyFont="1" applyAlignment="1">
      <alignment horizontal="left"/>
    </xf>
    <xf numFmtId="38" fontId="11" fillId="0" borderId="0" xfId="2" applyFont="1" applyAlignment="1">
      <alignment horizontal="right"/>
    </xf>
    <xf numFmtId="185" fontId="60" fillId="0" borderId="5" xfId="1" applyNumberFormat="1" applyFont="1" applyFill="1" applyBorder="1" applyAlignment="1">
      <alignment horizontal="right" vertical="center"/>
    </xf>
    <xf numFmtId="0" fontId="21" fillId="0" borderId="9" xfId="3" applyNumberFormat="1" applyFont="1" applyFill="1" applyBorder="1" applyAlignment="1">
      <alignment horizontal="center" vertical="center"/>
    </xf>
    <xf numFmtId="0" fontId="21" fillId="0" borderId="1" xfId="3" applyNumberFormat="1" applyFont="1" applyFill="1" applyBorder="1" applyAlignment="1">
      <alignment horizontal="distributed" vertical="center"/>
    </xf>
    <xf numFmtId="0" fontId="21" fillId="0" borderId="0" xfId="3" applyNumberFormat="1" applyFont="1" applyFill="1" applyBorder="1" applyAlignment="1">
      <alignment horizontal="distributed" vertical="center"/>
    </xf>
    <xf numFmtId="0" fontId="21" fillId="0" borderId="16" xfId="3" applyNumberFormat="1" applyFont="1" applyFill="1" applyBorder="1" applyAlignment="1">
      <alignment horizontal="distributed" vertical="center"/>
    </xf>
    <xf numFmtId="0" fontId="21" fillId="0" borderId="24" xfId="3" applyNumberFormat="1" applyFont="1" applyFill="1" applyBorder="1" applyAlignment="1">
      <alignment horizontal="distributed" vertical="center"/>
    </xf>
    <xf numFmtId="179" fontId="60" fillId="0" borderId="10" xfId="1" applyNumberFormat="1" applyFont="1" applyFill="1" applyBorder="1" applyAlignment="1">
      <alignment horizontal="right" vertical="top"/>
    </xf>
    <xf numFmtId="190" fontId="21" fillId="0" borderId="0" xfId="3" applyNumberFormat="1" applyFont="1" applyFill="1" applyAlignment="1">
      <alignment horizontal="center"/>
    </xf>
    <xf numFmtId="0" fontId="10" fillId="0" borderId="0" xfId="3" applyNumberFormat="1" applyFont="1" applyFill="1" applyAlignment="1">
      <alignment vertical="center"/>
    </xf>
    <xf numFmtId="0" fontId="21" fillId="0" borderId="2" xfId="3" applyNumberFormat="1" applyFont="1" applyFill="1" applyBorder="1" applyAlignment="1">
      <alignment vertical="center" wrapText="1"/>
    </xf>
    <xf numFmtId="0" fontId="21" fillId="0" borderId="7" xfId="3" applyNumberFormat="1" applyFont="1" applyFill="1" applyBorder="1" applyAlignment="1">
      <alignment vertical="center" wrapText="1"/>
    </xf>
    <xf numFmtId="0" fontId="21" fillId="0" borderId="8" xfId="3" applyNumberFormat="1" applyFont="1" applyFill="1" applyBorder="1" applyAlignment="1">
      <alignment vertical="center" wrapText="1"/>
    </xf>
    <xf numFmtId="0" fontId="24" fillId="0" borderId="0" xfId="3" applyNumberFormat="1" applyFont="1" applyFill="1" applyBorder="1" applyAlignment="1">
      <alignment horizontal="left"/>
    </xf>
    <xf numFmtId="0" fontId="21" fillId="0" borderId="0" xfId="3" applyNumberFormat="1" applyFont="1" applyFill="1" applyAlignment="1">
      <alignment horizontal="left"/>
    </xf>
    <xf numFmtId="0" fontId="21" fillId="0" borderId="0" xfId="3" applyFont="1" applyFill="1" applyAlignment="1">
      <alignment horizontal="center"/>
    </xf>
    <xf numFmtId="0" fontId="21" fillId="0" borderId="0" xfId="3" applyNumberFormat="1" applyFont="1" applyFill="1" applyAlignment="1">
      <alignment horizontal="distributed"/>
    </xf>
    <xf numFmtId="0" fontId="61" fillId="0" borderId="0" xfId="4" applyFont="1"/>
    <xf numFmtId="0" fontId="1" fillId="0" borderId="9" xfId="7" applyFont="1" applyBorder="1" applyAlignment="1">
      <alignment horizontal="center"/>
    </xf>
    <xf numFmtId="0" fontId="1" fillId="0" borderId="9" xfId="7" applyFont="1" applyFill="1" applyBorder="1" applyAlignment="1">
      <alignment horizontal="center"/>
    </xf>
    <xf numFmtId="0" fontId="40" fillId="0" borderId="0" xfId="10" applyFont="1" applyAlignment="1">
      <alignment vertical="center"/>
    </xf>
    <xf numFmtId="0" fontId="56" fillId="0" borderId="0" xfId="10" applyFont="1" applyAlignment="1">
      <alignment vertical="center"/>
    </xf>
    <xf numFmtId="0" fontId="48" fillId="0" borderId="0" xfId="10" applyFont="1" applyAlignment="1">
      <alignment horizontal="center" vertical="center"/>
    </xf>
    <xf numFmtId="0" fontId="49" fillId="0" borderId="0" xfId="10" applyFont="1" applyAlignment="1">
      <alignment vertical="center"/>
    </xf>
    <xf numFmtId="0" fontId="49" fillId="0" borderId="36" xfId="10" applyFont="1" applyBorder="1" applyAlignment="1">
      <alignment vertical="center"/>
    </xf>
    <xf numFmtId="0" fontId="50" fillId="0" borderId="36" xfId="10" applyFont="1" applyBorder="1" applyAlignment="1">
      <alignment horizontal="right" vertical="center"/>
    </xf>
    <xf numFmtId="0" fontId="40" fillId="0" borderId="0" xfId="10" applyFont="1" applyBorder="1" applyAlignment="1">
      <alignment horizontal="right" vertical="center"/>
    </xf>
    <xf numFmtId="38" fontId="49" fillId="0" borderId="0" xfId="11" applyFont="1" applyAlignment="1">
      <alignment vertical="center"/>
    </xf>
    <xf numFmtId="0" fontId="49" fillId="0" borderId="38" xfId="10" applyFont="1" applyBorder="1" applyAlignment="1">
      <alignment horizontal="distributed" vertical="center" wrapText="1" justifyLastLine="1"/>
    </xf>
    <xf numFmtId="0" fontId="49" fillId="0" borderId="40" xfId="10" applyFont="1" applyBorder="1" applyAlignment="1">
      <alignment horizontal="distributed" vertical="center" wrapText="1" justifyLastLine="1"/>
    </xf>
    <xf numFmtId="0" fontId="49" fillId="0" borderId="40" xfId="10" applyFont="1" applyBorder="1" applyAlignment="1">
      <alignment horizontal="center" vertical="center"/>
    </xf>
    <xf numFmtId="0" fontId="49" fillId="0" borderId="41" xfId="10" applyFont="1" applyBorder="1" applyAlignment="1">
      <alignment horizontal="center" vertical="center"/>
    </xf>
    <xf numFmtId="0" fontId="51" fillId="0" borderId="0" xfId="10" applyFont="1" applyBorder="1" applyAlignment="1">
      <alignment horizontal="center" vertical="center"/>
    </xf>
    <xf numFmtId="0" fontId="62" fillId="0" borderId="37" xfId="10" applyFont="1" applyBorder="1" applyAlignment="1">
      <alignment horizontal="distributed" vertical="center" wrapText="1" justifyLastLine="1"/>
    </xf>
    <xf numFmtId="0" fontId="62" fillId="0" borderId="41" xfId="10" applyFont="1" applyBorder="1" applyAlignment="1">
      <alignment horizontal="center" vertical="center"/>
    </xf>
    <xf numFmtId="186" fontId="51" fillId="0" borderId="56" xfId="10" applyNumberFormat="1" applyFont="1" applyBorder="1" applyAlignment="1">
      <alignment vertical="center"/>
    </xf>
    <xf numFmtId="186" fontId="51" fillId="0" borderId="59" xfId="10" applyNumberFormat="1" applyFont="1" applyBorder="1" applyAlignment="1">
      <alignment vertical="center"/>
    </xf>
    <xf numFmtId="179" fontId="51" fillId="0" borderId="7" xfId="10" applyNumberFormat="1" applyFont="1" applyBorder="1" applyAlignment="1">
      <alignment vertical="center"/>
    </xf>
    <xf numFmtId="191" fontId="51" fillId="0" borderId="60" xfId="10" applyNumberFormat="1" applyFont="1" applyBorder="1" applyAlignment="1">
      <alignment vertical="center"/>
    </xf>
    <xf numFmtId="192" fontId="52" fillId="0" borderId="0" xfId="10" applyNumberFormat="1" applyFont="1" applyBorder="1" applyAlignment="1">
      <alignment vertical="center"/>
    </xf>
    <xf numFmtId="186" fontId="51" fillId="0" borderId="61" xfId="10" applyNumberFormat="1" applyFont="1" applyBorder="1" applyAlignment="1">
      <alignment vertical="center" shrinkToFit="1"/>
    </xf>
    <xf numFmtId="179" fontId="51" fillId="0" borderId="45" xfId="10" applyNumberFormat="1" applyFont="1" applyBorder="1" applyAlignment="1">
      <alignment vertical="center" shrinkToFit="1"/>
    </xf>
    <xf numFmtId="193" fontId="51" fillId="0" borderId="62" xfId="10" applyNumberFormat="1" applyFont="1" applyBorder="1" applyAlignment="1">
      <alignment vertical="center"/>
    </xf>
    <xf numFmtId="193" fontId="51" fillId="0" borderId="34" xfId="10" applyNumberFormat="1" applyFont="1" applyBorder="1" applyAlignment="1">
      <alignment vertical="center"/>
    </xf>
    <xf numFmtId="194" fontId="51" fillId="0" borderId="44" xfId="10" applyNumberFormat="1" applyFont="1" applyBorder="1" applyAlignment="1">
      <alignment vertical="center"/>
    </xf>
    <xf numFmtId="195" fontId="51" fillId="0" borderId="45" xfId="10" applyNumberFormat="1" applyFont="1" applyBorder="1" applyAlignment="1">
      <alignment vertical="center"/>
    </xf>
    <xf numFmtId="186" fontId="51" fillId="0" borderId="63" xfId="10" applyNumberFormat="1" applyFont="1" applyBorder="1" applyAlignment="1">
      <alignment vertical="center" shrinkToFit="1"/>
    </xf>
    <xf numFmtId="179" fontId="51" fillId="0" borderId="60" xfId="10" applyNumberFormat="1" applyFont="1" applyBorder="1" applyAlignment="1">
      <alignment vertical="center" shrinkToFit="1"/>
    </xf>
    <xf numFmtId="186" fontId="51" fillId="0" borderId="13" xfId="10" applyNumberFormat="1" applyFont="1" applyBorder="1" applyAlignment="1">
      <alignment vertical="center"/>
    </xf>
    <xf numFmtId="186" fontId="51" fillId="0" borderId="8" xfId="10" applyNumberFormat="1" applyFont="1" applyBorder="1" applyAlignment="1">
      <alignment vertical="center"/>
    </xf>
    <xf numFmtId="179" fontId="51" fillId="0" borderId="8" xfId="10" applyNumberFormat="1" applyFont="1" applyBorder="1" applyAlignment="1">
      <alignment vertical="center"/>
    </xf>
    <xf numFmtId="191" fontId="51" fillId="0" borderId="47" xfId="10" applyNumberFormat="1" applyFont="1" applyBorder="1" applyAlignment="1">
      <alignment vertical="center"/>
    </xf>
    <xf numFmtId="186" fontId="51" fillId="0" borderId="64" xfId="10" applyNumberFormat="1" applyFont="1" applyBorder="1" applyAlignment="1">
      <alignment vertical="center" shrinkToFit="1"/>
    </xf>
    <xf numFmtId="179" fontId="51" fillId="0" borderId="47" xfId="10" applyNumberFormat="1" applyFont="1" applyBorder="1" applyAlignment="1">
      <alignment vertical="center" shrinkToFit="1"/>
    </xf>
    <xf numFmtId="186" fontId="51" fillId="0" borderId="65" xfId="10" applyNumberFormat="1" applyFont="1" applyFill="1" applyBorder="1" applyAlignment="1">
      <alignment vertical="center"/>
    </xf>
    <xf numFmtId="186" fontId="51" fillId="0" borderId="2" xfId="10" applyNumberFormat="1" applyFont="1" applyFill="1" applyBorder="1" applyAlignment="1">
      <alignment vertical="center"/>
    </xf>
    <xf numFmtId="179" fontId="51" fillId="0" borderId="2" xfId="10" applyNumberFormat="1" applyFont="1" applyBorder="1" applyAlignment="1">
      <alignment vertical="center"/>
    </xf>
    <xf numFmtId="191" fontId="51" fillId="0" borderId="50" xfId="10" applyNumberFormat="1" applyFont="1" applyBorder="1" applyAlignment="1">
      <alignment vertical="center"/>
    </xf>
    <xf numFmtId="186" fontId="51" fillId="0" borderId="66" xfId="10" applyNumberFormat="1" applyFont="1" applyFill="1" applyBorder="1" applyAlignment="1">
      <alignment vertical="center" shrinkToFit="1"/>
    </xf>
    <xf numFmtId="179" fontId="51" fillId="0" borderId="48" xfId="10" applyNumberFormat="1" applyFont="1" applyBorder="1" applyAlignment="1">
      <alignment vertical="center" shrinkToFit="1"/>
    </xf>
    <xf numFmtId="0" fontId="49" fillId="0" borderId="9" xfId="10" applyFont="1" applyBorder="1" applyAlignment="1">
      <alignment vertical="center"/>
    </xf>
    <xf numFmtId="186" fontId="49" fillId="0" borderId="9" xfId="10" applyNumberFormat="1" applyFont="1" applyBorder="1" applyAlignment="1">
      <alignment vertical="center"/>
    </xf>
    <xf numFmtId="193" fontId="51" fillId="0" borderId="67" xfId="10" applyNumberFormat="1" applyFont="1" applyBorder="1" applyAlignment="1">
      <alignment vertical="center"/>
    </xf>
    <xf numFmtId="193" fontId="51" fillId="0" borderId="13" xfId="10" applyNumberFormat="1" applyFont="1" applyBorder="1" applyAlignment="1">
      <alignment vertical="center"/>
    </xf>
    <xf numFmtId="194" fontId="51" fillId="0" borderId="8" xfId="10" applyNumberFormat="1" applyFont="1" applyBorder="1" applyAlignment="1">
      <alignment vertical="center"/>
    </xf>
    <xf numFmtId="195" fontId="51" fillId="0" borderId="47" xfId="10" applyNumberFormat="1" applyFont="1" applyBorder="1" applyAlignment="1">
      <alignment vertical="center"/>
    </xf>
    <xf numFmtId="0" fontId="49" fillId="0" borderId="48" xfId="10" applyFont="1" applyBorder="1" applyAlignment="1">
      <alignment horizontal="distributed" vertical="center"/>
    </xf>
    <xf numFmtId="186" fontId="51" fillId="0" borderId="13" xfId="10" applyNumberFormat="1" applyFont="1" applyFill="1" applyBorder="1" applyAlignment="1">
      <alignment vertical="center"/>
    </xf>
    <xf numFmtId="186" fontId="51" fillId="0" borderId="8" xfId="10" applyNumberFormat="1" applyFont="1" applyFill="1" applyBorder="1" applyAlignment="1">
      <alignment vertical="center"/>
    </xf>
    <xf numFmtId="186" fontId="51" fillId="0" borderId="15" xfId="10" applyNumberFormat="1" applyFont="1" applyFill="1" applyBorder="1" applyAlignment="1">
      <alignment vertical="center"/>
    </xf>
    <xf numFmtId="186" fontId="51" fillId="0" borderId="9" xfId="10" applyNumberFormat="1" applyFont="1" applyFill="1" applyBorder="1" applyAlignment="1">
      <alignment vertical="center"/>
    </xf>
    <xf numFmtId="179" fontId="51" fillId="0" borderId="9" xfId="10" applyNumberFormat="1" applyFont="1" applyBorder="1" applyAlignment="1">
      <alignment vertical="center"/>
    </xf>
    <xf numFmtId="191" fontId="51" fillId="0" borderId="48" xfId="10" applyNumberFormat="1" applyFont="1" applyBorder="1" applyAlignment="1">
      <alignment vertical="center"/>
    </xf>
    <xf numFmtId="0" fontId="49" fillId="0" borderId="48" xfId="10" applyFont="1" applyBorder="1" applyAlignment="1">
      <alignment horizontal="distributed" vertical="center" wrapText="1"/>
    </xf>
    <xf numFmtId="186" fontId="51" fillId="0" borderId="68" xfId="10" applyNumberFormat="1" applyFont="1" applyFill="1" applyBorder="1" applyAlignment="1">
      <alignment vertical="center"/>
    </xf>
    <xf numFmtId="0" fontId="49" fillId="0" borderId="1" xfId="10" applyFont="1" applyBorder="1" applyAlignment="1">
      <alignment horizontal="center" vertical="center"/>
    </xf>
    <xf numFmtId="186" fontId="51" fillId="0" borderId="65" xfId="10" applyNumberFormat="1" applyFont="1" applyFill="1" applyBorder="1" applyAlignment="1">
      <alignment vertical="center" shrinkToFit="1"/>
    </xf>
    <xf numFmtId="179" fontId="51" fillId="0" borderId="50" xfId="10" applyNumberFormat="1" applyFont="1" applyBorder="1" applyAlignment="1">
      <alignment vertical="center" shrinkToFit="1"/>
    </xf>
    <xf numFmtId="186" fontId="51" fillId="0" borderId="2" xfId="10" applyNumberFormat="1" applyFont="1" applyFill="1" applyBorder="1" applyAlignment="1">
      <alignment horizontal="right" vertical="center"/>
    </xf>
    <xf numFmtId="191" fontId="51" fillId="0" borderId="50" xfId="10" applyNumberFormat="1" applyFont="1" applyBorder="1" applyAlignment="1">
      <alignment horizontal="right" vertical="center"/>
    </xf>
    <xf numFmtId="0" fontId="49" fillId="0" borderId="51" xfId="10" applyFont="1" applyBorder="1" applyAlignment="1">
      <alignment vertical="center"/>
    </xf>
    <xf numFmtId="186" fontId="51" fillId="0" borderId="69" xfId="10" applyNumberFormat="1" applyFont="1" applyFill="1" applyBorder="1" applyAlignment="1">
      <alignment vertical="center"/>
    </xf>
    <xf numFmtId="186" fontId="51" fillId="0" borderId="54" xfId="10" applyNumberFormat="1" applyFont="1" applyFill="1" applyBorder="1" applyAlignment="1">
      <alignment vertical="center"/>
    </xf>
    <xf numFmtId="179" fontId="51" fillId="0" borderId="54" xfId="10" applyNumberFormat="1" applyFont="1" applyBorder="1" applyAlignment="1">
      <alignment vertical="center"/>
    </xf>
    <xf numFmtId="191" fontId="51" fillId="0" borderId="55" xfId="10" applyNumberFormat="1" applyFont="1" applyBorder="1" applyAlignment="1">
      <alignment vertical="center"/>
    </xf>
    <xf numFmtId="186" fontId="51" fillId="0" borderId="69" xfId="10" applyNumberFormat="1" applyFont="1" applyFill="1" applyBorder="1" applyAlignment="1">
      <alignment vertical="center" shrinkToFit="1"/>
    </xf>
    <xf numFmtId="179" fontId="51" fillId="0" borderId="55" xfId="10" applyNumberFormat="1" applyFont="1" applyBorder="1" applyAlignment="1">
      <alignment vertical="center" shrinkToFit="1"/>
    </xf>
    <xf numFmtId="186" fontId="50" fillId="0" borderId="0" xfId="10" applyNumberFormat="1" applyFont="1" applyBorder="1" applyAlignment="1">
      <alignment vertical="center"/>
    </xf>
    <xf numFmtId="186" fontId="52" fillId="0" borderId="0" xfId="10" applyNumberFormat="1" applyFont="1" applyBorder="1" applyAlignment="1">
      <alignment vertical="center"/>
    </xf>
    <xf numFmtId="192" fontId="53" fillId="0" borderId="0" xfId="10" applyNumberFormat="1" applyFont="1" applyBorder="1" applyAlignment="1">
      <alignment horizontal="right" vertical="center"/>
    </xf>
    <xf numFmtId="0" fontId="62" fillId="0" borderId="0" xfId="10" applyFont="1" applyBorder="1" applyAlignment="1"/>
    <xf numFmtId="0" fontId="51" fillId="0" borderId="0" xfId="10" applyFont="1" applyBorder="1" applyAlignment="1">
      <alignment horizontal="distributed" vertical="center"/>
    </xf>
    <xf numFmtId="0" fontId="51" fillId="0" borderId="0" xfId="10" applyFont="1" applyAlignment="1">
      <alignment horizontal="center" vertical="center"/>
    </xf>
    <xf numFmtId="0" fontId="54" fillId="0" borderId="0" xfId="10" applyFont="1" applyFill="1" applyAlignment="1">
      <alignment vertical="center"/>
    </xf>
    <xf numFmtId="0" fontId="51" fillId="0" borderId="0" xfId="10" applyFont="1" applyAlignment="1">
      <alignment vertical="center"/>
    </xf>
    <xf numFmtId="0" fontId="54" fillId="0" borderId="0" xfId="10" applyFont="1" applyAlignment="1">
      <alignment vertical="center"/>
    </xf>
    <xf numFmtId="0" fontId="55" fillId="0" borderId="0" xfId="10" applyFont="1" applyAlignment="1">
      <alignment vertical="center"/>
    </xf>
    <xf numFmtId="0" fontId="47" fillId="0" borderId="0" xfId="10" applyFont="1" applyAlignment="1">
      <alignment vertical="center"/>
    </xf>
    <xf numFmtId="0" fontId="57" fillId="0" borderId="0" xfId="10" applyFont="1" applyAlignment="1">
      <alignment horizontal="right" vertical="center"/>
    </xf>
    <xf numFmtId="0" fontId="49" fillId="0" borderId="0" xfId="10" applyFont="1" applyAlignment="1">
      <alignment horizontal="center" vertical="top"/>
    </xf>
    <xf numFmtId="0" fontId="49" fillId="0" borderId="0" xfId="10" applyFont="1" applyFill="1" applyAlignment="1">
      <alignment vertical="top"/>
    </xf>
    <xf numFmtId="0" fontId="58" fillId="0" borderId="0" xfId="10" applyFont="1" applyAlignment="1">
      <alignment vertical="center"/>
    </xf>
    <xf numFmtId="0" fontId="49" fillId="0" borderId="0" xfId="10" applyFont="1" applyAlignment="1">
      <alignment vertical="distributed"/>
    </xf>
    <xf numFmtId="0" fontId="51" fillId="0" borderId="0" xfId="10" applyFont="1" applyAlignment="1">
      <alignment vertical="distributed"/>
    </xf>
    <xf numFmtId="0" fontId="51" fillId="0" borderId="0" xfId="10" applyFont="1" applyAlignment="1">
      <alignment horizontal="left" vertical="top" wrapText="1"/>
    </xf>
    <xf numFmtId="0" fontId="1" fillId="0" borderId="0" xfId="10" applyFont="1" applyAlignment="1">
      <alignment vertical="distributed"/>
    </xf>
    <xf numFmtId="0" fontId="55" fillId="0" borderId="0" xfId="10" applyFont="1" applyFill="1" applyAlignment="1">
      <alignment vertical="center"/>
    </xf>
    <xf numFmtId="0" fontId="59" fillId="0" borderId="0" xfId="10" applyFont="1" applyAlignment="1">
      <alignment vertical="center"/>
    </xf>
    <xf numFmtId="0" fontId="63" fillId="0" borderId="0" xfId="10" applyFont="1" applyAlignment="1">
      <alignment vertical="center"/>
    </xf>
    <xf numFmtId="0" fontId="61" fillId="0" borderId="0" xfId="10" applyFont="1"/>
    <xf numFmtId="0" fontId="61" fillId="0" borderId="0" xfId="10" applyFont="1" applyFill="1"/>
    <xf numFmtId="0" fontId="1" fillId="0" borderId="0" xfId="12"/>
    <xf numFmtId="0" fontId="1" fillId="0" borderId="12" xfId="12" applyBorder="1" applyAlignment="1">
      <alignment horizontal="distributed" vertical="center"/>
    </xf>
    <xf numFmtId="0" fontId="1" fillId="0" borderId="2" xfId="12" applyBorder="1" applyAlignment="1">
      <alignment horizontal="center" vertical="center"/>
    </xf>
    <xf numFmtId="0" fontId="1" fillId="0" borderId="9" xfId="12" applyFont="1" applyBorder="1" applyAlignment="1">
      <alignment horizontal="center"/>
    </xf>
    <xf numFmtId="0" fontId="1" fillId="0" borderId="0" xfId="12" applyAlignment="1"/>
    <xf numFmtId="0" fontId="1" fillId="0" borderId="9" xfId="12" applyBorder="1" applyAlignment="1">
      <alignment horizontal="distributed" vertical="center"/>
    </xf>
    <xf numFmtId="179" fontId="1" fillId="0" borderId="9" xfId="12" applyNumberFormat="1" applyBorder="1" applyAlignment="1">
      <alignment horizontal="right" vertical="center"/>
    </xf>
    <xf numFmtId="179" fontId="1" fillId="0" borderId="9" xfId="12" applyNumberFormat="1" applyBorder="1" applyAlignment="1"/>
    <xf numFmtId="179" fontId="1" fillId="0" borderId="9" xfId="12" applyNumberFormat="1" applyFill="1" applyBorder="1" applyAlignment="1"/>
    <xf numFmtId="179" fontId="1" fillId="0" borderId="9" xfId="12" applyNumberFormat="1" applyFont="1" applyFill="1" applyBorder="1" applyAlignment="1">
      <alignment horizontal="right" vertical="center"/>
    </xf>
    <xf numFmtId="179" fontId="1" fillId="0" borderId="0" xfId="12" applyNumberFormat="1"/>
    <xf numFmtId="0" fontId="18" fillId="0" borderId="0" xfId="12" applyFont="1" applyFill="1" applyBorder="1" applyAlignment="1">
      <alignment horizontal="distributed" vertical="center"/>
    </xf>
    <xf numFmtId="179" fontId="1" fillId="0" borderId="9" xfId="12" applyNumberFormat="1" applyFont="1" applyBorder="1" applyAlignment="1">
      <alignment horizontal="right" vertical="center"/>
    </xf>
    <xf numFmtId="179" fontId="1" fillId="0" borderId="0" xfId="12" applyNumberFormat="1" applyBorder="1" applyAlignment="1">
      <alignment horizontal="right" vertical="center"/>
    </xf>
    <xf numFmtId="179" fontId="1" fillId="0" borderId="14" xfId="12" applyNumberFormat="1" applyFill="1" applyBorder="1" applyAlignment="1">
      <alignment horizontal="right" vertical="center"/>
    </xf>
    <xf numFmtId="0" fontId="1" fillId="0" borderId="2" xfId="12" applyFont="1" applyBorder="1" applyAlignment="1">
      <alignment horizontal="center" vertical="center"/>
    </xf>
    <xf numFmtId="181" fontId="1" fillId="0" borderId="9" xfId="12" applyNumberFormat="1" applyBorder="1" applyAlignment="1">
      <alignment horizontal="right" vertical="center"/>
    </xf>
    <xf numFmtId="184" fontId="1" fillId="0" borderId="9" xfId="12" applyNumberFormat="1" applyBorder="1" applyAlignment="1">
      <alignment horizontal="right" vertical="center"/>
    </xf>
    <xf numFmtId="177" fontId="1" fillId="0" borderId="9" xfId="12" applyNumberFormat="1" applyBorder="1" applyAlignment="1">
      <alignment horizontal="right" vertical="center"/>
    </xf>
    <xf numFmtId="0" fontId="18" fillId="0" borderId="0" xfId="12" applyFont="1"/>
    <xf numFmtId="177" fontId="1" fillId="0" borderId="9" xfId="12" applyNumberFormat="1" applyFill="1" applyBorder="1" applyAlignment="1">
      <alignment horizontal="right" vertical="center"/>
    </xf>
    <xf numFmtId="177" fontId="1" fillId="0" borderId="2" xfId="12" applyNumberFormat="1" applyBorder="1" applyAlignment="1">
      <alignment horizontal="right" vertical="center"/>
    </xf>
    <xf numFmtId="177" fontId="1" fillId="0" borderId="8" xfId="12" applyNumberFormat="1" applyBorder="1" applyAlignment="1">
      <alignment horizontal="right" vertical="center"/>
    </xf>
    <xf numFmtId="177" fontId="28" fillId="0" borderId="9" xfId="12" applyNumberFormat="1" applyFont="1" applyBorder="1" applyAlignment="1">
      <alignment horizontal="right" vertical="center"/>
    </xf>
    <xf numFmtId="0" fontId="27" fillId="0" borderId="0" xfId="12" applyFont="1"/>
    <xf numFmtId="0" fontId="1" fillId="0" borderId="0" xfId="12" applyFont="1"/>
    <xf numFmtId="0" fontId="18" fillId="0" borderId="12" xfId="12" applyFont="1" applyBorder="1" applyAlignment="1">
      <alignment horizontal="distributed" vertical="center"/>
    </xf>
    <xf numFmtId="0" fontId="18" fillId="0" borderId="2" xfId="12" applyFont="1" applyBorder="1" applyAlignment="1">
      <alignment horizontal="center" vertical="center"/>
    </xf>
    <xf numFmtId="0" fontId="18" fillId="0" borderId="9" xfId="12" applyFont="1" applyBorder="1" applyAlignment="1">
      <alignment horizontal="distributed" vertical="center" wrapText="1"/>
    </xf>
    <xf numFmtId="179" fontId="18" fillId="0" borderId="9" xfId="12" applyNumberFormat="1" applyFont="1" applyBorder="1" applyAlignment="1">
      <alignment vertical="center"/>
    </xf>
    <xf numFmtId="0" fontId="18" fillId="0" borderId="9" xfId="12" applyFont="1" applyBorder="1" applyAlignment="1">
      <alignment horizontal="distributed" vertical="center"/>
    </xf>
    <xf numFmtId="0" fontId="1" fillId="0" borderId="0" xfId="12" applyBorder="1"/>
    <xf numFmtId="0" fontId="18" fillId="0" borderId="15" xfId="12" applyFont="1" applyBorder="1" applyAlignment="1">
      <alignment horizontal="distributed" vertical="center"/>
    </xf>
    <xf numFmtId="179" fontId="18" fillId="0" borderId="15" xfId="12" applyNumberFormat="1" applyFont="1" applyBorder="1" applyAlignment="1">
      <alignment vertical="center"/>
    </xf>
    <xf numFmtId="179" fontId="1" fillId="0" borderId="0" xfId="12" applyNumberFormat="1" applyFill="1" applyBorder="1" applyAlignment="1">
      <alignment horizontal="right" vertical="center"/>
    </xf>
    <xf numFmtId="181" fontId="1" fillId="0" borderId="35" xfId="12" applyNumberFormat="1" applyBorder="1" applyAlignment="1">
      <alignment horizontal="right" vertical="center"/>
    </xf>
    <xf numFmtId="0" fontId="18" fillId="2" borderId="0" xfId="13" applyFont="1" applyFill="1"/>
    <xf numFmtId="0" fontId="1" fillId="2" borderId="0" xfId="13" applyFont="1" applyFill="1"/>
    <xf numFmtId="0" fontId="1" fillId="0" borderId="0" xfId="13" applyFont="1"/>
    <xf numFmtId="0" fontId="18" fillId="2" borderId="28" xfId="13" applyFont="1" applyFill="1" applyBorder="1" applyAlignment="1">
      <alignment horizontal="distributed" vertical="center"/>
    </xf>
    <xf numFmtId="0" fontId="18" fillId="2" borderId="29" xfId="13" applyFont="1" applyFill="1" applyBorder="1" applyAlignment="1">
      <alignment horizontal="center" vertical="center"/>
    </xf>
    <xf numFmtId="0" fontId="34" fillId="2" borderId="29" xfId="13" applyFont="1" applyFill="1" applyBorder="1" applyAlignment="1">
      <alignment horizontal="distributed" vertical="center" wrapText="1"/>
    </xf>
    <xf numFmtId="179" fontId="18" fillId="2" borderId="29" xfId="13" applyNumberFormat="1" applyFont="1" applyFill="1" applyBorder="1" applyAlignment="1">
      <alignment vertical="center"/>
    </xf>
    <xf numFmtId="0" fontId="34" fillId="2" borderId="29" xfId="13" applyFont="1" applyFill="1" applyBorder="1" applyAlignment="1">
      <alignment horizontal="distributed" vertical="center"/>
    </xf>
    <xf numFmtId="179" fontId="18" fillId="0" borderId="29" xfId="13" applyNumberFormat="1" applyFont="1" applyFill="1" applyBorder="1" applyAlignment="1">
      <alignment vertical="center"/>
    </xf>
    <xf numFmtId="0" fontId="1" fillId="0" borderId="0" xfId="13" applyFont="1" applyBorder="1"/>
    <xf numFmtId="179" fontId="1" fillId="2" borderId="0" xfId="13" applyNumberFormat="1" applyFont="1" applyFill="1" applyBorder="1" applyAlignment="1">
      <alignment horizontal="right" vertical="center"/>
    </xf>
    <xf numFmtId="179" fontId="1" fillId="0" borderId="0" xfId="13" applyNumberFormat="1" applyFont="1" applyFill="1" applyBorder="1" applyAlignment="1">
      <alignment horizontal="right" vertical="center"/>
    </xf>
    <xf numFmtId="179" fontId="1" fillId="2" borderId="29" xfId="13" applyNumberFormat="1" applyFont="1" applyFill="1" applyBorder="1" applyAlignment="1">
      <alignment vertical="center"/>
    </xf>
    <xf numFmtId="185" fontId="60" fillId="0" borderId="5" xfId="1" applyNumberFormat="1" applyFont="1" applyFill="1" applyBorder="1" applyAlignment="1">
      <alignment horizontal="right" vertical="center"/>
    </xf>
    <xf numFmtId="0" fontId="21" fillId="0" borderId="0" xfId="3" applyNumberFormat="1" applyFont="1" applyFill="1" applyBorder="1" applyAlignment="1">
      <alignment horizontal="distributed" vertical="center"/>
    </xf>
    <xf numFmtId="179" fontId="60" fillId="0" borderId="10" xfId="1" applyNumberFormat="1" applyFont="1" applyFill="1" applyBorder="1" applyAlignment="1">
      <alignment horizontal="right" vertical="top"/>
    </xf>
    <xf numFmtId="0" fontId="30" fillId="0" borderId="0" xfId="4" applyFont="1" applyAlignment="1">
      <alignment horizontal="left" vertical="top" wrapText="1"/>
    </xf>
    <xf numFmtId="0" fontId="21" fillId="0" borderId="0" xfId="3" applyNumberFormat="1" applyFont="1" applyFill="1" applyBorder="1" applyAlignment="1">
      <alignment vertical="center" wrapText="1"/>
    </xf>
    <xf numFmtId="0" fontId="21" fillId="0" borderId="0" xfId="3" applyNumberFormat="1" applyFont="1" applyFill="1" applyBorder="1" applyAlignment="1">
      <alignment horizontal="distributed" vertical="center" wrapText="1"/>
    </xf>
    <xf numFmtId="176" fontId="21" fillId="0" borderId="0" xfId="3" applyNumberFormat="1" applyFont="1" applyFill="1" applyBorder="1" applyAlignment="1">
      <alignment horizontal="right" vertical="center"/>
    </xf>
    <xf numFmtId="0" fontId="0" fillId="0" borderId="0" xfId="0" applyBorder="1" applyAlignment="1">
      <alignment vertical="top"/>
    </xf>
    <xf numFmtId="178" fontId="21" fillId="0" borderId="0" xfId="1" applyNumberFormat="1" applyFont="1" applyFill="1" applyBorder="1" applyAlignment="1">
      <alignment vertical="center"/>
    </xf>
    <xf numFmtId="0" fontId="25" fillId="0" borderId="0" xfId="0" applyFont="1" applyAlignment="1"/>
    <xf numFmtId="0" fontId="25" fillId="0" borderId="0" xfId="0" applyFont="1"/>
    <xf numFmtId="0" fontId="67" fillId="0" borderId="0" xfId="3" applyNumberFormat="1" applyFont="1" applyFill="1" applyAlignment="1">
      <alignment horizontal="center"/>
    </xf>
    <xf numFmtId="0" fontId="66" fillId="0" borderId="0" xfId="3" applyNumberFormat="1" applyFont="1" applyFill="1" applyAlignment="1">
      <alignment horizontal="center"/>
    </xf>
    <xf numFmtId="0" fontId="66" fillId="0" borderId="0" xfId="3" applyFont="1" applyFill="1" applyAlignment="1">
      <alignment horizontal="center"/>
    </xf>
    <xf numFmtId="0" fontId="66" fillId="0" borderId="0" xfId="3" applyNumberFormat="1" applyFont="1" applyFill="1" applyAlignment="1">
      <alignment horizontal="distributed"/>
    </xf>
    <xf numFmtId="0" fontId="69" fillId="0" borderId="0" xfId="3" applyNumberFormat="1" applyFont="1" applyFill="1" applyAlignment="1">
      <alignment horizontal="left"/>
    </xf>
    <xf numFmtId="49" fontId="66" fillId="0" borderId="0" xfId="3" quotePrefix="1" applyNumberFormat="1" applyFont="1" applyFill="1" applyAlignment="1">
      <alignment horizontal="center"/>
    </xf>
    <xf numFmtId="49" fontId="66" fillId="0" borderId="0" xfId="3" applyNumberFormat="1" applyFont="1" applyFill="1" applyAlignment="1">
      <alignment horizontal="center"/>
    </xf>
    <xf numFmtId="0" fontId="66" fillId="0" borderId="0" xfId="3" quotePrefix="1" applyNumberFormat="1" applyFont="1" applyFill="1" applyAlignment="1">
      <alignment horizontal="center"/>
    </xf>
    <xf numFmtId="0" fontId="69" fillId="0" borderId="0" xfId="3" applyNumberFormat="1" applyFont="1" applyFill="1" applyAlignment="1">
      <alignment horizontal="center"/>
    </xf>
    <xf numFmtId="0" fontId="70" fillId="0" borderId="0" xfId="3" applyFont="1" applyFill="1" applyAlignment="1">
      <alignment horizontal="center"/>
    </xf>
    <xf numFmtId="0" fontId="66" fillId="0" borderId="0" xfId="3" applyNumberFormat="1" applyFont="1" applyFill="1"/>
    <xf numFmtId="0" fontId="66" fillId="0" borderId="0" xfId="3" applyNumberFormat="1" applyFont="1" applyFill="1" applyAlignment="1">
      <alignment horizontal="left"/>
    </xf>
    <xf numFmtId="0" fontId="71" fillId="0" borderId="0" xfId="3" applyNumberFormat="1" applyFont="1" applyFill="1"/>
    <xf numFmtId="0" fontId="71" fillId="0" borderId="0" xfId="3" applyNumberFormat="1" applyFont="1" applyFill="1" applyAlignment="1">
      <alignment horizontal="distributed"/>
    </xf>
    <xf numFmtId="0" fontId="71" fillId="0" borderId="0" xfId="3" applyNumberFormat="1" applyFont="1" applyFill="1" applyAlignment="1">
      <alignment horizontal="center"/>
    </xf>
    <xf numFmtId="0" fontId="71" fillId="0" borderId="0" xfId="3" applyFont="1" applyFill="1" applyAlignment="1">
      <alignment horizontal="center"/>
    </xf>
    <xf numFmtId="0" fontId="71" fillId="0" borderId="0" xfId="3" applyFont="1" applyFill="1"/>
    <xf numFmtId="0" fontId="71" fillId="0" borderId="0" xfId="3" applyNumberFormat="1" applyFont="1" applyFill="1" applyAlignment="1">
      <alignment horizontal="left"/>
    </xf>
    <xf numFmtId="0" fontId="70" fillId="0" borderId="0" xfId="3" applyNumberFormat="1" applyFont="1" applyFill="1" applyAlignment="1">
      <alignment horizontal="center"/>
    </xf>
    <xf numFmtId="0" fontId="30" fillId="0" borderId="0" xfId="4" applyFont="1" applyAlignment="1">
      <alignment horizontal="left" vertical="top" wrapText="1"/>
    </xf>
    <xf numFmtId="0" fontId="25" fillId="0" borderId="0" xfId="0" applyFont="1"/>
    <xf numFmtId="0" fontId="25" fillId="0" borderId="0" xfId="10" applyFont="1"/>
    <xf numFmtId="0" fontId="25" fillId="0" borderId="0" xfId="10" applyFont="1" applyFill="1"/>
    <xf numFmtId="0" fontId="25" fillId="0" borderId="0" xfId="0" applyFont="1" applyFill="1"/>
    <xf numFmtId="0" fontId="21" fillId="0" borderId="1" xfId="3" applyNumberFormat="1" applyFont="1" applyFill="1" applyBorder="1" applyAlignment="1">
      <alignment horizontal="distributed" vertical="center"/>
    </xf>
    <xf numFmtId="0" fontId="21" fillId="0" borderId="9" xfId="3" applyNumberFormat="1" applyFont="1" applyFill="1" applyBorder="1" applyAlignment="1">
      <alignment horizontal="center" vertical="center"/>
    </xf>
    <xf numFmtId="179" fontId="1" fillId="0" borderId="2" xfId="12" applyNumberFormat="1" applyFill="1" applyBorder="1" applyAlignment="1">
      <alignment vertical="center"/>
    </xf>
    <xf numFmtId="179" fontId="1" fillId="0" borderId="8" xfId="12" applyNumberFormat="1" applyFill="1" applyBorder="1" applyAlignment="1">
      <alignment vertical="center"/>
    </xf>
    <xf numFmtId="0" fontId="49" fillId="0" borderId="46" xfId="10" applyFont="1" applyBorder="1" applyAlignment="1">
      <alignment vertical="center"/>
    </xf>
    <xf numFmtId="0" fontId="49" fillId="0" borderId="47" xfId="10" applyFont="1" applyBorder="1" applyAlignment="1">
      <alignment horizontal="distributed" vertical="center"/>
    </xf>
    <xf numFmtId="179" fontId="1" fillId="0" borderId="9" xfId="7" applyNumberFormat="1" applyFont="1" applyBorder="1" applyAlignment="1">
      <alignment horizontal="right" vertical="center"/>
    </xf>
    <xf numFmtId="179" fontId="1" fillId="0" borderId="9" xfId="7" applyNumberFormat="1" applyFont="1" applyFill="1" applyBorder="1" applyAlignment="1">
      <alignment horizontal="right" vertical="center"/>
    </xf>
    <xf numFmtId="0" fontId="1" fillId="0" borderId="9" xfId="12" applyFill="1" applyBorder="1" applyAlignment="1">
      <alignment horizontal="distributed" vertical="center"/>
    </xf>
    <xf numFmtId="179" fontId="1" fillId="0" borderId="9" xfId="12" applyNumberFormat="1" applyFill="1" applyBorder="1" applyAlignment="1">
      <alignment horizontal="right" vertical="center"/>
    </xf>
    <xf numFmtId="177" fontId="1" fillId="0" borderId="9" xfId="12" applyNumberFormat="1" applyFont="1" applyBorder="1" applyAlignment="1">
      <alignment horizontal="right" vertical="center"/>
    </xf>
    <xf numFmtId="179" fontId="1" fillId="0" borderId="2" xfId="12" applyNumberFormat="1" applyFont="1" applyFill="1" applyBorder="1" applyAlignment="1">
      <alignment horizontal="right" vertical="center"/>
    </xf>
    <xf numFmtId="179" fontId="1" fillId="0" borderId="8" xfId="12" applyNumberFormat="1" applyFont="1" applyFill="1" applyBorder="1" applyAlignment="1">
      <alignment horizontal="right" vertical="center"/>
    </xf>
    <xf numFmtId="177" fontId="1" fillId="0" borderId="35" xfId="12" applyNumberFormat="1" applyFont="1" applyBorder="1" applyAlignment="1">
      <alignment horizontal="right" vertical="center"/>
    </xf>
    <xf numFmtId="0" fontId="36" fillId="0" borderId="0" xfId="14" applyFont="1"/>
    <xf numFmtId="0" fontId="77" fillId="0" borderId="0" xfId="14" applyFont="1"/>
    <xf numFmtId="0" fontId="79" fillId="0" borderId="0" xfId="14" applyFont="1"/>
    <xf numFmtId="0" fontId="80" fillId="0" borderId="0" xfId="14" applyFont="1"/>
    <xf numFmtId="0" fontId="81" fillId="0" borderId="0" xfId="14" applyFont="1"/>
    <xf numFmtId="0" fontId="82" fillId="0" borderId="0" xfId="14" applyFont="1" applyAlignment="1">
      <alignment vertical="center"/>
    </xf>
    <xf numFmtId="0" fontId="71" fillId="0" borderId="0" xfId="14" applyFont="1"/>
    <xf numFmtId="0" fontId="81" fillId="0" borderId="74" xfId="14" applyFont="1" applyBorder="1" applyAlignment="1">
      <alignment horizontal="center" vertical="center"/>
    </xf>
    <xf numFmtId="0" fontId="81" fillId="0" borderId="75" xfId="14" applyFont="1" applyBorder="1" applyAlignment="1">
      <alignment vertical="center" wrapText="1"/>
    </xf>
    <xf numFmtId="38" fontId="81" fillId="0" borderId="50" xfId="15" applyFont="1" applyBorder="1" applyAlignment="1">
      <alignment horizontal="center" vertical="center"/>
    </xf>
    <xf numFmtId="0" fontId="36" fillId="0" borderId="0" xfId="14" applyFont="1" applyAlignment="1">
      <alignment horizontal="left" vertical="center"/>
    </xf>
    <xf numFmtId="0" fontId="81" fillId="0" borderId="76" xfId="14" applyFont="1" applyBorder="1" applyAlignment="1">
      <alignment vertical="center" wrapText="1"/>
    </xf>
    <xf numFmtId="38" fontId="81" fillId="0" borderId="77" xfId="15" applyFont="1" applyBorder="1" applyAlignment="1">
      <alignment horizontal="center" vertical="center"/>
    </xf>
    <xf numFmtId="0" fontId="81" fillId="0" borderId="0" xfId="14" applyFont="1" applyBorder="1" applyAlignment="1">
      <alignment horizontal="center" vertical="center"/>
    </xf>
    <xf numFmtId="0" fontId="81" fillId="0" borderId="0" xfId="14" applyFont="1" applyBorder="1" applyAlignment="1">
      <alignment vertical="center" wrapText="1"/>
    </xf>
    <xf numFmtId="38" fontId="81" fillId="0" borderId="0" xfId="15" applyFont="1" applyBorder="1" applyAlignment="1">
      <alignment vertical="center"/>
    </xf>
    <xf numFmtId="0" fontId="84" fillId="0" borderId="0" xfId="14" applyFont="1"/>
    <xf numFmtId="0" fontId="81" fillId="0" borderId="0" xfId="14" applyFont="1" applyFill="1"/>
    <xf numFmtId="0" fontId="64" fillId="0" borderId="0" xfId="14"/>
    <xf numFmtId="0" fontId="85" fillId="0" borderId="0" xfId="3" applyNumberFormat="1" applyFont="1" applyFill="1"/>
    <xf numFmtId="0" fontId="14" fillId="0" borderId="0" xfId="3" applyFont="1" applyFill="1"/>
    <xf numFmtId="0" fontId="86" fillId="0" borderId="0" xfId="3" applyNumberFormat="1" applyFont="1" applyFill="1" applyAlignment="1">
      <alignment vertical="center"/>
    </xf>
    <xf numFmtId="0" fontId="21" fillId="0" borderId="0" xfId="3" applyFont="1" applyFill="1"/>
    <xf numFmtId="0" fontId="21" fillId="0" borderId="0" xfId="3" applyNumberFormat="1" applyFont="1" applyFill="1" applyAlignment="1">
      <alignment horizontal="right"/>
    </xf>
    <xf numFmtId="178" fontId="21" fillId="0" borderId="21" xfId="16" applyNumberFormat="1" applyFont="1" applyFill="1" applyBorder="1" applyAlignment="1">
      <alignment horizontal="right" vertical="center"/>
    </xf>
    <xf numFmtId="178" fontId="21" fillId="0" borderId="20" xfId="16" applyNumberFormat="1" applyFont="1" applyFill="1" applyBorder="1" applyAlignment="1">
      <alignment vertical="center"/>
    </xf>
    <xf numFmtId="178" fontId="21" fillId="0" borderId="0" xfId="16" applyNumberFormat="1" applyFont="1" applyFill="1" applyBorder="1" applyAlignment="1">
      <alignment horizontal="right" vertical="center"/>
    </xf>
    <xf numFmtId="178" fontId="21" fillId="0" borderId="13" xfId="16" applyNumberFormat="1" applyFont="1" applyFill="1" applyBorder="1" applyAlignment="1">
      <alignment horizontal="right" vertical="center"/>
    </xf>
    <xf numFmtId="178" fontId="21" fillId="0" borderId="11" xfId="16" applyNumberFormat="1" applyFont="1" applyFill="1" applyBorder="1" applyAlignment="1">
      <alignment vertical="center"/>
    </xf>
    <xf numFmtId="0" fontId="21" fillId="0" borderId="0" xfId="3" applyNumberFormat="1" applyFont="1" applyFill="1" applyBorder="1" applyAlignment="1">
      <alignment horizontal="center" vertical="center"/>
    </xf>
    <xf numFmtId="0" fontId="21" fillId="0" borderId="13" xfId="3" applyNumberFormat="1" applyFont="1" applyFill="1" applyBorder="1" applyAlignment="1">
      <alignment horizontal="center" vertical="center"/>
    </xf>
    <xf numFmtId="178" fontId="21" fillId="0" borderId="18" xfId="16" applyNumberFormat="1" applyFont="1" applyFill="1" applyBorder="1" applyAlignment="1">
      <alignment horizontal="right" vertical="center"/>
    </xf>
    <xf numFmtId="178" fontId="21" fillId="0" borderId="6" xfId="16" applyNumberFormat="1" applyFont="1" applyFill="1" applyBorder="1" applyAlignment="1">
      <alignment vertical="center"/>
    </xf>
    <xf numFmtId="0" fontId="86" fillId="0" borderId="0" xfId="3" applyNumberFormat="1" applyFont="1" applyFill="1" applyAlignment="1"/>
    <xf numFmtId="0" fontId="21" fillId="0" borderId="15" xfId="3" applyNumberFormat="1" applyFont="1" applyFill="1" applyBorder="1" applyAlignment="1">
      <alignment horizontal="center" vertical="center"/>
    </xf>
    <xf numFmtId="0" fontId="10" fillId="4" borderId="0" xfId="3" applyNumberFormat="1" applyFont="1" applyFill="1" applyAlignment="1">
      <alignment vertical="center"/>
    </xf>
    <xf numFmtId="178" fontId="21" fillId="4" borderId="18" xfId="16" applyNumberFormat="1" applyFont="1" applyFill="1" applyBorder="1" applyAlignment="1">
      <alignment horizontal="right" vertical="center"/>
    </xf>
    <xf numFmtId="178" fontId="21" fillId="4" borderId="6" xfId="16" applyNumberFormat="1" applyFont="1" applyFill="1" applyBorder="1" applyAlignment="1">
      <alignment vertical="center"/>
    </xf>
    <xf numFmtId="0" fontId="10" fillId="4" borderId="1" xfId="3" applyFont="1" applyFill="1" applyBorder="1"/>
    <xf numFmtId="0" fontId="10" fillId="4" borderId="0" xfId="3" applyFont="1" applyFill="1"/>
    <xf numFmtId="178" fontId="21" fillId="4" borderId="0" xfId="16" applyNumberFormat="1" applyFont="1" applyFill="1" applyBorder="1" applyAlignment="1">
      <alignment horizontal="right" vertical="center"/>
    </xf>
    <xf numFmtId="178" fontId="21" fillId="4" borderId="20" xfId="16" applyNumberFormat="1" applyFont="1" applyFill="1" applyBorder="1" applyAlignment="1">
      <alignment vertical="center"/>
    </xf>
    <xf numFmtId="178" fontId="21" fillId="4" borderId="21" xfId="16" applyNumberFormat="1" applyFont="1" applyFill="1" applyBorder="1" applyAlignment="1">
      <alignment horizontal="right" vertical="center"/>
    </xf>
    <xf numFmtId="178" fontId="21" fillId="4" borderId="13" xfId="16" applyNumberFormat="1" applyFont="1" applyFill="1" applyBorder="1" applyAlignment="1">
      <alignment horizontal="right" vertical="center"/>
    </xf>
    <xf numFmtId="178" fontId="21" fillId="4" borderId="11" xfId="16" applyNumberFormat="1" applyFont="1" applyFill="1" applyBorder="1" applyAlignment="1">
      <alignment vertical="center"/>
    </xf>
    <xf numFmtId="0" fontId="51" fillId="0" borderId="9" xfId="10" applyFont="1" applyBorder="1" applyAlignment="1">
      <alignment horizontal="distributed" vertical="center"/>
    </xf>
    <xf numFmtId="0" fontId="51" fillId="0" borderId="9" xfId="10" applyFont="1" applyBorder="1" applyAlignment="1">
      <alignment horizontal="center" vertical="center" shrinkToFit="1"/>
    </xf>
    <xf numFmtId="0" fontId="51" fillId="0" borderId="9" xfId="10" applyFont="1" applyBorder="1" applyAlignment="1">
      <alignment horizontal="center" vertical="center" wrapText="1" shrinkToFit="1"/>
    </xf>
    <xf numFmtId="0" fontId="91" fillId="0" borderId="0" xfId="10" applyFont="1" applyBorder="1" applyAlignment="1">
      <alignment vertical="center"/>
    </xf>
    <xf numFmtId="0" fontId="40" fillId="0" borderId="9" xfId="10" applyFont="1" applyBorder="1" applyAlignment="1">
      <alignment horizontal="distributed" vertical="center" wrapText="1"/>
    </xf>
    <xf numFmtId="0" fontId="1" fillId="0" borderId="0" xfId="10"/>
    <xf numFmtId="0" fontId="49" fillId="0" borderId="9" xfId="10" applyFont="1" applyBorder="1" applyAlignment="1">
      <alignment horizontal="center" vertical="center"/>
    </xf>
    <xf numFmtId="196" fontId="49" fillId="0" borderId="9" xfId="17" applyNumberFormat="1" applyFont="1" applyBorder="1" applyAlignment="1">
      <alignment vertical="center"/>
    </xf>
    <xf numFmtId="0" fontId="62" fillId="0" borderId="9" xfId="10" applyFont="1" applyBorder="1" applyAlignment="1">
      <alignment horizontal="center" vertical="center"/>
    </xf>
    <xf numFmtId="38" fontId="51" fillId="0" borderId="9" xfId="11" applyFont="1" applyFill="1" applyBorder="1" applyAlignment="1">
      <alignment vertical="center"/>
    </xf>
    <xf numFmtId="0" fontId="92" fillId="0" borderId="9" xfId="10" applyFont="1" applyBorder="1" applyAlignment="1">
      <alignment horizontal="center" vertical="top" wrapText="1"/>
    </xf>
    <xf numFmtId="0" fontId="92" fillId="0" borderId="9" xfId="10" applyFont="1" applyBorder="1"/>
    <xf numFmtId="0" fontId="92" fillId="0" borderId="9" xfId="10" applyFont="1" applyBorder="1" applyAlignment="1"/>
    <xf numFmtId="0" fontId="92" fillId="0" borderId="8" xfId="10" applyFont="1" applyBorder="1" applyAlignment="1"/>
    <xf numFmtId="196" fontId="92" fillId="0" borderId="9" xfId="10" applyNumberFormat="1" applyFont="1" applyBorder="1"/>
    <xf numFmtId="0" fontId="20" fillId="0" borderId="9" xfId="10" applyFont="1" applyBorder="1" applyAlignment="1">
      <alignment horizontal="center"/>
    </xf>
    <xf numFmtId="196" fontId="20" fillId="0" borderId="9" xfId="10" applyNumberFormat="1" applyFont="1" applyBorder="1"/>
    <xf numFmtId="196" fontId="93" fillId="0" borderId="9" xfId="10" applyNumberFormat="1" applyFont="1" applyBorder="1"/>
    <xf numFmtId="0" fontId="20" fillId="0" borderId="9" xfId="10" applyFont="1" applyBorder="1" applyAlignment="1">
      <alignment horizontal="center" wrapText="1"/>
    </xf>
    <xf numFmtId="196" fontId="94" fillId="0" borderId="9" xfId="10" applyNumberFormat="1" applyFont="1" applyFill="1" applyBorder="1"/>
    <xf numFmtId="10" fontId="20" fillId="0" borderId="9" xfId="10" applyNumberFormat="1" applyFont="1" applyBorder="1"/>
    <xf numFmtId="196" fontId="95" fillId="0" borderId="9" xfId="10" applyNumberFormat="1" applyFont="1" applyBorder="1"/>
    <xf numFmtId="0" fontId="29" fillId="0" borderId="0" xfId="4" applyFont="1" applyAlignment="1">
      <alignment horizontal="center"/>
    </xf>
    <xf numFmtId="0" fontId="29" fillId="0" borderId="0" xfId="4" applyFont="1" applyAlignment="1">
      <alignment horizontal="distributed"/>
    </xf>
    <xf numFmtId="0" fontId="21" fillId="0" borderId="0" xfId="3" applyNumberFormat="1" applyFont="1" applyFill="1" applyAlignment="1">
      <alignment vertical="center" wrapText="1"/>
    </xf>
    <xf numFmtId="0" fontId="22" fillId="0" borderId="5" xfId="3" applyNumberFormat="1" applyFont="1" applyFill="1" applyBorder="1" applyAlignment="1">
      <alignment horizontal="distributed" vertical="center" wrapText="1"/>
    </xf>
    <xf numFmtId="0" fontId="22" fillId="0" borderId="14" xfId="3" applyNumberFormat="1" applyFont="1" applyFill="1" applyBorder="1" applyAlignment="1">
      <alignment horizontal="distributed" vertical="center" wrapText="1"/>
    </xf>
    <xf numFmtId="0" fontId="22" fillId="0" borderId="6" xfId="3" applyNumberFormat="1" applyFont="1" applyFill="1" applyBorder="1" applyAlignment="1">
      <alignment horizontal="distributed" vertical="center" wrapText="1"/>
    </xf>
    <xf numFmtId="0" fontId="22" fillId="0" borderId="1" xfId="3" applyNumberFormat="1" applyFont="1" applyFill="1" applyBorder="1" applyAlignment="1">
      <alignment horizontal="distributed" vertical="center" wrapText="1"/>
    </xf>
    <xf numFmtId="0" fontId="22" fillId="0" borderId="0" xfId="3" applyNumberFormat="1" applyFont="1" applyFill="1" applyBorder="1" applyAlignment="1">
      <alignment horizontal="distributed" vertical="center" wrapText="1"/>
    </xf>
    <xf numFmtId="0" fontId="22" fillId="0" borderId="20" xfId="3" applyNumberFormat="1" applyFont="1" applyFill="1" applyBorder="1" applyAlignment="1">
      <alignment horizontal="distributed" vertical="center" wrapText="1"/>
    </xf>
    <xf numFmtId="0" fontId="0" fillId="0" borderId="1" xfId="0" applyBorder="1" applyAlignment="1">
      <alignment vertical="center"/>
    </xf>
    <xf numFmtId="0" fontId="0" fillId="0" borderId="0" xfId="0" applyAlignment="1">
      <alignment vertical="center"/>
    </xf>
    <xf numFmtId="0" fontId="0" fillId="0" borderId="20"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176" fontId="21" fillId="0" borderId="2" xfId="3" applyNumberFormat="1" applyFont="1" applyFill="1" applyBorder="1" applyAlignment="1">
      <alignment horizontal="right" vertical="center"/>
    </xf>
    <xf numFmtId="176" fontId="21" fillId="0" borderId="7" xfId="3" applyNumberFormat="1" applyFont="1" applyFill="1" applyBorder="1" applyAlignment="1">
      <alignment horizontal="right" vertical="center"/>
    </xf>
    <xf numFmtId="0" fontId="0" fillId="0" borderId="7" xfId="0" applyBorder="1" applyAlignment="1">
      <alignment vertical="center"/>
    </xf>
    <xf numFmtId="0" fontId="0" fillId="0" borderId="8" xfId="0" applyBorder="1" applyAlignment="1">
      <alignment vertical="center"/>
    </xf>
    <xf numFmtId="176" fontId="21" fillId="0" borderId="5" xfId="3" applyNumberFormat="1" applyFont="1" applyFill="1" applyBorder="1" applyAlignment="1">
      <alignment horizontal="right" vertical="center"/>
    </xf>
    <xf numFmtId="176" fontId="21" fillId="0" borderId="6" xfId="3" applyNumberFormat="1" applyFont="1" applyFill="1" applyBorder="1" applyAlignment="1">
      <alignment horizontal="right" vertical="center"/>
    </xf>
    <xf numFmtId="176" fontId="21" fillId="0" borderId="1" xfId="3" applyNumberFormat="1" applyFont="1" applyFill="1" applyBorder="1" applyAlignment="1">
      <alignment horizontal="right" vertical="center"/>
    </xf>
    <xf numFmtId="176" fontId="21" fillId="0" borderId="20" xfId="3" applyNumberFormat="1" applyFont="1" applyFill="1" applyBorder="1" applyAlignment="1">
      <alignment horizontal="right" vertical="center"/>
    </xf>
    <xf numFmtId="185" fontId="60" fillId="0" borderId="5" xfId="1" applyNumberFormat="1" applyFont="1" applyFill="1" applyBorder="1" applyAlignment="1">
      <alignment horizontal="right" vertical="center"/>
    </xf>
    <xf numFmtId="0" fontId="0" fillId="0" borderId="1" xfId="0" applyBorder="1" applyAlignment="1">
      <alignment horizontal="right"/>
    </xf>
    <xf numFmtId="179" fontId="60" fillId="0" borderId="1" xfId="1" applyNumberFormat="1" applyFont="1" applyFill="1" applyBorder="1" applyAlignment="1">
      <alignment horizontal="right" vertical="top"/>
    </xf>
    <xf numFmtId="0" fontId="0" fillId="0" borderId="10" xfId="0" applyBorder="1" applyAlignment="1">
      <alignment vertical="top"/>
    </xf>
    <xf numFmtId="0" fontId="71" fillId="0" borderId="0" xfId="3" applyNumberFormat="1" applyFont="1" applyFill="1" applyAlignment="1">
      <alignment horizontal="left"/>
    </xf>
    <xf numFmtId="190" fontId="21" fillId="0" borderId="0" xfId="3" applyNumberFormat="1" applyFont="1" applyFill="1" applyAlignment="1">
      <alignment horizontal="center"/>
    </xf>
    <xf numFmtId="0" fontId="0" fillId="0" borderId="1" xfId="0" applyBorder="1" applyAlignment="1"/>
    <xf numFmtId="179" fontId="60" fillId="0" borderId="10" xfId="1" applyNumberFormat="1" applyFont="1" applyFill="1" applyBorder="1" applyAlignment="1">
      <alignment horizontal="right" vertical="top"/>
    </xf>
    <xf numFmtId="0" fontId="21" fillId="0" borderId="5" xfId="3" applyNumberFormat="1" applyFont="1" applyFill="1" applyBorder="1" applyAlignment="1">
      <alignment horizontal="distributed" vertical="center" wrapText="1"/>
    </xf>
    <xf numFmtId="0" fontId="21" fillId="0" borderId="6" xfId="3" applyNumberFormat="1" applyFont="1" applyFill="1" applyBorder="1" applyAlignment="1">
      <alignment horizontal="distributed" vertical="center" wrapText="1"/>
    </xf>
    <xf numFmtId="0" fontId="21" fillId="0" borderId="1" xfId="3" applyNumberFormat="1" applyFont="1" applyFill="1" applyBorder="1" applyAlignment="1">
      <alignment horizontal="distributed" vertical="center" wrapText="1"/>
    </xf>
    <xf numFmtId="0" fontId="21" fillId="0" borderId="20" xfId="3" applyNumberFormat="1" applyFont="1" applyFill="1" applyBorder="1" applyAlignment="1">
      <alignment horizontal="distributed" vertical="center" wrapText="1"/>
    </xf>
    <xf numFmtId="0" fontId="21" fillId="0" borderId="10" xfId="3" applyNumberFormat="1" applyFont="1" applyFill="1" applyBorder="1" applyAlignment="1">
      <alignment horizontal="distributed" vertical="center" wrapText="1"/>
    </xf>
    <xf numFmtId="0" fontId="21" fillId="0" borderId="11" xfId="3" applyNumberFormat="1" applyFont="1" applyFill="1" applyBorder="1" applyAlignment="1">
      <alignment horizontal="distributed" vertical="center" wrapText="1"/>
    </xf>
    <xf numFmtId="176" fontId="21" fillId="0" borderId="8" xfId="3" applyNumberFormat="1" applyFont="1" applyFill="1" applyBorder="1" applyAlignment="1">
      <alignment horizontal="right" vertical="center"/>
    </xf>
    <xf numFmtId="176" fontId="21" fillId="0" borderId="10" xfId="3" applyNumberFormat="1" applyFont="1" applyFill="1" applyBorder="1" applyAlignment="1">
      <alignment horizontal="right" vertical="center"/>
    </xf>
    <xf numFmtId="176" fontId="21" fillId="0" borderId="11" xfId="3" applyNumberFormat="1" applyFont="1" applyFill="1" applyBorder="1" applyAlignment="1">
      <alignment horizontal="right" vertical="center"/>
    </xf>
    <xf numFmtId="185" fontId="60" fillId="0" borderId="1" xfId="1" applyNumberFormat="1" applyFont="1" applyFill="1" applyBorder="1" applyAlignment="1">
      <alignment horizontal="right" vertical="center"/>
    </xf>
    <xf numFmtId="0" fontId="21" fillId="0" borderId="9" xfId="3" applyNumberFormat="1" applyFont="1" applyFill="1" applyBorder="1" applyAlignment="1">
      <alignment horizontal="distributed" vertical="center" wrapText="1"/>
    </xf>
    <xf numFmtId="58" fontId="41" fillId="0" borderId="0" xfId="0" applyNumberFormat="1" applyFont="1" applyFill="1" applyBorder="1" applyAlignment="1">
      <alignment horizontal="left" vertical="center"/>
    </xf>
    <xf numFmtId="0" fontId="21" fillId="0" borderId="9" xfId="3" applyNumberFormat="1" applyFont="1" applyFill="1" applyBorder="1" applyAlignment="1">
      <alignment horizontal="center" vertical="center"/>
    </xf>
    <xf numFmtId="0" fontId="21" fillId="0" borderId="5" xfId="3" applyNumberFormat="1" applyFont="1" applyFill="1" applyBorder="1" applyAlignment="1">
      <alignment horizontal="center" vertical="center"/>
    </xf>
    <xf numFmtId="0" fontId="21" fillId="0" borderId="18" xfId="3" applyNumberFormat="1" applyFont="1" applyFill="1" applyBorder="1" applyAlignment="1">
      <alignment horizontal="center" vertical="center"/>
    </xf>
    <xf numFmtId="0" fontId="21" fillId="0" borderId="6" xfId="3" applyNumberFormat="1" applyFont="1" applyFill="1" applyBorder="1" applyAlignment="1">
      <alignment horizontal="center" vertical="center"/>
    </xf>
    <xf numFmtId="0" fontId="21" fillId="0" borderId="3" xfId="3" applyNumberFormat="1" applyFont="1" applyFill="1" applyBorder="1" applyAlignment="1">
      <alignment horizontal="center" vertical="center"/>
    </xf>
    <xf numFmtId="0" fontId="21" fillId="0" borderId="4" xfId="3" applyNumberFormat="1" applyFont="1" applyFill="1" applyBorder="1" applyAlignment="1">
      <alignment horizontal="center" vertical="center"/>
    </xf>
    <xf numFmtId="0" fontId="21" fillId="0" borderId="10" xfId="3" applyNumberFormat="1" applyFont="1" applyFill="1" applyBorder="1" applyAlignment="1">
      <alignment horizontal="center" vertical="center"/>
    </xf>
    <xf numFmtId="0" fontId="21" fillId="0" borderId="19" xfId="3" applyNumberFormat="1" applyFont="1" applyFill="1" applyBorder="1" applyAlignment="1">
      <alignment horizontal="center" vertical="center"/>
    </xf>
    <xf numFmtId="0" fontId="21" fillId="0" borderId="11" xfId="3" applyNumberFormat="1" applyFont="1" applyFill="1"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21" fillId="0" borderId="5" xfId="3" applyNumberFormat="1" applyFont="1" applyFill="1" applyBorder="1" applyAlignment="1">
      <alignment horizontal="distributed" vertical="center"/>
    </xf>
    <xf numFmtId="0" fontId="21" fillId="0" borderId="14" xfId="3" applyNumberFormat="1" applyFont="1" applyFill="1" applyBorder="1" applyAlignment="1">
      <alignment horizontal="distributed" vertical="center"/>
    </xf>
    <xf numFmtId="0" fontId="21" fillId="0" borderId="6" xfId="3" applyNumberFormat="1" applyFont="1" applyFill="1" applyBorder="1" applyAlignment="1">
      <alignment horizontal="distributed" vertical="center"/>
    </xf>
    <xf numFmtId="0" fontId="21" fillId="0" borderId="1" xfId="3" applyNumberFormat="1" applyFont="1" applyFill="1" applyBorder="1" applyAlignment="1">
      <alignment horizontal="distributed" vertical="center"/>
    </xf>
    <xf numFmtId="0" fontId="21" fillId="0" borderId="0" xfId="3" applyNumberFormat="1" applyFont="1" applyFill="1" applyBorder="1" applyAlignment="1">
      <alignment horizontal="distributed" vertical="center"/>
    </xf>
    <xf numFmtId="0" fontId="21" fillId="0" borderId="20" xfId="3" applyNumberFormat="1" applyFont="1" applyFill="1" applyBorder="1" applyAlignment="1">
      <alignment horizontal="distributed" vertical="center"/>
    </xf>
    <xf numFmtId="0" fontId="21" fillId="0" borderId="10" xfId="3" applyNumberFormat="1" applyFont="1" applyFill="1" applyBorder="1" applyAlignment="1">
      <alignment horizontal="distributed" vertical="center"/>
    </xf>
    <xf numFmtId="0" fontId="21" fillId="0" borderId="13" xfId="3" applyNumberFormat="1" applyFont="1" applyFill="1" applyBorder="1" applyAlignment="1">
      <alignment horizontal="distributed" vertical="center"/>
    </xf>
    <xf numFmtId="0" fontId="21" fillId="0" borderId="11" xfId="3" applyNumberFormat="1" applyFont="1" applyFill="1" applyBorder="1" applyAlignment="1">
      <alignment horizontal="distributed" vertical="center"/>
    </xf>
    <xf numFmtId="176" fontId="21" fillId="0" borderId="2" xfId="3" applyNumberFormat="1" applyFont="1" applyFill="1" applyBorder="1" applyAlignment="1">
      <alignment horizontal="right" vertical="center" shrinkToFit="1"/>
    </xf>
    <xf numFmtId="176" fontId="21" fillId="0" borderId="7" xfId="3" applyNumberFormat="1" applyFont="1" applyFill="1" applyBorder="1" applyAlignment="1">
      <alignment horizontal="right" vertical="center" shrinkToFit="1"/>
    </xf>
    <xf numFmtId="176" fontId="21" fillId="0" borderId="8" xfId="3" applyNumberFormat="1" applyFont="1" applyFill="1" applyBorder="1" applyAlignment="1">
      <alignment horizontal="right" vertical="center" shrinkToFit="1"/>
    </xf>
    <xf numFmtId="38" fontId="23" fillId="0" borderId="5" xfId="2" applyFont="1" applyBorder="1" applyAlignment="1">
      <alignment horizontal="right" vertical="center" shrinkToFit="1"/>
    </xf>
    <xf numFmtId="38" fontId="23" fillId="0" borderId="6" xfId="2" applyFont="1" applyBorder="1" applyAlignment="1">
      <alignment horizontal="right" vertical="center" shrinkToFit="1"/>
    </xf>
    <xf numFmtId="38" fontId="23" fillId="0" borderId="1" xfId="2" applyFont="1" applyBorder="1" applyAlignment="1">
      <alignment horizontal="right" vertical="center" shrinkToFit="1"/>
    </xf>
    <xf numFmtId="38" fontId="23" fillId="0" borderId="20" xfId="2" applyFont="1" applyBorder="1" applyAlignment="1">
      <alignment horizontal="right" vertical="center" shrinkToFit="1"/>
    </xf>
    <xf numFmtId="38" fontId="23" fillId="0" borderId="10" xfId="2" applyFont="1" applyBorder="1" applyAlignment="1">
      <alignment horizontal="right" vertical="center" shrinkToFit="1"/>
    </xf>
    <xf numFmtId="38" fontId="23" fillId="0" borderId="11" xfId="2" applyFont="1" applyBorder="1" applyAlignment="1">
      <alignment horizontal="right" vertical="center" shrinkToFit="1"/>
    </xf>
    <xf numFmtId="185" fontId="60" fillId="0" borderId="5" xfId="1" applyNumberFormat="1" applyFont="1" applyFill="1" applyBorder="1" applyAlignment="1">
      <alignment horizontal="right" vertical="center" shrinkToFit="1"/>
    </xf>
    <xf numFmtId="185" fontId="60" fillId="0" borderId="1" xfId="1" applyNumberFormat="1" applyFont="1" applyFill="1" applyBorder="1" applyAlignment="1">
      <alignment horizontal="right" vertical="center" shrinkToFit="1"/>
    </xf>
    <xf numFmtId="0" fontId="21" fillId="0" borderId="16" xfId="3" applyNumberFormat="1" applyFont="1" applyFill="1" applyBorder="1" applyAlignment="1">
      <alignment horizontal="distributed" vertical="center"/>
    </xf>
    <xf numFmtId="0" fontId="21" fillId="0" borderId="24" xfId="3" applyNumberFormat="1" applyFont="1" applyFill="1" applyBorder="1" applyAlignment="1">
      <alignment horizontal="distributed" vertical="center"/>
    </xf>
    <xf numFmtId="0" fontId="21" fillId="0" borderId="17" xfId="3" applyNumberFormat="1" applyFont="1" applyFill="1" applyBorder="1" applyAlignment="1">
      <alignment horizontal="distributed" vertical="center"/>
    </xf>
    <xf numFmtId="179" fontId="60" fillId="0" borderId="1" xfId="1" applyNumberFormat="1" applyFont="1" applyFill="1" applyBorder="1" applyAlignment="1">
      <alignment horizontal="right" vertical="top" shrinkToFit="1"/>
    </xf>
    <xf numFmtId="179" fontId="60" fillId="0" borderId="10" xfId="1" applyNumberFormat="1" applyFont="1" applyFill="1" applyBorder="1" applyAlignment="1">
      <alignment horizontal="right" vertical="top" shrinkToFit="1"/>
    </xf>
    <xf numFmtId="0" fontId="60" fillId="0" borderId="5" xfId="3" applyNumberFormat="1" applyFont="1" applyFill="1" applyBorder="1" applyAlignment="1">
      <alignment horizontal="distributed" vertical="center" wrapText="1"/>
    </xf>
    <xf numFmtId="0" fontId="60" fillId="0" borderId="6" xfId="3" applyNumberFormat="1" applyFont="1" applyFill="1" applyBorder="1" applyAlignment="1">
      <alignment horizontal="distributed" vertical="center" wrapText="1"/>
    </xf>
    <xf numFmtId="0" fontId="60" fillId="0" borderId="10" xfId="3" applyNumberFormat="1" applyFont="1" applyFill="1" applyBorder="1" applyAlignment="1">
      <alignment horizontal="distributed" vertical="center" wrapText="1"/>
    </xf>
    <xf numFmtId="0" fontId="60" fillId="0" borderId="11" xfId="3" applyNumberFormat="1" applyFont="1" applyFill="1" applyBorder="1" applyAlignment="1">
      <alignment horizontal="distributed" vertical="center" wrapText="1"/>
    </xf>
    <xf numFmtId="187" fontId="21" fillId="0" borderId="5" xfId="3" applyNumberFormat="1" applyFont="1" applyFill="1" applyBorder="1" applyAlignment="1">
      <alignment horizontal="right" vertical="center"/>
    </xf>
    <xf numFmtId="187" fontId="21" fillId="0" borderId="6" xfId="3" applyNumberFormat="1" applyFont="1" applyFill="1" applyBorder="1" applyAlignment="1">
      <alignment horizontal="right" vertical="center"/>
    </xf>
    <xf numFmtId="187" fontId="21" fillId="0" borderId="10" xfId="3" applyNumberFormat="1" applyFont="1" applyFill="1" applyBorder="1" applyAlignment="1">
      <alignment horizontal="right" vertical="center"/>
    </xf>
    <xf numFmtId="187" fontId="21" fillId="0" borderId="11" xfId="3" applyNumberFormat="1" applyFont="1" applyFill="1" applyBorder="1" applyAlignment="1">
      <alignment horizontal="right" vertical="center"/>
    </xf>
    <xf numFmtId="0" fontId="21" fillId="0" borderId="2" xfId="3" applyNumberFormat="1" applyFont="1" applyFill="1" applyBorder="1" applyAlignment="1">
      <alignment horizontal="distributed" vertical="center" wrapText="1"/>
    </xf>
    <xf numFmtId="0" fontId="21" fillId="0" borderId="8" xfId="3" applyNumberFormat="1" applyFont="1" applyFill="1" applyBorder="1" applyAlignment="1">
      <alignment horizontal="distributed" vertical="center" wrapText="1"/>
    </xf>
    <xf numFmtId="0" fontId="21" fillId="0" borderId="5" xfId="3" applyNumberFormat="1" applyFont="1" applyFill="1" applyBorder="1" applyAlignment="1">
      <alignment horizontal="distributed" vertical="center" shrinkToFit="1"/>
    </xf>
    <xf numFmtId="0" fontId="21" fillId="0" borderId="14" xfId="3" applyNumberFormat="1" applyFont="1" applyFill="1" applyBorder="1" applyAlignment="1">
      <alignment horizontal="distributed" vertical="center" shrinkToFit="1"/>
    </xf>
    <xf numFmtId="0" fontId="21" fillId="0" borderId="6" xfId="3" applyNumberFormat="1" applyFont="1" applyFill="1" applyBorder="1" applyAlignment="1">
      <alignment horizontal="distributed" vertical="center" shrinkToFit="1"/>
    </xf>
    <xf numFmtId="0" fontId="21" fillId="0" borderId="10" xfId="3" applyNumberFormat="1" applyFont="1" applyFill="1" applyBorder="1" applyAlignment="1">
      <alignment horizontal="distributed" vertical="center" shrinkToFit="1"/>
    </xf>
    <xf numFmtId="0" fontId="21" fillId="0" borderId="13" xfId="3" applyNumberFormat="1" applyFont="1" applyFill="1" applyBorder="1" applyAlignment="1">
      <alignment horizontal="distributed" vertical="center" shrinkToFit="1"/>
    </xf>
    <xf numFmtId="0" fontId="21" fillId="0" borderId="11" xfId="3" applyNumberFormat="1" applyFont="1" applyFill="1" applyBorder="1" applyAlignment="1">
      <alignment horizontal="distributed" vertical="center" shrinkToFit="1"/>
    </xf>
    <xf numFmtId="176" fontId="21" fillId="0" borderId="2" xfId="3" applyNumberFormat="1" applyFont="1" applyFill="1" applyBorder="1" applyAlignment="1">
      <alignment vertical="center"/>
    </xf>
    <xf numFmtId="176" fontId="21" fillId="0" borderId="8" xfId="3" applyNumberFormat="1" applyFont="1" applyFill="1" applyBorder="1" applyAlignment="1">
      <alignment vertical="center"/>
    </xf>
    <xf numFmtId="0" fontId="22" fillId="0" borderId="10" xfId="3" applyNumberFormat="1" applyFont="1" applyFill="1" applyBorder="1" applyAlignment="1">
      <alignment horizontal="distributed" vertical="center" wrapText="1"/>
    </xf>
    <xf numFmtId="0" fontId="22" fillId="0" borderId="11" xfId="3" applyNumberFormat="1" applyFont="1" applyFill="1" applyBorder="1" applyAlignment="1">
      <alignment horizontal="distributed" vertical="center" wrapText="1"/>
    </xf>
    <xf numFmtId="0" fontId="66" fillId="0" borderId="0" xfId="3" applyNumberFormat="1" applyFont="1" applyFill="1" applyAlignment="1">
      <alignment horizontal="center"/>
    </xf>
    <xf numFmtId="0" fontId="24" fillId="0" borderId="0" xfId="3" applyNumberFormat="1" applyFont="1" applyFill="1" applyAlignment="1">
      <alignment horizontal="center"/>
    </xf>
    <xf numFmtId="0" fontId="72" fillId="0" borderId="0" xfId="0" applyFont="1" applyAlignment="1">
      <alignment horizontal="center"/>
    </xf>
    <xf numFmtId="0" fontId="25" fillId="0" borderId="1" xfId="4" applyFont="1" applyFill="1" applyBorder="1" applyAlignment="1">
      <alignment horizontal="left" vertical="distributed" wrapText="1"/>
    </xf>
    <xf numFmtId="0" fontId="25" fillId="0" borderId="0" xfId="4" applyFont="1" applyFill="1" applyBorder="1" applyAlignment="1">
      <alignment horizontal="left" vertical="distributed" wrapText="1"/>
    </xf>
    <xf numFmtId="0" fontId="25" fillId="0" borderId="20" xfId="4" applyFont="1" applyFill="1" applyBorder="1" applyAlignment="1">
      <alignment horizontal="left" vertical="distributed" wrapText="1"/>
    </xf>
    <xf numFmtId="0" fontId="33" fillId="3" borderId="0" xfId="4" applyFont="1" applyFill="1" applyAlignment="1">
      <alignment vertical="center"/>
    </xf>
    <xf numFmtId="0" fontId="25" fillId="0" borderId="1" xfId="10" applyFont="1" applyFill="1" applyBorder="1" applyAlignment="1">
      <alignment horizontal="left" vertical="distributed" wrapText="1"/>
    </xf>
    <xf numFmtId="0" fontId="25" fillId="0" borderId="0" xfId="10" applyFont="1" applyFill="1" applyBorder="1" applyAlignment="1">
      <alignment horizontal="left" vertical="distributed" wrapText="1"/>
    </xf>
    <xf numFmtId="0" fontId="25" fillId="0" borderId="20" xfId="10" applyFont="1" applyFill="1" applyBorder="1" applyAlignment="1">
      <alignment horizontal="left" vertical="distributed" wrapText="1"/>
    </xf>
    <xf numFmtId="0" fontId="25" fillId="0" borderId="1" xfId="4" applyFont="1" applyFill="1" applyBorder="1" applyAlignment="1">
      <alignment horizontal="left" vertical="distributed" wrapText="1" indent="1"/>
    </xf>
    <xf numFmtId="0" fontId="25" fillId="0" borderId="0" xfId="4" applyFont="1" applyFill="1" applyBorder="1" applyAlignment="1">
      <alignment horizontal="left" vertical="distributed" wrapText="1" indent="1"/>
    </xf>
    <xf numFmtId="0" fontId="25" fillId="0" borderId="20" xfId="4" applyFont="1" applyFill="1" applyBorder="1" applyAlignment="1">
      <alignment horizontal="left" vertical="distributed" wrapText="1" indent="1"/>
    </xf>
    <xf numFmtId="0" fontId="13" fillId="0" borderId="1" xfId="0" applyFont="1" applyFill="1" applyBorder="1" applyAlignment="1">
      <alignment horizontal="left" vertical="distributed" wrapText="1" indent="1"/>
    </xf>
    <xf numFmtId="0" fontId="13" fillId="0" borderId="0" xfId="0" applyFont="1" applyFill="1" applyAlignment="1">
      <alignment horizontal="left" vertical="distributed" wrapText="1" indent="1"/>
    </xf>
    <xf numFmtId="0" fontId="13" fillId="0" borderId="20" xfId="0" applyFont="1" applyFill="1" applyBorder="1" applyAlignment="1">
      <alignment horizontal="left" vertical="distributed" wrapText="1" indent="1"/>
    </xf>
    <xf numFmtId="0" fontId="25" fillId="0" borderId="1" xfId="4" applyFont="1" applyFill="1" applyBorder="1" applyAlignment="1">
      <alignment vertical="distributed" wrapText="1"/>
    </xf>
    <xf numFmtId="0" fontId="13" fillId="0" borderId="0" xfId="0" applyFont="1" applyAlignment="1">
      <alignment vertical="distributed" wrapText="1"/>
    </xf>
    <xf numFmtId="0" fontId="13" fillId="0" borderId="20" xfId="0" applyFont="1" applyBorder="1" applyAlignment="1">
      <alignment vertical="distributed" wrapText="1"/>
    </xf>
    <xf numFmtId="0" fontId="13" fillId="0" borderId="1" xfId="0" applyFont="1" applyBorder="1" applyAlignment="1">
      <alignment vertical="distributed" wrapText="1"/>
    </xf>
    <xf numFmtId="0" fontId="60" fillId="0" borderId="1" xfId="4" applyFont="1" applyFill="1" applyBorder="1" applyAlignment="1">
      <alignment vertical="distributed" wrapText="1"/>
    </xf>
    <xf numFmtId="0" fontId="65" fillId="0" borderId="0" xfId="0" applyFont="1" applyAlignment="1">
      <alignment vertical="distributed" wrapText="1"/>
    </xf>
    <xf numFmtId="0" fontId="65" fillId="0" borderId="20" xfId="0" applyFont="1" applyBorder="1" applyAlignment="1">
      <alignment vertical="distributed" wrapText="1"/>
    </xf>
    <xf numFmtId="0" fontId="65" fillId="0" borderId="10" xfId="0" applyFont="1" applyBorder="1" applyAlignment="1">
      <alignment vertical="distributed" wrapText="1"/>
    </xf>
    <xf numFmtId="0" fontId="65" fillId="0" borderId="13" xfId="0" applyFont="1" applyBorder="1" applyAlignment="1">
      <alignment vertical="distributed" wrapText="1"/>
    </xf>
    <xf numFmtId="0" fontId="65" fillId="0" borderId="11" xfId="0" applyFont="1" applyBorder="1" applyAlignment="1">
      <alignment vertical="distributed" wrapText="1"/>
    </xf>
    <xf numFmtId="0" fontId="36" fillId="0" borderId="0" xfId="4" applyFont="1" applyFill="1" applyBorder="1" applyAlignment="1">
      <alignment horizontal="left" vertical="distributed" wrapText="1" indent="1"/>
    </xf>
    <xf numFmtId="0" fontId="33" fillId="3" borderId="0" xfId="0" applyFont="1" applyFill="1" applyAlignment="1">
      <alignment vertical="center"/>
    </xf>
    <xf numFmtId="0" fontId="25" fillId="0" borderId="0" xfId="4" applyFont="1" applyAlignment="1">
      <alignment horizontal="left" vertical="distributed" wrapText="1"/>
    </xf>
    <xf numFmtId="0" fontId="30" fillId="0" borderId="0" xfId="4" applyFont="1" applyAlignment="1">
      <alignment horizontal="left" vertical="top" wrapText="1"/>
    </xf>
    <xf numFmtId="0" fontId="33" fillId="3" borderId="0" xfId="4" applyFont="1" applyFill="1" applyAlignment="1">
      <alignment horizontal="left" vertical="center"/>
    </xf>
    <xf numFmtId="0" fontId="25" fillId="2" borderId="14" xfId="4" applyFont="1" applyFill="1" applyBorder="1" applyAlignment="1">
      <alignment horizontal="left" vertical="top" wrapText="1"/>
    </xf>
    <xf numFmtId="0" fontId="7" fillId="0" borderId="13" xfId="7" applyFill="1" applyBorder="1" applyAlignment="1">
      <alignment vertical="center"/>
    </xf>
    <xf numFmtId="0" fontId="7" fillId="0" borderId="13" xfId="7" applyFill="1" applyBorder="1" applyAlignment="1">
      <alignment horizontal="left" vertical="center"/>
    </xf>
    <xf numFmtId="179" fontId="1" fillId="0" borderId="2" xfId="12" applyNumberFormat="1" applyFill="1" applyBorder="1" applyAlignment="1">
      <alignment vertical="center"/>
    </xf>
    <xf numFmtId="179" fontId="1" fillId="0" borderId="8" xfId="12" applyNumberFormat="1" applyFill="1" applyBorder="1" applyAlignment="1">
      <alignment vertical="center"/>
    </xf>
    <xf numFmtId="0" fontId="1" fillId="0" borderId="13" xfId="12" applyFill="1" applyBorder="1" applyAlignment="1">
      <alignment horizontal="left" vertical="center"/>
    </xf>
    <xf numFmtId="184" fontId="1" fillId="0" borderId="2" xfId="12" applyNumberFormat="1" applyBorder="1" applyAlignment="1">
      <alignment horizontal="right" vertical="center"/>
    </xf>
    <xf numFmtId="184" fontId="1" fillId="0" borderId="8" xfId="12" applyNumberFormat="1" applyBorder="1" applyAlignment="1">
      <alignment horizontal="right" vertical="center"/>
    </xf>
    <xf numFmtId="179" fontId="1" fillId="0" borderId="2" xfId="12" applyNumberFormat="1" applyBorder="1" applyAlignment="1">
      <alignment vertical="center"/>
    </xf>
    <xf numFmtId="179" fontId="1" fillId="0" borderId="8" xfId="12" applyNumberFormat="1" applyBorder="1" applyAlignment="1">
      <alignment vertical="center"/>
    </xf>
    <xf numFmtId="0" fontId="18" fillId="0" borderId="13" xfId="12" applyFont="1" applyFill="1" applyBorder="1" applyAlignment="1">
      <alignment horizontal="left" vertical="center"/>
    </xf>
    <xf numFmtId="179" fontId="1" fillId="0" borderId="2" xfId="12" applyNumberFormat="1" applyFont="1" applyFill="1" applyBorder="1" applyAlignment="1">
      <alignment horizontal="right" vertical="top"/>
    </xf>
    <xf numFmtId="179" fontId="1" fillId="0" borderId="8" xfId="12" applyNumberFormat="1" applyFont="1" applyFill="1" applyBorder="1" applyAlignment="1">
      <alignment horizontal="right" vertical="top"/>
    </xf>
    <xf numFmtId="0" fontId="18" fillId="2" borderId="0" xfId="13" applyFont="1" applyFill="1" applyBorder="1" applyAlignment="1">
      <alignment horizontal="left" vertical="center"/>
    </xf>
    <xf numFmtId="0" fontId="81" fillId="0" borderId="56" xfId="14" applyFont="1" applyBorder="1" applyAlignment="1">
      <alignment horizontal="center" vertical="center"/>
    </xf>
    <xf numFmtId="0" fontId="81" fillId="0" borderId="70" xfId="14" applyFont="1" applyBorder="1" applyAlignment="1">
      <alignment horizontal="center" vertical="center"/>
    </xf>
    <xf numFmtId="0" fontId="81" fillId="0" borderId="72" xfId="14" applyFont="1" applyBorder="1" applyAlignment="1">
      <alignment horizontal="center" vertical="center"/>
    </xf>
    <xf numFmtId="0" fontId="81" fillId="0" borderId="32" xfId="14" applyFont="1" applyBorder="1" applyAlignment="1">
      <alignment horizontal="center" vertical="center"/>
    </xf>
    <xf numFmtId="0" fontId="81" fillId="0" borderId="71" xfId="14" applyFont="1" applyBorder="1" applyAlignment="1">
      <alignment horizontal="center" vertical="center"/>
    </xf>
    <xf numFmtId="0" fontId="81" fillId="0" borderId="73" xfId="14" applyFont="1" applyBorder="1" applyAlignment="1">
      <alignment horizontal="center" vertical="center"/>
    </xf>
    <xf numFmtId="0" fontId="81" fillId="0" borderId="74" xfId="14" applyFont="1" applyBorder="1" applyAlignment="1">
      <alignment horizontal="center" vertical="center"/>
    </xf>
    <xf numFmtId="0" fontId="81" fillId="0" borderId="51" xfId="14" applyFont="1" applyBorder="1" applyAlignment="1">
      <alignment horizontal="center" vertical="center"/>
    </xf>
    <xf numFmtId="58" fontId="10" fillId="0" borderId="0" xfId="14" applyNumberFormat="1" applyFont="1" applyFill="1" applyBorder="1" applyAlignment="1">
      <alignment horizontal="left" vertical="center"/>
    </xf>
    <xf numFmtId="176" fontId="87" fillId="0" borderId="2" xfId="3" applyNumberFormat="1" applyFont="1" applyFill="1" applyBorder="1" applyAlignment="1">
      <alignment horizontal="right" vertical="center" shrinkToFit="1"/>
    </xf>
    <xf numFmtId="176" fontId="87" fillId="0" borderId="7" xfId="3" applyNumberFormat="1" applyFont="1" applyFill="1" applyBorder="1" applyAlignment="1">
      <alignment horizontal="right" vertical="center" shrinkToFit="1"/>
    </xf>
    <xf numFmtId="176" fontId="87" fillId="0" borderId="8" xfId="3" applyNumberFormat="1" applyFont="1" applyFill="1" applyBorder="1" applyAlignment="1">
      <alignment horizontal="right" vertical="center" shrinkToFit="1"/>
    </xf>
    <xf numFmtId="38" fontId="23" fillId="0" borderId="5" xfId="15" applyFont="1" applyBorder="1" applyAlignment="1">
      <alignment horizontal="right" vertical="center" shrinkToFit="1"/>
    </xf>
    <xf numFmtId="38" fontId="23" fillId="0" borderId="6" xfId="15" applyFont="1" applyBorder="1" applyAlignment="1">
      <alignment horizontal="right" vertical="center" shrinkToFit="1"/>
    </xf>
    <xf numFmtId="38" fontId="23" fillId="0" borderId="1" xfId="15" applyFont="1" applyBorder="1" applyAlignment="1">
      <alignment horizontal="right" vertical="center" shrinkToFit="1"/>
    </xf>
    <xf numFmtId="38" fontId="23" fillId="0" borderId="20" xfId="15" applyFont="1" applyBorder="1" applyAlignment="1">
      <alignment horizontal="right" vertical="center" shrinkToFit="1"/>
    </xf>
    <xf numFmtId="38" fontId="23" fillId="0" borderId="10" xfId="15" applyFont="1" applyBorder="1" applyAlignment="1">
      <alignment horizontal="right" vertical="center" shrinkToFit="1"/>
    </xf>
    <xf numFmtId="38" fontId="23" fillId="0" borderId="11" xfId="15" applyFont="1" applyBorder="1" applyAlignment="1">
      <alignment horizontal="right" vertical="center" shrinkToFit="1"/>
    </xf>
    <xf numFmtId="185" fontId="88" fillId="0" borderId="5" xfId="16" applyNumberFormat="1" applyFont="1" applyFill="1" applyBorder="1" applyAlignment="1">
      <alignment horizontal="right" vertical="center" shrinkToFit="1"/>
    </xf>
    <xf numFmtId="185" fontId="88" fillId="0" borderId="1" xfId="16" applyNumberFormat="1" applyFont="1" applyFill="1" applyBorder="1" applyAlignment="1">
      <alignment horizontal="right" vertical="center" shrinkToFit="1"/>
    </xf>
    <xf numFmtId="0" fontId="64" fillId="0" borderId="7" xfId="14" applyBorder="1" applyAlignment="1">
      <alignment horizontal="right" vertical="center"/>
    </xf>
    <xf numFmtId="0" fontId="64" fillId="0" borderId="8" xfId="14" applyBorder="1" applyAlignment="1">
      <alignment horizontal="right" vertical="center"/>
    </xf>
    <xf numFmtId="185" fontId="60" fillId="0" borderId="5" xfId="16" applyNumberFormat="1" applyFont="1" applyFill="1" applyBorder="1" applyAlignment="1">
      <alignment horizontal="right" vertical="center"/>
    </xf>
    <xf numFmtId="0" fontId="64" fillId="0" borderId="1" xfId="14" applyBorder="1" applyAlignment="1"/>
    <xf numFmtId="179" fontId="60" fillId="0" borderId="1" xfId="16" applyNumberFormat="1" applyFont="1" applyFill="1" applyBorder="1" applyAlignment="1">
      <alignment horizontal="right" vertical="top"/>
    </xf>
    <xf numFmtId="0" fontId="64" fillId="0" borderId="10" xfId="14" applyBorder="1" applyAlignment="1">
      <alignment vertical="top"/>
    </xf>
    <xf numFmtId="0" fontId="21" fillId="0" borderId="14" xfId="3" applyNumberFormat="1" applyFont="1" applyFill="1" applyBorder="1" applyAlignment="1">
      <alignment horizontal="center" vertical="center"/>
    </xf>
    <xf numFmtId="185" fontId="60" fillId="0" borderId="5" xfId="16" applyNumberFormat="1" applyFont="1" applyFill="1" applyBorder="1" applyAlignment="1">
      <alignment horizontal="right" vertical="center" shrinkToFit="1"/>
    </xf>
    <xf numFmtId="185" fontId="60" fillId="0" borderId="1" xfId="16" applyNumberFormat="1" applyFont="1" applyFill="1" applyBorder="1" applyAlignment="1">
      <alignment horizontal="right" vertical="center" shrinkToFit="1"/>
    </xf>
    <xf numFmtId="0" fontId="21" fillId="4" borderId="5" xfId="3" applyNumberFormat="1" applyFont="1" applyFill="1" applyBorder="1" applyAlignment="1">
      <alignment horizontal="distributed" vertical="center" wrapText="1"/>
    </xf>
    <xf numFmtId="0" fontId="21" fillId="4" borderId="14" xfId="3" applyNumberFormat="1" applyFont="1" applyFill="1" applyBorder="1" applyAlignment="1">
      <alignment horizontal="distributed" vertical="center"/>
    </xf>
    <xf numFmtId="0" fontId="21" fillId="4" borderId="6" xfId="3" applyNumberFormat="1" applyFont="1" applyFill="1" applyBorder="1" applyAlignment="1">
      <alignment horizontal="distributed" vertical="center"/>
    </xf>
    <xf numFmtId="0" fontId="21" fillId="4" borderId="1" xfId="3" applyNumberFormat="1" applyFont="1" applyFill="1" applyBorder="1" applyAlignment="1">
      <alignment horizontal="distributed" vertical="center"/>
    </xf>
    <xf numFmtId="0" fontId="21" fillId="4" borderId="0" xfId="3" applyNumberFormat="1" applyFont="1" applyFill="1" applyBorder="1" applyAlignment="1">
      <alignment horizontal="distributed" vertical="center"/>
    </xf>
    <xf numFmtId="0" fontId="21" fillId="4" borderId="20" xfId="3" applyNumberFormat="1" applyFont="1" applyFill="1" applyBorder="1" applyAlignment="1">
      <alignment horizontal="distributed" vertical="center"/>
    </xf>
    <xf numFmtId="0" fontId="21" fillId="4" borderId="10" xfId="3" applyNumberFormat="1" applyFont="1" applyFill="1" applyBorder="1" applyAlignment="1">
      <alignment horizontal="distributed" vertical="center"/>
    </xf>
    <xf numFmtId="0" fontId="21" fillId="4" borderId="13" xfId="3" applyNumberFormat="1" applyFont="1" applyFill="1" applyBorder="1" applyAlignment="1">
      <alignment horizontal="distributed" vertical="center"/>
    </xf>
    <xf numFmtId="0" fontId="21" fillId="4" borderId="11" xfId="3" applyNumberFormat="1" applyFont="1" applyFill="1" applyBorder="1" applyAlignment="1">
      <alignment horizontal="distributed" vertical="center"/>
    </xf>
    <xf numFmtId="176" fontId="21" fillId="4" borderId="2" xfId="3" applyNumberFormat="1" applyFont="1" applyFill="1" applyBorder="1" applyAlignment="1">
      <alignment horizontal="right" vertical="center" shrinkToFit="1"/>
    </xf>
    <xf numFmtId="176" fontId="21" fillId="4" borderId="7" xfId="3" applyNumberFormat="1" applyFont="1" applyFill="1" applyBorder="1" applyAlignment="1">
      <alignment horizontal="right" vertical="center" shrinkToFit="1"/>
    </xf>
    <xf numFmtId="176" fontId="21" fillId="4" borderId="8" xfId="3" applyNumberFormat="1" applyFont="1" applyFill="1" applyBorder="1" applyAlignment="1">
      <alignment horizontal="right" vertical="center" shrinkToFit="1"/>
    </xf>
    <xf numFmtId="38" fontId="23" fillId="4" borderId="5" xfId="15" applyFont="1" applyFill="1" applyBorder="1" applyAlignment="1">
      <alignment horizontal="right" vertical="center" shrinkToFit="1"/>
    </xf>
    <xf numFmtId="38" fontId="23" fillId="4" borderId="6" xfId="15" applyFont="1" applyFill="1" applyBorder="1" applyAlignment="1">
      <alignment horizontal="right" vertical="center" shrinkToFit="1"/>
    </xf>
    <xf numFmtId="38" fontId="23" fillId="4" borderId="1" xfId="15" applyFont="1" applyFill="1" applyBorder="1" applyAlignment="1">
      <alignment horizontal="right" vertical="center" shrinkToFit="1"/>
    </xf>
    <xf numFmtId="38" fontId="23" fillId="4" borderId="20" xfId="15" applyFont="1" applyFill="1" applyBorder="1" applyAlignment="1">
      <alignment horizontal="right" vertical="center" shrinkToFit="1"/>
    </xf>
    <xf numFmtId="38" fontId="23" fillId="4" borderId="10" xfId="15" applyFont="1" applyFill="1" applyBorder="1" applyAlignment="1">
      <alignment horizontal="right" vertical="center" shrinkToFit="1"/>
    </xf>
    <xf numFmtId="38" fontId="23" fillId="4" borderId="11" xfId="15" applyFont="1" applyFill="1" applyBorder="1" applyAlignment="1">
      <alignment horizontal="right" vertical="center" shrinkToFit="1"/>
    </xf>
    <xf numFmtId="185" fontId="60" fillId="4" borderId="5" xfId="16" applyNumberFormat="1" applyFont="1" applyFill="1" applyBorder="1" applyAlignment="1">
      <alignment horizontal="right" vertical="center" shrinkToFit="1"/>
    </xf>
    <xf numFmtId="185" fontId="60" fillId="4" borderId="1" xfId="16" applyNumberFormat="1" applyFont="1" applyFill="1" applyBorder="1" applyAlignment="1">
      <alignment horizontal="right" vertical="center" shrinkToFit="1"/>
    </xf>
    <xf numFmtId="0" fontId="21" fillId="4" borderId="16" xfId="3" applyNumberFormat="1" applyFont="1" applyFill="1" applyBorder="1" applyAlignment="1">
      <alignment horizontal="distributed" vertical="center" wrapText="1"/>
    </xf>
    <xf numFmtId="0" fontId="21" fillId="4" borderId="24" xfId="3" applyNumberFormat="1" applyFont="1" applyFill="1" applyBorder="1" applyAlignment="1">
      <alignment horizontal="distributed" vertical="center"/>
    </xf>
    <xf numFmtId="0" fontId="21" fillId="4" borderId="17" xfId="3" applyNumberFormat="1" applyFont="1" applyFill="1" applyBorder="1" applyAlignment="1">
      <alignment horizontal="distributed" vertical="center"/>
    </xf>
    <xf numFmtId="0" fontId="89" fillId="0" borderId="7" xfId="14" applyFont="1" applyBorder="1" applyAlignment="1">
      <alignment horizontal="right" vertical="center" shrinkToFit="1"/>
    </xf>
    <xf numFmtId="0" fontId="89" fillId="0" borderId="8" xfId="14" applyFont="1" applyBorder="1" applyAlignment="1">
      <alignment horizontal="right" vertical="center" shrinkToFit="1"/>
    </xf>
    <xf numFmtId="185" fontId="88" fillId="0" borderId="5" xfId="16" applyNumberFormat="1" applyFont="1" applyFill="1" applyBorder="1" applyAlignment="1">
      <alignment horizontal="right" vertical="center"/>
    </xf>
    <xf numFmtId="0" fontId="89" fillId="0" borderId="1" xfId="14" applyFont="1" applyBorder="1" applyAlignment="1"/>
    <xf numFmtId="179" fontId="88" fillId="0" borderId="1" xfId="16" applyNumberFormat="1" applyFont="1" applyFill="1" applyBorder="1" applyAlignment="1">
      <alignment horizontal="right" vertical="top"/>
    </xf>
    <xf numFmtId="0" fontId="89" fillId="0" borderId="10" xfId="14" applyFont="1" applyBorder="1" applyAlignment="1">
      <alignment vertical="top"/>
    </xf>
    <xf numFmtId="0" fontId="64" fillId="4" borderId="7" xfId="14" applyFont="1" applyFill="1" applyBorder="1" applyAlignment="1">
      <alignment horizontal="right" vertical="center" shrinkToFit="1"/>
    </xf>
    <xf numFmtId="0" fontId="64" fillId="4" borderId="8" xfId="14" applyFont="1" applyFill="1" applyBorder="1" applyAlignment="1">
      <alignment horizontal="right" vertical="center" shrinkToFit="1"/>
    </xf>
    <xf numFmtId="176" fontId="21" fillId="4" borderId="2" xfId="3" applyNumberFormat="1" applyFont="1" applyFill="1" applyBorder="1" applyAlignment="1">
      <alignment horizontal="right" vertical="center"/>
    </xf>
    <xf numFmtId="0" fontId="64" fillId="4" borderId="7" xfId="14" applyFont="1" applyFill="1" applyBorder="1" applyAlignment="1">
      <alignment horizontal="right" vertical="center"/>
    </xf>
    <xf numFmtId="0" fontId="64" fillId="4" borderId="8" xfId="14" applyFont="1" applyFill="1" applyBorder="1" applyAlignment="1">
      <alignment horizontal="right" vertical="center"/>
    </xf>
    <xf numFmtId="185" fontId="60" fillId="4" borderId="5" xfId="16" applyNumberFormat="1" applyFont="1" applyFill="1" applyBorder="1" applyAlignment="1">
      <alignment horizontal="right" vertical="center"/>
    </xf>
    <xf numFmtId="0" fontId="64" fillId="4" borderId="1" xfId="14" applyFont="1" applyFill="1" applyBorder="1" applyAlignment="1"/>
    <xf numFmtId="179" fontId="60" fillId="4" borderId="1" xfId="16" applyNumberFormat="1" applyFont="1" applyFill="1" applyBorder="1" applyAlignment="1">
      <alignment horizontal="right" vertical="top"/>
    </xf>
    <xf numFmtId="0" fontId="64" fillId="4" borderId="10" xfId="14" applyFont="1" applyFill="1" applyBorder="1" applyAlignment="1">
      <alignment vertical="top"/>
    </xf>
    <xf numFmtId="0" fontId="49" fillId="0" borderId="46" xfId="10" applyFont="1" applyBorder="1" applyAlignment="1">
      <alignment vertical="center"/>
    </xf>
    <xf numFmtId="0" fontId="47" fillId="0" borderId="0" xfId="10" applyFont="1" applyAlignment="1">
      <alignment horizontal="center" vertical="center"/>
    </xf>
    <xf numFmtId="0" fontId="49" fillId="0" borderId="37" xfId="10" applyFont="1" applyBorder="1" applyAlignment="1">
      <alignment horizontal="distributed" vertical="center" indent="1"/>
    </xf>
    <xf numFmtId="0" fontId="1" fillId="0" borderId="38" xfId="10" applyFont="1" applyBorder="1" applyAlignment="1">
      <alignment horizontal="distributed" indent="1"/>
    </xf>
    <xf numFmtId="0" fontId="1" fillId="0" borderId="39" xfId="10" applyFont="1" applyBorder="1" applyAlignment="1">
      <alignment horizontal="distributed" indent="1"/>
    </xf>
    <xf numFmtId="0" fontId="1" fillId="0" borderId="56" xfId="10" applyBorder="1" applyAlignment="1">
      <alignment horizontal="distributed" vertical="center" justifyLastLine="1"/>
    </xf>
    <xf numFmtId="0" fontId="1" fillId="0" borderId="57" xfId="10" applyBorder="1" applyAlignment="1">
      <alignment horizontal="distributed" vertical="center" justifyLastLine="1"/>
    </xf>
    <xf numFmtId="0" fontId="1" fillId="0" borderId="58" xfId="10" applyBorder="1" applyAlignment="1">
      <alignment horizontal="distributed" vertical="center" justifyLastLine="1"/>
    </xf>
    <xf numFmtId="0" fontId="1" fillId="0" borderId="42" xfId="10" applyBorder="1" applyAlignment="1">
      <alignment horizontal="distributed" vertical="center" justifyLastLine="1"/>
    </xf>
    <xf numFmtId="0" fontId="1" fillId="0" borderId="34" xfId="10" applyBorder="1" applyAlignment="1">
      <alignment horizontal="distributed" vertical="center" justifyLastLine="1"/>
    </xf>
    <xf numFmtId="0" fontId="1" fillId="0" borderId="43" xfId="10" applyBorder="1" applyAlignment="1">
      <alignment horizontal="distributed" vertical="center" justifyLastLine="1"/>
    </xf>
    <xf numFmtId="0" fontId="49" fillId="0" borderId="13" xfId="10" applyFont="1" applyBorder="1" applyAlignment="1">
      <alignment horizontal="distributed" vertical="center"/>
    </xf>
    <xf numFmtId="0" fontId="1" fillId="0" borderId="33" xfId="10" applyFont="1" applyBorder="1" applyAlignment="1">
      <alignment horizontal="distributed" vertical="center"/>
    </xf>
    <xf numFmtId="0" fontId="49" fillId="0" borderId="6" xfId="10" applyFont="1" applyBorder="1" applyAlignment="1">
      <alignment vertical="center"/>
    </xf>
    <xf numFmtId="0" fontId="49" fillId="0" borderId="20" xfId="10" applyFont="1" applyBorder="1" applyAlignment="1">
      <alignment vertical="center"/>
    </xf>
    <xf numFmtId="0" fontId="49" fillId="0" borderId="11" xfId="10" applyFont="1" applyBorder="1" applyAlignment="1">
      <alignment vertical="center"/>
    </xf>
    <xf numFmtId="0" fontId="49" fillId="0" borderId="50" xfId="10" applyFont="1" applyBorder="1" applyAlignment="1">
      <alignment horizontal="distributed" vertical="center"/>
    </xf>
    <xf numFmtId="0" fontId="49" fillId="0" borderId="47" xfId="10" applyFont="1" applyBorder="1" applyAlignment="1">
      <alignment horizontal="distributed" vertical="center"/>
    </xf>
    <xf numFmtId="0" fontId="49" fillId="0" borderId="15" xfId="10" applyFont="1" applyBorder="1" applyAlignment="1">
      <alignment horizontal="distributed" vertical="center" wrapText="1"/>
    </xf>
    <xf numFmtId="0" fontId="1" fillId="0" borderId="49" xfId="10" applyFont="1" applyBorder="1" applyAlignment="1">
      <alignment horizontal="distributed" vertical="center"/>
    </xf>
    <xf numFmtId="0" fontId="49" fillId="0" borderId="2" xfId="10" applyFont="1" applyBorder="1" applyAlignment="1">
      <alignment horizontal="center" vertical="center"/>
    </xf>
    <xf numFmtId="0" fontId="49" fillId="0" borderId="7" xfId="10" applyFont="1" applyBorder="1" applyAlignment="1">
      <alignment horizontal="center" vertical="center"/>
    </xf>
    <xf numFmtId="0" fontId="49" fillId="0" borderId="8" xfId="10" applyFont="1" applyBorder="1" applyAlignment="1">
      <alignment horizontal="center" vertical="center"/>
    </xf>
    <xf numFmtId="0" fontId="49" fillId="0" borderId="0" xfId="10" applyFont="1" applyFill="1" applyAlignment="1">
      <alignment horizontal="left" vertical="top" wrapText="1"/>
    </xf>
    <xf numFmtId="0" fontId="49" fillId="0" borderId="3" xfId="10" applyFont="1" applyBorder="1" applyAlignment="1">
      <alignment horizontal="distributed" vertical="center"/>
    </xf>
    <xf numFmtId="0" fontId="49" fillId="0" borderId="49" xfId="10" applyFont="1" applyBorder="1" applyAlignment="1">
      <alignment horizontal="distributed" vertical="center"/>
    </xf>
    <xf numFmtId="0" fontId="49" fillId="0" borderId="52" xfId="10" applyFont="1" applyBorder="1" applyAlignment="1">
      <alignment horizontal="distributed" vertical="center"/>
    </xf>
    <xf numFmtId="0" fontId="49" fillId="0" borderId="53" xfId="10" applyFont="1" applyBorder="1" applyAlignment="1">
      <alignment horizontal="distributed" vertical="center"/>
    </xf>
    <xf numFmtId="49" fontId="49" fillId="0" borderId="0" xfId="10" applyNumberFormat="1" applyFont="1" applyFill="1" applyAlignment="1">
      <alignment horizontal="left" vertical="top" wrapText="1"/>
    </xf>
    <xf numFmtId="0" fontId="92" fillId="0" borderId="9" xfId="10" applyFont="1" applyBorder="1"/>
    <xf numFmtId="38" fontId="15" fillId="2" borderId="0" xfId="2" applyFont="1" applyFill="1" applyAlignment="1"/>
    <xf numFmtId="38" fontId="13" fillId="0" borderId="0" xfId="2" applyFont="1" applyAlignment="1"/>
    <xf numFmtId="10" fontId="15" fillId="2" borderId="0" xfId="2" applyNumberFormat="1" applyFont="1" applyFill="1" applyAlignment="1"/>
    <xf numFmtId="0" fontId="16" fillId="2" borderId="1" xfId="0" applyNumberFormat="1" applyFont="1" applyFill="1" applyBorder="1" applyAlignment="1">
      <alignment horizontal="center" vertical="center"/>
    </xf>
    <xf numFmtId="0" fontId="16" fillId="2" borderId="20" xfId="0" applyNumberFormat="1" applyFont="1" applyFill="1" applyBorder="1" applyAlignment="1">
      <alignment horizontal="center" vertical="center"/>
    </xf>
    <xf numFmtId="0" fontId="16" fillId="2" borderId="10"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182" fontId="16" fillId="0" borderId="9" xfId="0" applyNumberFormat="1" applyFont="1" applyFill="1" applyBorder="1" applyAlignment="1">
      <alignment horizontal="right" vertical="center"/>
    </xf>
    <xf numFmtId="176" fontId="16" fillId="0" borderId="9" xfId="0" applyNumberFormat="1" applyFont="1" applyFill="1" applyBorder="1" applyAlignment="1">
      <alignment horizontal="right" vertical="center"/>
    </xf>
    <xf numFmtId="0" fontId="16" fillId="0" borderId="9" xfId="0" applyNumberFormat="1" applyFont="1" applyFill="1" applyBorder="1" applyAlignment="1">
      <alignment horizontal="left" vertical="center"/>
    </xf>
    <xf numFmtId="176" fontId="16" fillId="2" borderId="22" xfId="0" applyNumberFormat="1" applyFont="1" applyFill="1" applyBorder="1" applyAlignment="1">
      <alignment horizontal="right" vertical="center"/>
    </xf>
    <xf numFmtId="176" fontId="16" fillId="2" borderId="30" xfId="0" applyNumberFormat="1" applyFont="1" applyFill="1" applyBorder="1" applyAlignment="1">
      <alignment horizontal="right" vertical="center"/>
    </xf>
    <xf numFmtId="177" fontId="16" fillId="0" borderId="3" xfId="0" applyNumberFormat="1" applyFont="1" applyFill="1" applyBorder="1" applyAlignment="1">
      <alignment horizontal="right" vertical="center"/>
    </xf>
    <xf numFmtId="180" fontId="16" fillId="0" borderId="4" xfId="0" applyNumberFormat="1" applyFont="1" applyFill="1" applyBorder="1" applyAlignment="1">
      <alignment horizontal="right" vertical="center"/>
    </xf>
    <xf numFmtId="0" fontId="25" fillId="0" borderId="0" xfId="0" applyFont="1" applyAlignment="1"/>
    <xf numFmtId="0" fontId="25" fillId="0" borderId="0" xfId="0" applyFont="1" applyAlignment="1">
      <alignment horizontal="left"/>
    </xf>
    <xf numFmtId="0" fontId="0" fillId="0" borderId="0" xfId="0" applyAlignment="1"/>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center"/>
    </xf>
    <xf numFmtId="0" fontId="25" fillId="0" borderId="0" xfId="0" applyFont="1" applyAlignment="1">
      <alignment vertical="center"/>
    </xf>
    <xf numFmtId="0" fontId="25" fillId="0" borderId="14" xfId="0" applyFont="1" applyBorder="1" applyAlignment="1">
      <alignment shrinkToFit="1"/>
    </xf>
    <xf numFmtId="0" fontId="25" fillId="0" borderId="0" xfId="0" applyFont="1"/>
  </cellXfs>
  <cellStyles count="18">
    <cellStyle name="パーセント" xfId="1" builtinId="5"/>
    <cellStyle name="パーセント 2" xfId="16"/>
    <cellStyle name="パーセント 3" xfId="17"/>
    <cellStyle name="桁区切り" xfId="2" builtinId="6"/>
    <cellStyle name="桁区切り 2" xfId="5"/>
    <cellStyle name="桁区切り 3" xfId="11"/>
    <cellStyle name="桁区切り 4" xfId="15"/>
    <cellStyle name="標準" xfId="0" builtinId="0"/>
    <cellStyle name="標準 2" xfId="4"/>
    <cellStyle name="標準 2 2" xfId="9"/>
    <cellStyle name="標準 2 3" xfId="10"/>
    <cellStyle name="標準 3" xfId="8"/>
    <cellStyle name="標準 4" xfId="14"/>
    <cellStyle name="標準_03 頁１・３・４・５・６・８" xfId="6"/>
    <cellStyle name="標準_04 頁５・６ 2 2 2" xfId="13"/>
    <cellStyle name="標準_04 頁５・６ 3" xfId="7"/>
    <cellStyle name="標準_04 頁５・６ 3 2" xfId="12"/>
    <cellStyle name="標準_手持資料⑬"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chartsheet" Target="chartsheets/sheet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chartsheet" Target="chartsheets/sheet2.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7.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externalLink" Target="externalLinks/externalLink4.xml"/><Relationship Id="rId5" Type="http://schemas.openxmlformats.org/officeDocument/2006/relationships/chartsheet" Target="chartsheets/sheet1.xml"/><Relationship Id="rId15" Type="http://schemas.openxmlformats.org/officeDocument/2006/relationships/worksheet" Target="worksheets/sheet13.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8.xml"/><Relationship Id="rId19" Type="http://schemas.openxmlformats.org/officeDocument/2006/relationships/worksheet" Target="worksheets/sheet16.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layout/>
              <c:tx>
                <c:rich>
                  <a:bodyPr/>
                  <a:lstStyle/>
                  <a:p>
                    <a:fld id="{B4C16CB2-FE71-48C2-809E-3A47BF0804B5}" type="VALUE">
                      <a:rPr lang="en-US" altLang="ja-JP"/>
                      <a:pPr/>
                      <a:t>[値]</a:t>
                    </a:fld>
                    <a:endParaRPr lang="en-US" altLang="ja-JP"/>
                  </a:p>
                  <a:p>
                    <a:r>
                      <a:rPr lang="en-US" altLang="ja-JP" sz="650"/>
                      <a:t>(18.1)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09C2-4499-8752-C8977E9DEE85}"/>
                </c:ext>
              </c:extLst>
            </c:dLbl>
            <c:dLbl>
              <c:idx val="1"/>
              <c:layout/>
              <c:tx>
                <c:rich>
                  <a:bodyPr/>
                  <a:lstStyle/>
                  <a:p>
                    <a:fld id="{E9444DEA-255E-4BCD-A09A-0AE45414CD84}" type="VALUE">
                      <a:rPr lang="en-US" altLang="ja-JP"/>
                      <a:pPr/>
                      <a:t>[値]</a:t>
                    </a:fld>
                    <a:endParaRPr lang="en-US" altLang="ja-JP"/>
                  </a:p>
                  <a:p>
                    <a:r>
                      <a:rPr lang="en-US" altLang="ja-JP" sz="650"/>
                      <a:t>(17.5)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9C2-4499-8752-C8977E9DEE85}"/>
                </c:ext>
              </c:extLst>
            </c:dLbl>
            <c:dLbl>
              <c:idx val="2"/>
              <c:layout/>
              <c:tx>
                <c:rich>
                  <a:bodyPr/>
                  <a:lstStyle/>
                  <a:p>
                    <a:fld id="{EAF14434-E757-4986-BBF7-63B40B90090F}" type="VALUE">
                      <a:rPr lang="en-US" altLang="ja-JP"/>
                      <a:pPr/>
                      <a:t>[値]</a:t>
                    </a:fld>
                    <a:endParaRPr lang="en-US" altLang="ja-JP"/>
                  </a:p>
                  <a:p>
                    <a:r>
                      <a:rPr lang="en-US" altLang="ja-JP" sz="650"/>
                      <a:t>(18.8)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09C2-4499-8752-C8977E9DEE85}"/>
                </c:ext>
              </c:extLst>
            </c:dLbl>
            <c:dLbl>
              <c:idx val="3"/>
              <c:layout/>
              <c:tx>
                <c:rich>
                  <a:bodyPr/>
                  <a:lstStyle/>
                  <a:p>
                    <a:fld id="{A5817223-D3F9-4035-B4AB-FFBF6CDA8BA9}" type="VALUE">
                      <a:rPr lang="en-US" altLang="ja-JP"/>
                      <a:pPr/>
                      <a:t>[値]</a:t>
                    </a:fld>
                    <a:endParaRPr lang="en-US" altLang="ja-JP"/>
                  </a:p>
                  <a:p>
                    <a:r>
                      <a:rPr lang="en-US" altLang="ja-JP" sz="650"/>
                      <a:t>(16.5)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09C2-4499-8752-C8977E9DEE85}"/>
                </c:ext>
              </c:extLst>
            </c:dLbl>
            <c:dLbl>
              <c:idx val="4"/>
              <c:layout/>
              <c:tx>
                <c:rich>
                  <a:bodyPr/>
                  <a:lstStyle/>
                  <a:p>
                    <a:fld id="{65FEF41C-D1D3-4E33-881D-2FB4FB9E0151}"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09C2-4499-8752-C8977E9DEE85}"/>
                </c:ext>
              </c:extLst>
            </c:dLbl>
            <c:dLbl>
              <c:idx val="5"/>
              <c:layout/>
              <c:tx>
                <c:rich>
                  <a:bodyPr/>
                  <a:lstStyle/>
                  <a:p>
                    <a:fld id="{51F243E8-0CED-45D4-B32E-70C3431392EB}"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09C2-4499-8752-C8977E9DEE85}"/>
                </c:ext>
              </c:extLst>
            </c:dLbl>
            <c:dLbl>
              <c:idx val="6"/>
              <c:layout/>
              <c:tx>
                <c:rich>
                  <a:bodyPr/>
                  <a:lstStyle/>
                  <a:p>
                    <a:fld id="{0EFD63D4-930C-4AE8-99DC-257DCCFEB58A}"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09C2-4499-8752-C8977E9DEE85}"/>
                </c:ext>
              </c:extLst>
            </c:dLbl>
            <c:dLbl>
              <c:idx val="7"/>
              <c:layout/>
              <c:tx>
                <c:rich>
                  <a:bodyPr/>
                  <a:lstStyle/>
                  <a:p>
                    <a:fld id="{42FDFD2F-D1CA-4D56-9648-63352C0C6F89}" type="VALUE">
                      <a:rPr lang="en-US" altLang="ja-JP"/>
                      <a:pPr/>
                      <a:t>[値]</a:t>
                    </a:fld>
                    <a:endParaRPr lang="en-US" altLang="ja-JP"/>
                  </a:p>
                  <a:p>
                    <a:r>
                      <a:rPr lang="en-US" altLang="ja-JP" sz="650"/>
                      <a:t>(17.2)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27決算</c:v>
                </c:pt>
                <c:pt idx="5">
                  <c:v>28決算</c:v>
                </c:pt>
                <c:pt idx="6">
                  <c:v>29決算</c:v>
                </c:pt>
                <c:pt idx="7">
                  <c:v>30決算</c:v>
                </c:pt>
              </c:strCache>
            </c:strRef>
          </c:cat>
          <c:val>
            <c:numRef>
              <c:f>頁４データ!$C$44:$N$44</c:f>
              <c:numCache>
                <c:formatCode>#,##0;"△ "#,##0</c:formatCode>
                <c:ptCount val="8"/>
                <c:pt idx="0">
                  <c:v>333494</c:v>
                </c:pt>
                <c:pt idx="1">
                  <c:v>344027</c:v>
                </c:pt>
                <c:pt idx="2">
                  <c:v>324236</c:v>
                </c:pt>
                <c:pt idx="3">
                  <c:v>256522</c:v>
                </c:pt>
                <c:pt idx="4">
                  <c:v>203645</c:v>
                </c:pt>
                <c:pt idx="5">
                  <c:v>196519</c:v>
                </c:pt>
                <c:pt idx="6">
                  <c:v>300874</c:v>
                </c:pt>
                <c:pt idx="7">
                  <c:v>302071</c:v>
                </c:pt>
              </c:numCache>
            </c:numRef>
          </c:val>
          <c:extLst>
            <c:ext xmlns:c16="http://schemas.microsoft.com/office/drawing/2014/chart" uri="{C3380CC4-5D6E-409C-BE32-E72D297353CC}">
              <c16:uniqueId val="{00000008-09C2-4499-8752-C8977E9DEE85}"/>
            </c:ext>
          </c:extLst>
        </c:ser>
        <c:ser>
          <c:idx val="3"/>
          <c:order val="1"/>
          <c:tx>
            <c:v>扶助費</c:v>
          </c:tx>
          <c:spPr>
            <a:solidFill>
              <a:srgbClr val="00CCFF"/>
            </a:solidFill>
            <a:ln w="12700">
              <a:solidFill>
                <a:srgbClr val="000000"/>
              </a:solidFill>
              <a:prstDash val="solid"/>
            </a:ln>
          </c:spPr>
          <c:invertIfNegative val="0"/>
          <c:dLbls>
            <c:dLbl>
              <c:idx val="0"/>
              <c:layout/>
              <c:tx>
                <c:rich>
                  <a:bodyPr/>
                  <a:lstStyle/>
                  <a:p>
                    <a:fld id="{F5CBA0D5-9570-41F6-96EE-7020D437C56D}" type="VALUE">
                      <a:rPr lang="en-US" altLang="ja-JP"/>
                      <a:pPr/>
                      <a:t>[値]</a:t>
                    </a:fld>
                    <a:endParaRPr lang="en-US" altLang="ja-JP"/>
                  </a:p>
                  <a:p>
                    <a:r>
                      <a:rPr lang="en-US" altLang="ja-JP" sz="650"/>
                      <a:t>(11.8)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09C2-4499-8752-C8977E9DEE85}"/>
                </c:ext>
              </c:extLst>
            </c:dLbl>
            <c:dLbl>
              <c:idx val="1"/>
              <c:layout/>
              <c:tx>
                <c:rich>
                  <a:bodyPr/>
                  <a:lstStyle/>
                  <a:p>
                    <a:fld id="{C6B3A1D4-F96F-48D3-938C-B9499D512593}"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09C2-4499-8752-C8977E9DEE85}"/>
                </c:ext>
              </c:extLst>
            </c:dLbl>
            <c:dLbl>
              <c:idx val="2"/>
              <c:layout/>
              <c:tx>
                <c:rich>
                  <a:bodyPr/>
                  <a:lstStyle/>
                  <a:p>
                    <a:fld id="{5B8190F0-9499-430C-AF37-142E545C4984}" type="VALUE">
                      <a:rPr lang="en-US" altLang="ja-JP"/>
                      <a:pPr/>
                      <a:t>[値]</a:t>
                    </a:fld>
                    <a:endParaRPr lang="en-US" altLang="ja-JP"/>
                  </a:p>
                  <a:p>
                    <a:r>
                      <a:rPr lang="en-US" altLang="ja-JP" sz="650"/>
                      <a:t>(19.1)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09C2-4499-8752-C8977E9DEE85}"/>
                </c:ext>
              </c:extLst>
            </c:dLbl>
            <c:dLbl>
              <c:idx val="3"/>
              <c:layout/>
              <c:tx>
                <c:rich>
                  <a:bodyPr/>
                  <a:lstStyle/>
                  <a:p>
                    <a:fld id="{C6C2A84E-5AC3-4F33-ACE9-CB8C89916FF9}" type="VALUE">
                      <a:rPr lang="en-US" altLang="ja-JP"/>
                      <a:pPr/>
                      <a:t>[値]</a:t>
                    </a:fld>
                    <a:endParaRPr lang="en-US" altLang="ja-JP"/>
                  </a:p>
                  <a:p>
                    <a:r>
                      <a:rPr lang="en-US" altLang="ja-JP" sz="650"/>
                      <a:t>(24.8)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09C2-4499-8752-C8977E9DEE85}"/>
                </c:ext>
              </c:extLst>
            </c:dLbl>
            <c:dLbl>
              <c:idx val="4"/>
              <c:layout/>
              <c:tx>
                <c:rich>
                  <a:bodyPr/>
                  <a:lstStyle/>
                  <a:p>
                    <a:fld id="{E1B9E250-87A8-4F9D-B196-F117E05AA500}" type="VALUE">
                      <a:rPr lang="en-US" altLang="ja-JP"/>
                      <a:pPr/>
                      <a:t>[値]</a:t>
                    </a:fld>
                    <a:endParaRPr lang="en-US" altLang="ja-JP"/>
                  </a:p>
                  <a:p>
                    <a:r>
                      <a:rPr lang="en-US" altLang="ja-JP" sz="650"/>
                      <a:t>(32.4)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09C2-4499-8752-C8977E9DEE85}"/>
                </c:ext>
              </c:extLst>
            </c:dLbl>
            <c:dLbl>
              <c:idx val="5"/>
              <c:layout/>
              <c:tx>
                <c:rich>
                  <a:bodyPr/>
                  <a:lstStyle/>
                  <a:p>
                    <a:r>
                      <a:rPr lang="en-US" altLang="ja-JP"/>
                      <a:t>5,417</a:t>
                    </a:r>
                  </a:p>
                  <a:p>
                    <a:r>
                      <a:rPr lang="en-US" altLang="ja-JP" sz="650"/>
                      <a:t>(34.4)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9C2-4499-8752-C8977E9DEE85}"/>
                </c:ext>
              </c:extLst>
            </c:dLbl>
            <c:dLbl>
              <c:idx val="6"/>
              <c:layout/>
              <c:tx>
                <c:rich>
                  <a:bodyPr/>
                  <a:lstStyle/>
                  <a:p>
                    <a:fld id="{44136E58-E51F-401F-AA99-C17F5521B7D1}" type="VALUE">
                      <a:rPr lang="en-US" altLang="ja-JP"/>
                      <a:pPr/>
                      <a:t>[値]</a:t>
                    </a:fld>
                    <a:endParaRPr lang="en-US" altLang="ja-JP"/>
                  </a:p>
                  <a:p>
                    <a:r>
                      <a:rPr lang="en-US" altLang="ja-JP" sz="650"/>
                      <a:t>(31.7)</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09C2-4499-8752-C8977E9DEE85}"/>
                </c:ext>
              </c:extLst>
            </c:dLbl>
            <c:dLbl>
              <c:idx val="7"/>
              <c:layout/>
              <c:tx>
                <c:rich>
                  <a:bodyPr/>
                  <a:lstStyle/>
                  <a:p>
                    <a:fld id="{1AFBA10A-883D-48E3-989A-B2735C84B865}" type="VALUE">
                      <a:rPr lang="en-US" altLang="ja-JP"/>
                      <a:pPr/>
                      <a:t>[値]</a:t>
                    </a:fld>
                    <a:endParaRPr lang="en-US" altLang="ja-JP"/>
                  </a:p>
                  <a:p>
                    <a:r>
                      <a:rPr lang="en-US" altLang="ja-JP" sz="650"/>
                      <a:t>(31.5)</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27決算</c:v>
                </c:pt>
                <c:pt idx="5">
                  <c:v>28決算</c:v>
                </c:pt>
                <c:pt idx="6">
                  <c:v>29決算</c:v>
                </c:pt>
                <c:pt idx="7">
                  <c:v>30決算</c:v>
                </c:pt>
              </c:strCache>
            </c:strRef>
          </c:cat>
          <c:val>
            <c:numRef>
              <c:f>頁４データ!$C$43:$N$43</c:f>
              <c:numCache>
                <c:formatCode>#,##0;"△ "#,##0</c:formatCode>
                <c:ptCount val="8"/>
                <c:pt idx="0">
                  <c:v>217325</c:v>
                </c:pt>
                <c:pt idx="1">
                  <c:v>246904</c:v>
                </c:pt>
                <c:pt idx="2">
                  <c:v>327848</c:v>
                </c:pt>
                <c:pt idx="3">
                  <c:v>384863</c:v>
                </c:pt>
                <c:pt idx="4">
                  <c:v>528188</c:v>
                </c:pt>
                <c:pt idx="5">
                  <c:v>541680</c:v>
                </c:pt>
                <c:pt idx="6">
                  <c:v>552538</c:v>
                </c:pt>
                <c:pt idx="7">
                  <c:v>553538</c:v>
                </c:pt>
              </c:numCache>
            </c:numRef>
          </c:val>
          <c:extLst>
            <c:ext xmlns:c16="http://schemas.microsoft.com/office/drawing/2014/chart" uri="{C3380CC4-5D6E-409C-BE32-E72D297353CC}">
              <c16:uniqueId val="{00000011-09C2-4499-8752-C8977E9DEE85}"/>
            </c:ext>
          </c:extLst>
        </c:ser>
        <c:ser>
          <c:idx val="2"/>
          <c:order val="2"/>
          <c:tx>
            <c:v>公債費</c:v>
          </c:tx>
          <c:spPr>
            <a:solidFill>
              <a:srgbClr val="FFFF00"/>
            </a:solidFill>
            <a:ln w="12700">
              <a:solidFill>
                <a:srgbClr val="000000"/>
              </a:solidFill>
              <a:prstDash val="solid"/>
            </a:ln>
          </c:spPr>
          <c:invertIfNegative val="0"/>
          <c:dLbls>
            <c:dLbl>
              <c:idx val="0"/>
              <c:layout/>
              <c:tx>
                <c:rich>
                  <a:bodyPr/>
                  <a:lstStyle/>
                  <a:p>
                    <a:fld id="{62985294-11E3-4D1C-8E14-ECBD1C02013F}" type="VALUE">
                      <a:rPr lang="en-US" altLang="ja-JP"/>
                      <a:pPr/>
                      <a:t>[値]</a:t>
                    </a:fld>
                    <a:endParaRPr lang="en-US" altLang="ja-JP"/>
                  </a:p>
                  <a:p>
                    <a:r>
                      <a:rPr lang="en-US" altLang="ja-JP" sz="650"/>
                      <a:t>(7.9)</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09C2-4499-8752-C8977E9DEE85}"/>
                </c:ext>
              </c:extLst>
            </c:dLbl>
            <c:dLbl>
              <c:idx val="1"/>
              <c:layout/>
              <c:tx>
                <c:rich>
                  <a:bodyPr/>
                  <a:lstStyle/>
                  <a:p>
                    <a:fld id="{1CCF28F3-7BA4-41A0-A18C-4808AB3DE1C6}" type="VALUE">
                      <a:rPr lang="en-US" altLang="ja-JP"/>
                      <a:pPr/>
                      <a:t>[値]</a:t>
                    </a:fld>
                    <a:endParaRPr lang="en-US" altLang="ja-JP"/>
                  </a:p>
                  <a:p>
                    <a:r>
                      <a:rPr lang="en-US" altLang="ja-JP" sz="650"/>
                      <a:t>(8.4)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09C2-4499-8752-C8977E9DEE85}"/>
                </c:ext>
              </c:extLst>
            </c:dLbl>
            <c:dLbl>
              <c:idx val="2"/>
              <c:layout/>
              <c:tx>
                <c:rich>
                  <a:bodyPr/>
                  <a:lstStyle/>
                  <a:p>
                    <a:r>
                      <a:rPr lang="en-US" altLang="ja-JP"/>
                      <a:t>2,189</a:t>
                    </a:r>
                  </a:p>
                  <a:p>
                    <a:r>
                      <a:rPr lang="en-US" altLang="ja-JP" sz="650"/>
                      <a:t>(12.7)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9C2-4499-8752-C8977E9DEE85}"/>
                </c:ext>
              </c:extLst>
            </c:dLbl>
            <c:dLbl>
              <c:idx val="3"/>
              <c:layout/>
              <c:tx>
                <c:rich>
                  <a:bodyPr/>
                  <a:lstStyle/>
                  <a:p>
                    <a:fld id="{54921AB3-A59F-4BB3-A514-5547A28389BF}" type="VALUE">
                      <a:rPr lang="en-US" altLang="ja-JP"/>
                      <a:pPr/>
                      <a:t>[値]</a:t>
                    </a:fld>
                    <a:endParaRPr lang="en-US" altLang="ja-JP"/>
                  </a:p>
                  <a:p>
                    <a:r>
                      <a:rPr lang="en-US" altLang="ja-JP" sz="650"/>
                      <a:t>(13.8)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09C2-4499-8752-C8977E9DEE85}"/>
                </c:ext>
              </c:extLst>
            </c:dLbl>
            <c:dLbl>
              <c:idx val="4"/>
              <c:layout/>
              <c:tx>
                <c:rich>
                  <a:bodyPr/>
                  <a:lstStyle/>
                  <a:p>
                    <a:r>
                      <a:rPr lang="en-US" altLang="ja-JP"/>
                      <a:t>2,785</a:t>
                    </a:r>
                  </a:p>
                  <a:p>
                    <a:r>
                      <a:rPr lang="en-US" altLang="ja-JP" sz="650"/>
                      <a:t>(17.1)</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9C2-4499-8752-C8977E9DEE85}"/>
                </c:ext>
              </c:extLst>
            </c:dLbl>
            <c:dLbl>
              <c:idx val="5"/>
              <c:layout/>
              <c:tx>
                <c:rich>
                  <a:bodyPr/>
                  <a:lstStyle/>
                  <a:p>
                    <a:r>
                      <a:rPr lang="en-US" altLang="ja-JP"/>
                      <a:t>2,660</a:t>
                    </a:r>
                  </a:p>
                  <a:p>
                    <a:r>
                      <a:rPr lang="en-US" altLang="ja-JP" sz="650"/>
                      <a:t>(16.9)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9C2-4499-8752-C8977E9DEE85}"/>
                </c:ext>
              </c:extLst>
            </c:dLbl>
            <c:dLbl>
              <c:idx val="6"/>
              <c:layout/>
              <c:tx>
                <c:rich>
                  <a:bodyPr/>
                  <a:lstStyle/>
                  <a:p>
                    <a:fld id="{E02A656F-5DE2-4962-A3DD-AAE6EA06ED6F}" type="VALUE">
                      <a:rPr lang="en-US" altLang="ja-JP"/>
                      <a:pPr/>
                      <a:t>[値]</a:t>
                    </a:fld>
                    <a:endParaRPr lang="en-US" altLang="ja-JP"/>
                  </a:p>
                  <a:p>
                    <a:r>
                      <a:rPr lang="en-US" altLang="ja-JP" sz="650"/>
                      <a:t>(15.1)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09C2-4499-8752-C8977E9DEE85}"/>
                </c:ext>
              </c:extLst>
            </c:dLbl>
            <c:dLbl>
              <c:idx val="7"/>
              <c:layout/>
              <c:tx>
                <c:rich>
                  <a:bodyPr/>
                  <a:lstStyle/>
                  <a:p>
                    <a:fld id="{A0A376BB-87F3-4ABB-B2FF-FA6B0E22E02D}" type="VALUE">
                      <a:rPr lang="en-US" altLang="ja-JP"/>
                      <a:pPr/>
                      <a:t>[値]</a:t>
                    </a:fld>
                    <a:endParaRPr lang="en-US" altLang="ja-JP"/>
                  </a:p>
                  <a:p>
                    <a:r>
                      <a:rPr lang="en-US" altLang="ja-JP" sz="650"/>
                      <a:t>(16.6)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9-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頁４データ!$C$39:$K$39</c:f>
              <c:strCache>
                <c:ptCount val="5"/>
                <c:pt idx="0">
                  <c:v>8決算</c:v>
                </c:pt>
                <c:pt idx="1">
                  <c:v>10決算</c:v>
                </c:pt>
                <c:pt idx="2">
                  <c:v>15決算</c:v>
                </c:pt>
                <c:pt idx="3">
                  <c:v>20決算</c:v>
                </c:pt>
                <c:pt idx="4">
                  <c:v>27決算</c:v>
                </c:pt>
              </c:strCache>
            </c:strRef>
          </c:cat>
          <c:val>
            <c:numRef>
              <c:f>頁４データ!$C$42:$N$42</c:f>
              <c:numCache>
                <c:formatCode>#,##0;"△ "#,##0</c:formatCode>
                <c:ptCount val="8"/>
                <c:pt idx="0">
                  <c:v>145516</c:v>
                </c:pt>
                <c:pt idx="1">
                  <c:v>166464</c:v>
                </c:pt>
                <c:pt idx="2">
                  <c:v>218849</c:v>
                </c:pt>
                <c:pt idx="3">
                  <c:v>213802</c:v>
                </c:pt>
                <c:pt idx="4">
                  <c:v>278423</c:v>
                </c:pt>
                <c:pt idx="5">
                  <c:v>265961</c:v>
                </c:pt>
                <c:pt idx="6">
                  <c:v>262980</c:v>
                </c:pt>
                <c:pt idx="7">
                  <c:v>292271</c:v>
                </c:pt>
              </c:numCache>
            </c:numRef>
          </c:val>
          <c:extLst>
            <c:ext xmlns:c16="http://schemas.microsoft.com/office/drawing/2014/chart" uri="{C3380CC4-5D6E-409C-BE32-E72D297353CC}">
              <c16:uniqueId val="{0000001A-09C2-4499-8752-C8977E9DEE85}"/>
            </c:ext>
          </c:extLst>
        </c:ser>
        <c:ser>
          <c:idx val="0"/>
          <c:order val="3"/>
          <c:tx>
            <c:v>投資的経費</c:v>
          </c:tx>
          <c:spPr>
            <a:solidFill>
              <a:srgbClr val="00FF00"/>
            </a:solidFill>
            <a:ln w="12700">
              <a:solidFill>
                <a:srgbClr val="000000"/>
              </a:solidFill>
              <a:prstDash val="solid"/>
            </a:ln>
          </c:spPr>
          <c:invertIfNegative val="0"/>
          <c:dLbls>
            <c:dLbl>
              <c:idx val="0"/>
              <c:layout/>
              <c:tx>
                <c:rich>
                  <a:bodyPr/>
                  <a:lstStyle/>
                  <a:p>
                    <a:fld id="{425D04FE-9480-4F5E-8B69-47C5E0E4AC3A}" type="VALUE">
                      <a:rPr lang="en-US" altLang="ja-JP"/>
                      <a:pPr/>
                      <a:t>[値]</a:t>
                    </a:fld>
                    <a:endParaRPr lang="en-US" altLang="ja-JP"/>
                  </a:p>
                  <a:p>
                    <a:r>
                      <a:rPr lang="en-US" altLang="ja-JP" sz="650"/>
                      <a:t>(26.6)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B-09C2-4499-8752-C8977E9DEE85}"/>
                </c:ext>
              </c:extLst>
            </c:dLbl>
            <c:dLbl>
              <c:idx val="1"/>
              <c:layout/>
              <c:tx>
                <c:rich>
                  <a:bodyPr/>
                  <a:lstStyle/>
                  <a:p>
                    <a:fld id="{476BD570-808B-4ACA-93A3-F6CAC36DB9E0}" type="VALUE">
                      <a:rPr lang="en-US" altLang="ja-JP"/>
                      <a:pPr/>
                      <a:t>[値]</a:t>
                    </a:fld>
                    <a:endParaRPr lang="en-US" altLang="ja-JP"/>
                  </a:p>
                  <a:p>
                    <a:r>
                      <a:rPr lang="en-US" altLang="ja-JP" sz="650"/>
                      <a:t>(28.2)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09C2-4499-8752-C8977E9DEE85}"/>
                </c:ext>
              </c:extLst>
            </c:dLbl>
            <c:dLbl>
              <c:idx val="2"/>
              <c:layout/>
              <c:tx>
                <c:rich>
                  <a:bodyPr/>
                  <a:lstStyle/>
                  <a:p>
                    <a:fld id="{23D99510-6FC5-4CFF-8D07-01D08347F5D4}"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09C2-4499-8752-C8977E9DEE85}"/>
                </c:ext>
              </c:extLst>
            </c:dLbl>
            <c:dLbl>
              <c:idx val="3"/>
              <c:layout/>
              <c:tx>
                <c:rich>
                  <a:bodyPr/>
                  <a:lstStyle/>
                  <a:p>
                    <a:fld id="{8871A093-7F30-40FF-AD25-8EB831645B7A}" type="VALUE">
                      <a:rPr lang="en-US" altLang="ja-JP"/>
                      <a:pPr/>
                      <a:t>[値]</a:t>
                    </a:fld>
                    <a:endParaRPr lang="en-US" altLang="ja-JP"/>
                  </a:p>
                  <a:p>
                    <a:r>
                      <a:rPr lang="en-US" altLang="ja-JP" sz="650"/>
                      <a:t>(8.0)</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09C2-4499-8752-C8977E9DEE85}"/>
                </c:ext>
              </c:extLst>
            </c:dLbl>
            <c:dLbl>
              <c:idx val="4"/>
              <c:layout/>
              <c:tx>
                <c:rich>
                  <a:bodyPr/>
                  <a:lstStyle/>
                  <a:p>
                    <a:r>
                      <a:rPr lang="en-US" altLang="ja-JP"/>
                      <a:t>1,009</a:t>
                    </a:r>
                  </a:p>
                  <a:p>
                    <a:r>
                      <a:rPr lang="en-US" altLang="ja-JP" sz="650"/>
                      <a:t>(6.2)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9C2-4499-8752-C8977E9DEE85}"/>
                </c:ext>
              </c:extLst>
            </c:dLbl>
            <c:dLbl>
              <c:idx val="5"/>
              <c:layout/>
              <c:tx>
                <c:rich>
                  <a:bodyPr/>
                  <a:lstStyle/>
                  <a:p>
                    <a:fld id="{83DF3102-C2A2-4FDD-BB8B-97287F99B7A0}" type="VALUE">
                      <a:rPr lang="en-US" altLang="ja-JP"/>
                      <a:pPr/>
                      <a:t>[値]</a:t>
                    </a:fld>
                    <a:endParaRPr lang="en-US" altLang="ja-JP"/>
                  </a:p>
                  <a:p>
                    <a:r>
                      <a:rPr lang="en-US" altLang="ja-JP" sz="650"/>
                      <a:t>(6.4)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09C2-4499-8752-C8977E9DEE85}"/>
                </c:ext>
              </c:extLst>
            </c:dLbl>
            <c:dLbl>
              <c:idx val="6"/>
              <c:layout/>
              <c:tx>
                <c:rich>
                  <a:bodyPr/>
                  <a:lstStyle/>
                  <a:p>
                    <a:fld id="{216D7904-7F4E-4272-BAE8-7307A0C28773}" type="VALUE">
                      <a:rPr lang="en-US" altLang="ja-JP"/>
                      <a:pPr/>
                      <a:t>[値]</a:t>
                    </a:fld>
                    <a:endParaRPr lang="en-US" altLang="ja-JP"/>
                  </a:p>
                  <a:p>
                    <a:r>
                      <a:rPr lang="en-US" altLang="ja-JP" sz="650"/>
                      <a:t>(6.7)</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09C2-4499-8752-C8977E9DEE85}"/>
                </c:ext>
              </c:extLst>
            </c:dLbl>
            <c:dLbl>
              <c:idx val="7"/>
              <c:layout/>
              <c:tx>
                <c:rich>
                  <a:bodyPr/>
                  <a:lstStyle/>
                  <a:p>
                    <a:fld id="{F3888839-E5B0-4F1E-978B-F2B5B7B31B14}" type="VALUE">
                      <a:rPr lang="en-US" altLang="ja-JP"/>
                      <a:pPr/>
                      <a:t>[値]</a:t>
                    </a:fld>
                    <a:endParaRPr lang="en-US" altLang="ja-JP"/>
                  </a:p>
                  <a:p>
                    <a:r>
                      <a:rPr lang="en-US" altLang="ja-JP" sz="650"/>
                      <a:t>(7.1)</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2-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8決算</c:v>
                </c:pt>
                <c:pt idx="1">
                  <c:v>10決算</c:v>
                </c:pt>
                <c:pt idx="2">
                  <c:v>15決算</c:v>
                </c:pt>
                <c:pt idx="3">
                  <c:v>20決算</c:v>
                </c:pt>
                <c:pt idx="4">
                  <c:v>27決算</c:v>
                </c:pt>
                <c:pt idx="5">
                  <c:v>28決算</c:v>
                </c:pt>
                <c:pt idx="6">
                  <c:v>29決算</c:v>
                </c:pt>
                <c:pt idx="7">
                  <c:v>30決算</c:v>
                </c:pt>
              </c:strCache>
            </c:strRef>
          </c:cat>
          <c:val>
            <c:numRef>
              <c:f>頁４データ!$C$40:$N$40</c:f>
              <c:numCache>
                <c:formatCode>#,##0;"△ "#,##0</c:formatCode>
                <c:ptCount val="8"/>
                <c:pt idx="0">
                  <c:v>490419</c:v>
                </c:pt>
                <c:pt idx="1">
                  <c:v>555592</c:v>
                </c:pt>
                <c:pt idx="2">
                  <c:v>219703</c:v>
                </c:pt>
                <c:pt idx="3">
                  <c:v>124207</c:v>
                </c:pt>
                <c:pt idx="4">
                  <c:v>100879</c:v>
                </c:pt>
                <c:pt idx="5">
                  <c:v>100112</c:v>
                </c:pt>
                <c:pt idx="6">
                  <c:v>115757</c:v>
                </c:pt>
                <c:pt idx="7">
                  <c:v>124704</c:v>
                </c:pt>
              </c:numCache>
            </c:numRef>
          </c:val>
          <c:extLst>
            <c:ext xmlns:c16="http://schemas.microsoft.com/office/drawing/2014/chart" uri="{C3380CC4-5D6E-409C-BE32-E72D297353CC}">
              <c16:uniqueId val="{00000023-09C2-4499-8752-C8977E9DEE85}"/>
            </c:ext>
          </c:extLst>
        </c:ser>
        <c:ser>
          <c:idx val="1"/>
          <c:order val="4"/>
          <c:tx>
            <c:v>その他</c:v>
          </c:tx>
          <c:spPr>
            <a:solidFill>
              <a:srgbClr val="FF9900"/>
            </a:solidFill>
            <a:ln w="12700">
              <a:solidFill>
                <a:srgbClr val="000000"/>
              </a:solidFill>
              <a:prstDash val="solid"/>
            </a:ln>
          </c:spPr>
          <c:invertIfNegative val="0"/>
          <c:dLbls>
            <c:dLbl>
              <c:idx val="0"/>
              <c:layout/>
              <c:tx>
                <c:rich>
                  <a:bodyPr/>
                  <a:lstStyle/>
                  <a:p>
                    <a:fld id="{B4FA9C7C-EF64-46E3-BCE6-1C097AEBE5DF}" type="VALUE">
                      <a:rPr lang="en-US" altLang="ja-JP"/>
                      <a:pPr/>
                      <a:t>[値]</a:t>
                    </a:fld>
                    <a:endParaRPr lang="en-US" altLang="ja-JP"/>
                  </a:p>
                  <a:p>
                    <a:r>
                      <a:rPr lang="en-US" altLang="ja-JP" sz="650"/>
                      <a:t>(35.6)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4-09C2-4499-8752-C8977E9DEE85}"/>
                </c:ext>
              </c:extLst>
            </c:dLbl>
            <c:dLbl>
              <c:idx val="1"/>
              <c:layout/>
              <c:tx>
                <c:rich>
                  <a:bodyPr/>
                  <a:lstStyle/>
                  <a:p>
                    <a:fld id="{21036389-3015-4797-B1C9-B103C7F6BEB6}" type="VALUE">
                      <a:rPr lang="en-US" altLang="ja-JP"/>
                      <a:pPr/>
                      <a:t>[値]</a:t>
                    </a:fld>
                    <a:endParaRPr lang="en-US" altLang="ja-JP"/>
                  </a:p>
                  <a:p>
                    <a:r>
                      <a:rPr lang="en-US" altLang="ja-JP" sz="650"/>
                      <a:t>(33.4)</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5-09C2-4499-8752-C8977E9DEE85}"/>
                </c:ext>
              </c:extLst>
            </c:dLbl>
            <c:dLbl>
              <c:idx val="2"/>
              <c:layout/>
              <c:tx>
                <c:rich>
                  <a:bodyPr/>
                  <a:lstStyle/>
                  <a:p>
                    <a:fld id="{5F26E05B-C194-4979-A76B-1721FFAA0492}" type="VALUE">
                      <a:rPr lang="en-US" altLang="ja-JP"/>
                      <a:pPr/>
                      <a:t>[値]</a:t>
                    </a:fld>
                    <a:endParaRPr lang="en-US" altLang="ja-JP"/>
                  </a:p>
                  <a:p>
                    <a:r>
                      <a:rPr lang="en-US" altLang="ja-JP" sz="650"/>
                      <a:t>(36.6)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6-09C2-4499-8752-C8977E9DEE85}"/>
                </c:ext>
              </c:extLst>
            </c:dLbl>
            <c:dLbl>
              <c:idx val="3"/>
              <c:layout/>
              <c:tx>
                <c:rich>
                  <a:bodyPr/>
                  <a:lstStyle/>
                  <a:p>
                    <a:fld id="{6A13F071-6F43-4CAC-8658-23CB2D814513}" type="VALUE">
                      <a:rPr lang="en-US" altLang="ja-JP"/>
                      <a:pPr/>
                      <a:t>[値]</a:t>
                    </a:fld>
                    <a:endParaRPr lang="en-US" altLang="ja-JP"/>
                  </a:p>
                  <a:p>
                    <a:r>
                      <a:rPr lang="en-US" altLang="ja-JP" sz="650"/>
                      <a:t>(36.9)</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7-09C2-4499-8752-C8977E9DEE85}"/>
                </c:ext>
              </c:extLst>
            </c:dLbl>
            <c:dLbl>
              <c:idx val="4"/>
              <c:layout/>
              <c:tx>
                <c:rich>
                  <a:bodyPr/>
                  <a:lstStyle/>
                  <a:p>
                    <a:fld id="{C8687222-571C-4C3C-8BAE-481C6D1CA4B3}" type="VALUE">
                      <a:rPr lang="en-US" altLang="ja-JP"/>
                      <a:pPr/>
                      <a:t>[値]</a:t>
                    </a:fld>
                    <a:endParaRPr lang="en-US" altLang="ja-JP"/>
                  </a:p>
                  <a:p>
                    <a:r>
                      <a:rPr lang="en-US" altLang="ja-JP" sz="650"/>
                      <a:t>(31.8</a:t>
                    </a:r>
                    <a:r>
                      <a:rPr lang="ja-JP" altLang="en-US" sz="650"/>
                      <a:t>）</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8-09C2-4499-8752-C8977E9DEE85}"/>
                </c:ext>
              </c:extLst>
            </c:dLbl>
            <c:dLbl>
              <c:idx val="5"/>
              <c:layout/>
              <c:tx>
                <c:rich>
                  <a:bodyPr/>
                  <a:lstStyle/>
                  <a:p>
                    <a:fld id="{F9AE1164-4F1D-4A74-B4A6-E68E5F5811FB}" type="VALUE">
                      <a:rPr lang="en-US" altLang="ja-JP"/>
                      <a:pPr/>
                      <a:t>[値]</a:t>
                    </a:fld>
                    <a:endParaRPr lang="en-US" altLang="ja-JP"/>
                  </a:p>
                  <a:p>
                    <a:r>
                      <a:rPr lang="en-US" altLang="ja-JP" sz="650"/>
                      <a:t>(29.8)</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09C2-4499-8752-C8977E9DEE85}"/>
                </c:ext>
              </c:extLst>
            </c:dLbl>
            <c:dLbl>
              <c:idx val="6"/>
              <c:layout/>
              <c:tx>
                <c:rich>
                  <a:bodyPr/>
                  <a:lstStyle/>
                  <a:p>
                    <a:fld id="{98832D6F-19AA-4844-A646-911341FD50AD}" type="VALUE">
                      <a:rPr lang="en-US" altLang="ja-JP"/>
                      <a:pPr/>
                      <a:t>[値]</a:t>
                    </a:fld>
                    <a:endParaRPr lang="en-US" altLang="ja-JP"/>
                  </a:p>
                  <a:p>
                    <a:r>
                      <a:rPr lang="en-US" altLang="ja-JP" sz="650"/>
                      <a:t>(29.2)</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A-09C2-4499-8752-C8977E9DEE85}"/>
                </c:ext>
              </c:extLst>
            </c:dLbl>
            <c:dLbl>
              <c:idx val="7"/>
              <c:layout/>
              <c:tx>
                <c:rich>
                  <a:bodyPr/>
                  <a:lstStyle/>
                  <a:p>
                    <a:fld id="{6E05717D-7EFD-40B0-8DA0-6DAF1D1F7575}" type="VALUE">
                      <a:rPr lang="en-US" altLang="ja-JP"/>
                      <a:pPr/>
                      <a:t>[値]</a:t>
                    </a:fld>
                    <a:endParaRPr lang="en-US" altLang="ja-JP"/>
                  </a:p>
                  <a:p>
                    <a:r>
                      <a:rPr lang="en-US" altLang="ja-JP" sz="650"/>
                      <a:t>(27.6)</a:t>
                    </a: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B-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8"/>
                <c:pt idx="0">
                  <c:v>8決算</c:v>
                </c:pt>
                <c:pt idx="1">
                  <c:v>10決算</c:v>
                </c:pt>
                <c:pt idx="2">
                  <c:v>15決算</c:v>
                </c:pt>
                <c:pt idx="3">
                  <c:v>20決算</c:v>
                </c:pt>
                <c:pt idx="4">
                  <c:v>27決算</c:v>
                </c:pt>
                <c:pt idx="5">
                  <c:v>28決算</c:v>
                </c:pt>
                <c:pt idx="6">
                  <c:v>29決算</c:v>
                </c:pt>
                <c:pt idx="7">
                  <c:v>30決算</c:v>
                </c:pt>
              </c:strCache>
            </c:strRef>
          </c:cat>
          <c:val>
            <c:numRef>
              <c:f>頁４データ!$C$41:$N$41</c:f>
              <c:numCache>
                <c:formatCode>#,##0;"△ "#,##0</c:formatCode>
                <c:ptCount val="8"/>
                <c:pt idx="0">
                  <c:v>657571</c:v>
                </c:pt>
                <c:pt idx="1">
                  <c:v>658464</c:v>
                </c:pt>
                <c:pt idx="2">
                  <c:v>629351</c:v>
                </c:pt>
                <c:pt idx="3">
                  <c:v>573465</c:v>
                </c:pt>
                <c:pt idx="4">
                  <c:v>518938</c:v>
                </c:pt>
                <c:pt idx="5">
                  <c:v>468576</c:v>
                </c:pt>
                <c:pt idx="6">
                  <c:v>508666</c:v>
                </c:pt>
                <c:pt idx="7">
                  <c:v>485989</c:v>
                </c:pt>
              </c:numCache>
            </c:numRef>
          </c:val>
          <c:extLst>
            <c:ext xmlns:c16="http://schemas.microsoft.com/office/drawing/2014/chart" uri="{C3380CC4-5D6E-409C-BE32-E72D297353CC}">
              <c16:uniqueId val="{0000002C-09C2-4499-8752-C8977E9DEE85}"/>
            </c:ext>
          </c:extLst>
        </c:ser>
        <c:dLbls>
          <c:dLblPos val="ctr"/>
          <c:showLegendKey val="0"/>
          <c:showVal val="1"/>
          <c:showCatName val="0"/>
          <c:showSerName val="0"/>
          <c:showPercent val="0"/>
          <c:showBubbleSize val="0"/>
        </c:dLbls>
        <c:gapWidth val="120"/>
        <c:overlap val="100"/>
        <c:serLines>
          <c:spPr>
            <a:ln w="3175">
              <a:solidFill>
                <a:srgbClr val="000000"/>
              </a:solidFill>
              <a:prstDash val="sysDash"/>
            </a:ln>
          </c:spPr>
        </c:serLines>
        <c:axId val="399928888"/>
        <c:axId val="399556016"/>
      </c:barChart>
      <c:catAx>
        <c:axId val="399928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56016"/>
        <c:crosses val="autoZero"/>
        <c:auto val="1"/>
        <c:lblAlgn val="ctr"/>
        <c:lblOffset val="100"/>
        <c:tickLblSkip val="1"/>
        <c:tickMarkSkip val="1"/>
        <c:noMultiLvlLbl val="0"/>
      </c:catAx>
      <c:valAx>
        <c:axId val="39955601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928888"/>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6310754067015"/>
          <c:y val="0.23471161197950063"/>
          <c:w val="9.1796206325274743E-2"/>
          <c:h val="0.5809751809603275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layout/>
              <c:tx>
                <c:rich>
                  <a:bodyPr/>
                  <a:lstStyle/>
                  <a:p>
                    <a:fld id="{2D2EE0EC-1D4E-4031-8949-1FF45A373154}"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DFA-44B3-9A12-5E19D447F9EC}"/>
                </c:ext>
              </c:extLst>
            </c:dLbl>
            <c:dLbl>
              <c:idx val="1"/>
              <c:layout/>
              <c:tx>
                <c:rich>
                  <a:bodyPr/>
                  <a:lstStyle/>
                  <a:p>
                    <a:fld id="{B7123A3D-10D6-4D81-A9E2-72FF5480F96A}" type="VALUE">
                      <a:rPr lang="en-US" altLang="ja-JP"/>
                      <a:pPr/>
                      <a:t>[値]</a:t>
                    </a:fld>
                    <a:endParaRPr lang="en-US" altLang="ja-JP"/>
                  </a:p>
                  <a:p>
                    <a:r>
                      <a:rPr lang="en-US" altLang="ja-JP" sz="600"/>
                      <a:t>(37.2)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DFA-44B3-9A12-5E19D447F9EC}"/>
                </c:ext>
              </c:extLst>
            </c:dLbl>
            <c:dLbl>
              <c:idx val="2"/>
              <c:layout/>
              <c:tx>
                <c:rich>
                  <a:bodyPr/>
                  <a:lstStyle/>
                  <a:p>
                    <a:fld id="{DAEF1E06-AB20-4EBD-9E56-5F59F3B5DE69}" type="VALUE">
                      <a:rPr lang="en-US" altLang="ja-JP"/>
                      <a:pPr/>
                      <a:t>[値]</a:t>
                    </a:fld>
                    <a:endParaRPr lang="en-US" altLang="ja-JP"/>
                  </a:p>
                  <a:p>
                    <a:r>
                      <a:rPr lang="en-US" altLang="ja-JP" sz="600"/>
                      <a:t>(35.6)</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BDFA-44B3-9A12-5E19D447F9EC}"/>
                </c:ext>
              </c:extLst>
            </c:dLbl>
            <c:dLbl>
              <c:idx val="3"/>
              <c:layout/>
              <c:tx>
                <c:rich>
                  <a:bodyPr/>
                  <a:lstStyle/>
                  <a:p>
                    <a:fld id="{B3DABA0C-E074-4277-ACEC-1CA5DF677231}" type="VALUE">
                      <a:rPr lang="en-US" altLang="ja-JP"/>
                      <a:pPr/>
                      <a:t>[値]</a:t>
                    </a:fld>
                    <a:endParaRPr lang="en-US" altLang="ja-JP"/>
                  </a:p>
                  <a:p>
                    <a:r>
                      <a:rPr lang="en-US" altLang="ja-JP" sz="600"/>
                      <a:t>(43.1)</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DFA-44B3-9A12-5E19D447F9EC}"/>
                </c:ext>
              </c:extLst>
            </c:dLbl>
            <c:dLbl>
              <c:idx val="4"/>
              <c:layout>
                <c:manualLayout>
                  <c:x val="7.2370119175304399E-4"/>
                  <c:y val="3.8155186907082501E-3"/>
                </c:manualLayout>
              </c:layout>
              <c:tx>
                <c:rich>
                  <a:bodyPr/>
                  <a:lstStyle/>
                  <a:p>
                    <a:fld id="{A194363C-49F1-439E-814E-0C2DE2CE24EE}" type="VALUE">
                      <a:rPr lang="en-US" altLang="en-US" sz="830"/>
                      <a:pPr/>
                      <a:t>[値]</a:t>
                    </a:fld>
                    <a:endParaRPr lang="en-US" altLang="en-US" sz="830"/>
                  </a:p>
                  <a:p>
                    <a:r>
                      <a:rPr lang="en-US" altLang="en-US" sz="600"/>
                      <a:t>(40.4)</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DFA-44B3-9A12-5E19D447F9EC}"/>
                </c:ext>
              </c:extLst>
            </c:dLbl>
            <c:dLbl>
              <c:idx val="5"/>
              <c:layout>
                <c:manualLayout>
                  <c:x val="2.1528365433309644E-3"/>
                  <c:y val="1.0306263116095651E-5"/>
                </c:manualLayout>
              </c:layout>
              <c:tx>
                <c:rich>
                  <a:bodyPr/>
                  <a:lstStyle/>
                  <a:p>
                    <a:fld id="{ED0FD2D9-A000-48E1-8DE8-3BC9B61712FB}" type="VALUE">
                      <a:rPr lang="en-US" altLang="en-US" sz="830"/>
                      <a:pPr/>
                      <a:t>[値]</a:t>
                    </a:fld>
                    <a:endParaRPr lang="en-US" altLang="en-US" sz="830"/>
                  </a:p>
                  <a:p>
                    <a:r>
                      <a:rPr lang="en-US" altLang="en-US" sz="600"/>
                      <a:t>(41.9)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DFA-44B3-9A12-5E19D447F9EC}"/>
                </c:ext>
              </c:extLst>
            </c:dLbl>
            <c:dLbl>
              <c:idx val="6"/>
              <c:layout>
                <c:manualLayout>
                  <c:x val="-4.1093396215500648E-4"/>
                  <c:y val="-7.6225322128258277E-3"/>
                </c:manualLayout>
              </c:layout>
              <c:tx>
                <c:rich>
                  <a:bodyPr/>
                  <a:lstStyle/>
                  <a:p>
                    <a:fld id="{8900D56D-B1EB-4362-8A54-9CC1FEE343C4}" type="VALUE">
                      <a:rPr lang="en-US" altLang="ja-JP" sz="830"/>
                      <a:pPr/>
                      <a:t>[値]</a:t>
                    </a:fld>
                    <a:endParaRPr lang="en-US" altLang="en-US" sz="830"/>
                  </a:p>
                  <a:p>
                    <a:r>
                      <a:rPr lang="en-US" altLang="en-US" sz="600"/>
                      <a:t>(38.8)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BDFA-44B3-9A12-5E19D447F9EC}"/>
                </c:ext>
              </c:extLst>
            </c:dLbl>
            <c:dLbl>
              <c:idx val="7"/>
              <c:layout>
                <c:manualLayout>
                  <c:x val="1.3205727471922977E-3"/>
                  <c:y val="-1.6521640200749997E-2"/>
                </c:manualLayout>
              </c:layout>
              <c:tx>
                <c:rich>
                  <a:bodyPr/>
                  <a:lstStyle/>
                  <a:p>
                    <a:fld id="{A9134E15-E0E1-4371-9340-39376DF14AC5}" type="VALUE">
                      <a:rPr lang="en-US" altLang="ja-JP" sz="830"/>
                      <a:pPr/>
                      <a:t>[値]</a:t>
                    </a:fld>
                    <a:endParaRPr lang="en-US" altLang="en-US" sz="830"/>
                  </a:p>
                  <a:p>
                    <a:r>
                      <a:rPr lang="en-US" altLang="en-US" sz="600"/>
                      <a:t>(41.9)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頁６データ!$B$49:$I$49</c:f>
              <c:numCache>
                <c:formatCode>#,##0;"△ "#,##0</c:formatCode>
                <c:ptCount val="8"/>
                <c:pt idx="0">
                  <c:v>777637</c:v>
                </c:pt>
                <c:pt idx="1">
                  <c:v>738656</c:v>
                </c:pt>
                <c:pt idx="2">
                  <c:v>613049</c:v>
                </c:pt>
                <c:pt idx="3">
                  <c:v>670787</c:v>
                </c:pt>
                <c:pt idx="4">
                  <c:v>660088</c:v>
                </c:pt>
                <c:pt idx="5">
                  <c:v>659473</c:v>
                </c:pt>
                <c:pt idx="6">
                  <c:v>675404</c:v>
                </c:pt>
                <c:pt idx="7">
                  <c:v>737441</c:v>
                </c:pt>
              </c:numCache>
            </c:numRef>
          </c:val>
          <c:extLst>
            <c:ext xmlns:c16="http://schemas.microsoft.com/office/drawing/2014/chart" uri="{C3380CC4-5D6E-409C-BE32-E72D297353CC}">
              <c16:uniqueId val="{00000008-BDFA-44B3-9A12-5E19D447F9EC}"/>
            </c:ext>
          </c:extLst>
        </c:ser>
        <c:ser>
          <c:idx val="2"/>
          <c:order val="1"/>
          <c:tx>
            <c:v>譲与税・交付金</c:v>
          </c:tx>
          <c:spPr>
            <a:solidFill>
              <a:srgbClr val="FFFF00"/>
            </a:solidFill>
            <a:ln w="12700">
              <a:solidFill>
                <a:srgbClr val="000000"/>
              </a:solidFill>
              <a:prstDash val="solid"/>
            </a:ln>
          </c:spPr>
          <c:invertIfNegative val="0"/>
          <c:dLbls>
            <c:dLbl>
              <c:idx val="0"/>
              <c:layout/>
              <c:tx>
                <c:rich>
                  <a:bodyPr/>
                  <a:lstStyle/>
                  <a:p>
                    <a:fld id="{3FAEBC26-89E8-4AEA-AEAB-ECDFC5882729}" type="VALUE">
                      <a:rPr lang="en-US" altLang="ja-JP"/>
                      <a:pPr/>
                      <a:t>[値]</a:t>
                    </a:fld>
                    <a:endParaRPr lang="en-US" altLang="ja-JP"/>
                  </a:p>
                  <a:p>
                    <a:r>
                      <a:rPr lang="en-US" altLang="ja-JP" sz="600"/>
                      <a:t>(3.9)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BDFA-44B3-9A12-5E19D447F9EC}"/>
                </c:ext>
              </c:extLst>
            </c:dLbl>
            <c:dLbl>
              <c:idx val="1"/>
              <c:layout/>
              <c:tx>
                <c:rich>
                  <a:bodyPr/>
                  <a:lstStyle/>
                  <a:p>
                    <a:fld id="{547E7926-99C0-41B5-BDA5-86B28CB4EE03}" type="VALUE">
                      <a:rPr lang="en-US" altLang="ja-JP"/>
                      <a:pPr/>
                      <a:t>[値]</a:t>
                    </a:fld>
                    <a:endParaRPr lang="en-US" altLang="ja-JP"/>
                  </a:p>
                  <a:p>
                    <a:r>
                      <a:rPr lang="en-US" altLang="ja-JP" sz="600"/>
                      <a:t>(4.4)</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BDFA-44B3-9A12-5E19D447F9EC}"/>
                </c:ext>
              </c:extLst>
            </c:dLbl>
            <c:dLbl>
              <c:idx val="2"/>
              <c:layout/>
              <c:tx>
                <c:rich>
                  <a:bodyPr/>
                  <a:lstStyle/>
                  <a:p>
                    <a:fld id="{6B77F3E6-C47F-4F01-8FDD-5D7801F9AE72}" type="VALUE">
                      <a:rPr lang="en-US" altLang="ja-JP"/>
                      <a:pPr/>
                      <a:t>[値]</a:t>
                    </a:fld>
                    <a:endParaRPr lang="en-US" altLang="ja-JP"/>
                  </a:p>
                  <a:p>
                    <a:r>
                      <a:rPr lang="en-US" altLang="ja-JP" sz="600"/>
                      <a:t>(5.1)</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BDFA-44B3-9A12-5E19D447F9EC}"/>
                </c:ext>
              </c:extLst>
            </c:dLbl>
            <c:dLbl>
              <c:idx val="3"/>
              <c:layout/>
              <c:tx>
                <c:rich>
                  <a:bodyPr/>
                  <a:lstStyle/>
                  <a:p>
                    <a:fld id="{EBC93248-F142-4E9D-8396-B57B45019DF4}" type="VALUE">
                      <a:rPr lang="en-US" altLang="ja-JP"/>
                      <a:pPr/>
                      <a:t>[値]</a:t>
                    </a:fld>
                    <a:endParaRPr lang="en-US" altLang="ja-JP"/>
                  </a:p>
                  <a:p>
                    <a:r>
                      <a:rPr lang="en-US" altLang="ja-JP" sz="600"/>
                      <a:t>(4.7)</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BDFA-44B3-9A12-5E19D447F9EC}"/>
                </c:ext>
              </c:extLst>
            </c:dLbl>
            <c:dLbl>
              <c:idx val="4"/>
              <c:layout>
                <c:manualLayout>
                  <c:x val="2.609809366442898E-3"/>
                  <c:y val="3.3520370328955772E-5"/>
                </c:manualLayout>
              </c:layout>
              <c:tx>
                <c:rich>
                  <a:bodyPr/>
                  <a:lstStyle/>
                  <a:p>
                    <a:fld id="{042DF875-E0A4-47E8-B31C-F6EBA7903958}" type="VALUE">
                      <a:rPr lang="en-US" altLang="en-US" sz="830"/>
                      <a:pPr/>
                      <a:t>[値]</a:t>
                    </a:fld>
                    <a:endParaRPr lang="en-US" altLang="en-US" sz="830"/>
                  </a:p>
                  <a:p>
                    <a:r>
                      <a:rPr lang="en-US" altLang="en-US" sz="600"/>
                      <a:t>(5.9)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6-BDFA-44B3-9A12-5E19D447F9EC}"/>
                </c:ext>
              </c:extLst>
            </c:dLbl>
            <c:dLbl>
              <c:idx val="5"/>
              <c:layout>
                <c:manualLayout>
                  <c:x val="2.6895605546161001E-4"/>
                  <c:y val="-1.3708330552476739E-5"/>
                </c:manualLayout>
              </c:layout>
              <c:tx>
                <c:rich>
                  <a:bodyPr/>
                  <a:lstStyle/>
                  <a:p>
                    <a:fld id="{DEDC7EC6-90B1-4247-86C2-2184240F784A}" type="VALUE">
                      <a:rPr lang="en-US" altLang="en-US" sz="830"/>
                      <a:pPr/>
                      <a:t>[値]</a:t>
                    </a:fld>
                    <a:endParaRPr lang="en-US" altLang="en-US" sz="830"/>
                  </a:p>
                  <a:p>
                    <a:r>
                      <a:rPr lang="en-US" altLang="en-US" sz="600"/>
                      <a:t>(5.5)</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7-BDFA-44B3-9A12-5E19D447F9EC}"/>
                </c:ext>
              </c:extLst>
            </c:dLbl>
            <c:dLbl>
              <c:idx val="6"/>
              <c:layout>
                <c:manualLayout>
                  <c:x val="-4.0900330024376834E-4"/>
                  <c:y val="4.9940348749926019E-4"/>
                </c:manualLayout>
              </c:layout>
              <c:tx>
                <c:rich>
                  <a:bodyPr/>
                  <a:lstStyle/>
                  <a:p>
                    <a:fld id="{8C25ADFE-0CEA-4BB1-B92D-CF87565353C9}" type="VALUE">
                      <a:rPr lang="en-US" altLang="en-US" sz="830"/>
                      <a:pPr/>
                      <a:t>[値]</a:t>
                    </a:fld>
                    <a:endParaRPr lang="en-US" altLang="en-US" sz="830"/>
                  </a:p>
                  <a:p>
                    <a:r>
                      <a:rPr lang="en-US" altLang="en-US" sz="600"/>
                      <a:t>(7.9)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BDFA-44B3-9A12-5E19D447F9EC}"/>
                </c:ext>
              </c:extLst>
            </c:dLbl>
            <c:dLbl>
              <c:idx val="7"/>
              <c:layout>
                <c:manualLayout>
                  <c:x val="1.3190507642377425E-3"/>
                  <c:y val="-1.2735245511005721E-3"/>
                </c:manualLayout>
              </c:layout>
              <c:tx>
                <c:rich>
                  <a:bodyPr/>
                  <a:lstStyle/>
                  <a:p>
                    <a:fld id="{1EB36ABE-D961-4004-865A-F01715EF01BF}" type="VALUE">
                      <a:rPr lang="en-US" altLang="en-US" sz="830"/>
                      <a:pPr/>
                      <a:t>[値]</a:t>
                    </a:fld>
                    <a:endParaRPr lang="en-US" altLang="en-US" sz="830"/>
                  </a:p>
                  <a:p>
                    <a:r>
                      <a:rPr lang="en-US" altLang="en-US" sz="600"/>
                      <a:t>(5.4)</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9-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頁６データ!$B$51:$I$51</c:f>
              <c:numCache>
                <c:formatCode>#,##0;"△ "#,##0</c:formatCode>
                <c:ptCount val="8"/>
                <c:pt idx="0">
                  <c:v>72801</c:v>
                </c:pt>
                <c:pt idx="1">
                  <c:v>86341</c:v>
                </c:pt>
                <c:pt idx="2">
                  <c:v>87878</c:v>
                </c:pt>
                <c:pt idx="3">
                  <c:v>73366</c:v>
                </c:pt>
                <c:pt idx="4">
                  <c:v>95996</c:v>
                </c:pt>
                <c:pt idx="5">
                  <c:v>86249</c:v>
                </c:pt>
                <c:pt idx="6">
                  <c:v>137989</c:v>
                </c:pt>
                <c:pt idx="7">
                  <c:v>95356</c:v>
                </c:pt>
              </c:numCache>
            </c:numRef>
          </c:val>
          <c:extLst>
            <c:ext xmlns:c16="http://schemas.microsoft.com/office/drawing/2014/chart" uri="{C3380CC4-5D6E-409C-BE32-E72D297353CC}">
              <c16:uniqueId val="{0000001A-BDFA-44B3-9A12-5E19D447F9EC}"/>
            </c:ext>
          </c:extLst>
        </c:ser>
        <c:ser>
          <c:idx val="1"/>
          <c:order val="2"/>
          <c:tx>
            <c:v>地方交付税</c:v>
          </c:tx>
          <c:spPr>
            <a:solidFill>
              <a:srgbClr val="00CCFF"/>
            </a:solidFill>
            <a:ln w="12700">
              <a:solidFill>
                <a:srgbClr val="000000"/>
              </a:solidFill>
              <a:prstDash val="solid"/>
            </a:ln>
          </c:spPr>
          <c:invertIfNegative val="0"/>
          <c:dLbls>
            <c:dLbl>
              <c:idx val="0"/>
              <c:layout>
                <c:manualLayout>
                  <c:x val="4.916570458973385E-2"/>
                  <c:y val="-2.0263612478102429E-2"/>
                </c:manualLayout>
              </c:layout>
              <c:tx>
                <c:rich>
                  <a:bodyPr/>
                  <a:lstStyle/>
                  <a:p>
                    <a:fld id="{33C13226-C956-4624-854B-70667F6B788C}" type="VALUE">
                      <a:rPr lang="en-US" altLang="ja-JP" sz="830"/>
                      <a:pPr/>
                      <a:t>[値]</a:t>
                    </a:fld>
                    <a:endParaRPr lang="en-US" altLang="ja-JP" sz="830"/>
                  </a:p>
                  <a:p>
                    <a:r>
                      <a:rPr lang="en-US" altLang="en-US" sz="600"/>
                      <a:t>(0.7)</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BDFA-44B3-9A12-5E19D447F9EC}"/>
                </c:ext>
              </c:extLst>
            </c:dLbl>
            <c:dLbl>
              <c:idx val="1"/>
              <c:layout>
                <c:manualLayout>
                  <c:x val="5.1036246251535071E-2"/>
                  <c:y val="-2.1515145033241929E-2"/>
                </c:manualLayout>
              </c:layout>
              <c:tx>
                <c:rich>
                  <a:bodyPr/>
                  <a:lstStyle/>
                  <a:p>
                    <a:r>
                      <a:rPr lang="en-US" altLang="en-US" sz="830"/>
                      <a:t>151</a:t>
                    </a:r>
                  </a:p>
                  <a:p>
                    <a:r>
                      <a:rPr lang="en-US" altLang="en-US" sz="600"/>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DFA-44B3-9A12-5E19D447F9EC}"/>
                </c:ext>
              </c:extLst>
            </c:dLbl>
            <c:dLbl>
              <c:idx val="2"/>
              <c:layout>
                <c:manualLayout>
                  <c:x val="-1.4891755548365566E-7"/>
                  <c:y val="-1.2710517953606611E-3"/>
                </c:manualLayout>
              </c:layout>
              <c:tx>
                <c:rich>
                  <a:bodyPr/>
                  <a:lstStyle/>
                  <a:p>
                    <a:fld id="{8A0313F3-9032-42CF-B8BB-47EAEF3E1A3A}" type="VALUE">
                      <a:rPr lang="en-US" altLang="ja-JP" sz="830"/>
                      <a:pPr/>
                      <a:t>[値]</a:t>
                    </a:fld>
                    <a:endParaRPr lang="en-US" altLang="ja-JP" sz="830"/>
                  </a:p>
                  <a:p>
                    <a:r>
                      <a:rPr lang="en-US" sz="600"/>
                      <a:t>(4.7)</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BDFA-44B3-9A12-5E19D447F9EC}"/>
                </c:ext>
              </c:extLst>
            </c:dLbl>
            <c:dLbl>
              <c:idx val="3"/>
              <c:layout>
                <c:manualLayout>
                  <c:x val="-4.9158731046614577E-2"/>
                  <c:y val="-2.5333113966127759E-2"/>
                </c:manualLayout>
              </c:layout>
              <c:tx>
                <c:rich>
                  <a:bodyPr/>
                  <a:lstStyle/>
                  <a:p>
                    <a:fld id="{FBEEA526-690B-4B06-8A58-50DA864245E3}" type="VALUE">
                      <a:rPr lang="en-US" altLang="en-US" sz="830"/>
                      <a:pPr/>
                      <a:t>[値]</a:t>
                    </a:fld>
                    <a:endParaRPr lang="en-US" altLang="en-US" sz="830"/>
                  </a:p>
                  <a:p>
                    <a:r>
                      <a:rPr lang="en-US" altLang="en-US" sz="600"/>
                      <a:t>(1.1)</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BDFA-44B3-9A12-5E19D447F9EC}"/>
                </c:ext>
              </c:extLst>
            </c:dLbl>
            <c:dLbl>
              <c:idx val="4"/>
              <c:layout>
                <c:manualLayout>
                  <c:x val="-4.6549587307202003E-2"/>
                  <c:y val="-2.1519543039186032E-2"/>
                </c:manualLayout>
              </c:layout>
              <c:tx>
                <c:rich>
                  <a:bodyPr/>
                  <a:lstStyle/>
                  <a:p>
                    <a:fld id="{80E72C14-4BB1-4AEF-B9A2-F9ECEEE33DB3}" type="VALUE">
                      <a:rPr lang="en-US" altLang="en-US" sz="830"/>
                      <a:pPr/>
                      <a:t>[値]</a:t>
                    </a:fld>
                    <a:endParaRPr lang="en-US" altLang="en-US" sz="830"/>
                  </a:p>
                  <a:p>
                    <a:r>
                      <a:rPr lang="en-US" altLang="en-US" sz="600"/>
                      <a:t>(2.6)</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BDFA-44B3-9A12-5E19D447F9EC}"/>
                </c:ext>
              </c:extLst>
            </c:dLbl>
            <c:dLbl>
              <c:idx val="5"/>
              <c:layout>
                <c:manualLayout>
                  <c:x val="-4.7017111442708787E-2"/>
                  <c:y val="-2.6608735599279287E-2"/>
                </c:manualLayout>
              </c:layout>
              <c:tx>
                <c:rich>
                  <a:bodyPr/>
                  <a:lstStyle/>
                  <a:p>
                    <a:fld id="{FA53BE6B-CAE7-46C2-ACB9-2CB3E04DDD44}" type="VALUE">
                      <a:rPr lang="en-US" altLang="en-US" sz="830"/>
                      <a:pPr/>
                      <a:t>[値]</a:t>
                    </a:fld>
                    <a:endParaRPr lang="en-US" altLang="en-US" sz="830"/>
                  </a:p>
                  <a:p>
                    <a:r>
                      <a:rPr lang="en-US" altLang="en-US" sz="600"/>
                      <a:t>(2.1)</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BDFA-44B3-9A12-5E19D447F9EC}"/>
                </c:ext>
              </c:extLst>
            </c:dLbl>
            <c:dLbl>
              <c:idx val="6"/>
              <c:layout>
                <c:manualLayout>
                  <c:x val="-4.7700221921881912E-2"/>
                  <c:y val="-2.0241522493701449E-2"/>
                </c:manualLayout>
              </c:layout>
              <c:tx>
                <c:rich>
                  <a:bodyPr/>
                  <a:lstStyle/>
                  <a:p>
                    <a:fld id="{7594A32D-444F-42A4-A95B-D664F04B9CF1}" type="VALUE">
                      <a:rPr lang="en-US" altLang="en-US" sz="830"/>
                      <a:pPr/>
                      <a:t>[値]</a:t>
                    </a:fld>
                    <a:endParaRPr lang="en-US" altLang="en-US" sz="830"/>
                  </a:p>
                  <a:p>
                    <a:r>
                      <a:rPr lang="en-US" altLang="en-US" sz="600"/>
                      <a:t>(3.0)</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BDFA-44B3-9A12-5E19D447F9EC}"/>
                </c:ext>
              </c:extLst>
            </c:dLbl>
            <c:dLbl>
              <c:idx val="7"/>
              <c:layout>
                <c:manualLayout>
                  <c:x val="-4.7843105369197919E-2"/>
                  <c:y val="-2.1536035561476426E-2"/>
                </c:manualLayout>
              </c:layout>
              <c:tx>
                <c:rich>
                  <a:bodyPr/>
                  <a:lstStyle/>
                  <a:p>
                    <a:fld id="{89591C30-2CB9-48D5-8B96-1ABAE279377F}" type="VALUE">
                      <a:rPr lang="en-US" altLang="en-US" sz="830"/>
                      <a:pPr/>
                      <a:t>[値]</a:t>
                    </a:fld>
                    <a:endParaRPr lang="en-US" altLang="en-US" sz="830"/>
                  </a:p>
                  <a:p>
                    <a:r>
                      <a:rPr lang="en-US" altLang="en-US" sz="600"/>
                      <a:t>(2.5)</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頁６データ!$B$50:$I$50</c:f>
              <c:numCache>
                <c:formatCode>#,##0;"△ "#,##0</c:formatCode>
                <c:ptCount val="8"/>
                <c:pt idx="0">
                  <c:v>12844</c:v>
                </c:pt>
                <c:pt idx="1">
                  <c:v>15155</c:v>
                </c:pt>
                <c:pt idx="2">
                  <c:v>80475</c:v>
                </c:pt>
                <c:pt idx="3">
                  <c:v>16903</c:v>
                </c:pt>
                <c:pt idx="4">
                  <c:v>41891</c:v>
                </c:pt>
                <c:pt idx="5">
                  <c:v>32905</c:v>
                </c:pt>
                <c:pt idx="6">
                  <c:v>52770</c:v>
                </c:pt>
                <c:pt idx="7">
                  <c:v>43642</c:v>
                </c:pt>
              </c:numCache>
            </c:numRef>
          </c:val>
          <c:extLst>
            <c:ext xmlns:c16="http://schemas.microsoft.com/office/drawing/2014/chart" uri="{C3380CC4-5D6E-409C-BE32-E72D297353CC}">
              <c16:uniqueId val="{00000011-BDFA-44B3-9A12-5E19D447F9EC}"/>
            </c:ext>
          </c:extLst>
        </c:ser>
        <c:ser>
          <c:idx val="3"/>
          <c:order val="3"/>
          <c:tx>
            <c:v>国庫支出金</c:v>
          </c:tx>
          <c:spPr>
            <a:solidFill>
              <a:srgbClr val="00FF00"/>
            </a:solidFill>
            <a:ln w="12700">
              <a:solidFill>
                <a:srgbClr val="000000"/>
              </a:solidFill>
              <a:prstDash val="solid"/>
            </a:ln>
          </c:spPr>
          <c:invertIfNegative val="0"/>
          <c:dLbls>
            <c:dLbl>
              <c:idx val="0"/>
              <c:layout/>
              <c:tx>
                <c:rich>
                  <a:bodyPr/>
                  <a:lstStyle/>
                  <a:p>
                    <a:fld id="{82514D5C-E357-48EE-8525-A70D3FCE498E}" type="VALUE">
                      <a:rPr lang="en-US" altLang="ja-JP"/>
                      <a:pPr/>
                      <a:t>[値]</a:t>
                    </a:fld>
                    <a:endParaRPr lang="en-US" altLang="ja-JP"/>
                  </a:p>
                  <a:p>
                    <a:r>
                      <a:rPr lang="en-US" altLang="ja-JP" sz="600"/>
                      <a:t>(11.8)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4-BDFA-44B3-9A12-5E19D447F9EC}"/>
                </c:ext>
              </c:extLst>
            </c:dLbl>
            <c:dLbl>
              <c:idx val="1"/>
              <c:layout/>
              <c:tx>
                <c:rich>
                  <a:bodyPr/>
                  <a:lstStyle/>
                  <a:p>
                    <a:fld id="{74BFC249-0BF0-4BE1-87A2-88B8C04E2403}" type="VALUE">
                      <a:rPr lang="en-US" altLang="ja-JP"/>
                      <a:pPr/>
                      <a:t>[値]</a:t>
                    </a:fld>
                    <a:endParaRPr lang="en-US" altLang="ja-JP"/>
                  </a:p>
                  <a:p>
                    <a:r>
                      <a:rPr lang="en-US" altLang="ja-JP" sz="600"/>
                      <a:t>(12.6)</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5-BDFA-44B3-9A12-5E19D447F9EC}"/>
                </c:ext>
              </c:extLst>
            </c:dLbl>
            <c:dLbl>
              <c:idx val="2"/>
              <c:layout/>
              <c:tx>
                <c:rich>
                  <a:bodyPr/>
                  <a:lstStyle/>
                  <a:p>
                    <a:fld id="{83D604BC-98E7-4316-B817-666F36E5CF68}" type="VALUE">
                      <a:rPr lang="en-US" altLang="ja-JP"/>
                      <a:pPr/>
                      <a:t>[値]</a:t>
                    </a:fld>
                    <a:endParaRPr lang="en-US" altLang="ja-JP"/>
                  </a:p>
                  <a:p>
                    <a:r>
                      <a:rPr lang="en-US" altLang="ja-JP" sz="600"/>
                      <a:t>(15.3)</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6-BDFA-44B3-9A12-5E19D447F9EC}"/>
                </c:ext>
              </c:extLst>
            </c:dLbl>
            <c:dLbl>
              <c:idx val="3"/>
              <c:layout/>
              <c:tx>
                <c:rich>
                  <a:bodyPr/>
                  <a:lstStyle/>
                  <a:p>
                    <a:r>
                      <a:rPr lang="en-US" altLang="ja-JP"/>
                      <a:t>2,582</a:t>
                    </a:r>
                  </a:p>
                  <a:p>
                    <a:r>
                      <a:rPr lang="en-US" altLang="ja-JP" sz="600"/>
                      <a:t>(16.6)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BDFA-44B3-9A12-5E19D447F9EC}"/>
                </c:ext>
              </c:extLst>
            </c:dLbl>
            <c:dLbl>
              <c:idx val="4"/>
              <c:layout>
                <c:manualLayout>
                  <c:x val="7.2370119175304399E-4"/>
                  <c:y val="2.5935761162058182E-3"/>
                </c:manualLayout>
              </c:layout>
              <c:tx>
                <c:rich>
                  <a:bodyPr/>
                  <a:lstStyle/>
                  <a:p>
                    <a:fld id="{E5D6E017-1F58-49A1-A593-D14A17CC364C}" type="VALUE">
                      <a:rPr lang="en-US" altLang="ja-JP" sz="830"/>
                      <a:pPr/>
                      <a:t>[値]</a:t>
                    </a:fld>
                    <a:endParaRPr lang="en-US" altLang="ja-JP" sz="830"/>
                  </a:p>
                  <a:p>
                    <a:r>
                      <a:rPr lang="en-US" altLang="ja-JP" sz="600"/>
                      <a:t>(21.9)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8-BDFA-44B3-9A12-5E19D447F9EC}"/>
                </c:ext>
              </c:extLst>
            </c:dLbl>
            <c:dLbl>
              <c:idx val="5"/>
              <c:layout>
                <c:manualLayout>
                  <c:x val="2.1543216678779641E-3"/>
                  <c:y val="-1.9619923027223642E-3"/>
                </c:manualLayout>
              </c:layout>
              <c:tx>
                <c:rich>
                  <a:bodyPr/>
                  <a:lstStyle/>
                  <a:p>
                    <a:fld id="{7A77949C-5C87-42EC-9E13-583B158451F2}" type="VALUE">
                      <a:rPr lang="en-US" altLang="en-US" sz="830"/>
                      <a:pPr/>
                      <a:t>[値]</a:t>
                    </a:fld>
                    <a:endParaRPr lang="en-US" altLang="en-US" sz="830"/>
                  </a:p>
                  <a:p>
                    <a:r>
                      <a:rPr lang="en-US" altLang="en-US" sz="600"/>
                      <a:t>(23.3)</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BDFA-44B3-9A12-5E19D447F9EC}"/>
                </c:ext>
              </c:extLst>
            </c:dLbl>
            <c:dLbl>
              <c:idx val="6"/>
              <c:layout>
                <c:manualLayout>
                  <c:x val="-4.1093396215500648E-4"/>
                  <c:y val="-1.2967880581028625E-3"/>
                </c:manualLayout>
              </c:layout>
              <c:tx>
                <c:rich>
                  <a:bodyPr/>
                  <a:lstStyle/>
                  <a:p>
                    <a:fld id="{A2D13AA7-C4DF-41EE-8E5D-D0B7DD14F395}" type="VALUE">
                      <a:rPr lang="en-US" altLang="en-US" sz="830"/>
                      <a:pPr/>
                      <a:t>[値]</a:t>
                    </a:fld>
                    <a:endParaRPr lang="en-US" altLang="en-US" sz="830"/>
                  </a:p>
                  <a:p>
                    <a:r>
                      <a:rPr lang="en-US" altLang="en-US" sz="600"/>
                      <a:t>(23.2)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A-BDFA-44B3-9A12-5E19D447F9EC}"/>
                </c:ext>
              </c:extLst>
            </c:dLbl>
            <c:dLbl>
              <c:idx val="7"/>
              <c:layout>
                <c:manualLayout>
                  <c:x val="-5.6537106668306885E-4"/>
                  <c:y val="2.5649255839018188E-3"/>
                </c:manualLayout>
              </c:layout>
              <c:tx>
                <c:rich>
                  <a:bodyPr/>
                  <a:lstStyle/>
                  <a:p>
                    <a:fld id="{5B437439-F49B-418E-8F77-3BBF7E9755C3}" type="VALUE">
                      <a:rPr lang="en-US" altLang="en-US" sz="830"/>
                      <a:pPr/>
                      <a:t>[値]</a:t>
                    </a:fld>
                    <a:endParaRPr lang="en-US" altLang="en-US" sz="830"/>
                  </a:p>
                  <a:p>
                    <a:r>
                      <a:rPr lang="en-US" altLang="en-US" sz="600"/>
                      <a:t>(22.5)</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B-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頁６データ!$B$52:$I$52</c:f>
              <c:numCache>
                <c:formatCode>#,##0;"△ "#,##0</c:formatCode>
                <c:ptCount val="8"/>
                <c:pt idx="0">
                  <c:v>219549</c:v>
                </c:pt>
                <c:pt idx="1">
                  <c:v>250785</c:v>
                </c:pt>
                <c:pt idx="2">
                  <c:v>263563</c:v>
                </c:pt>
                <c:pt idx="3">
                  <c:v>258256</c:v>
                </c:pt>
                <c:pt idx="4">
                  <c:v>357597</c:v>
                </c:pt>
                <c:pt idx="5">
                  <c:v>366554</c:v>
                </c:pt>
                <c:pt idx="6">
                  <c:v>403887</c:v>
                </c:pt>
                <c:pt idx="7">
                  <c:v>396685</c:v>
                </c:pt>
              </c:numCache>
            </c:numRef>
          </c:val>
          <c:extLst>
            <c:ext xmlns:c16="http://schemas.microsoft.com/office/drawing/2014/chart" uri="{C3380CC4-5D6E-409C-BE32-E72D297353CC}">
              <c16:uniqueId val="{0000002C-BDFA-44B3-9A12-5E19D447F9EC}"/>
            </c:ext>
          </c:extLst>
        </c:ser>
        <c:ser>
          <c:idx val="4"/>
          <c:order val="4"/>
          <c:tx>
            <c:v>地方債</c:v>
          </c:tx>
          <c:spPr>
            <a:solidFill>
              <a:srgbClr val="FF9900"/>
            </a:solidFill>
            <a:ln w="12700">
              <a:solidFill>
                <a:srgbClr val="000000"/>
              </a:solidFill>
              <a:prstDash val="solid"/>
            </a:ln>
          </c:spPr>
          <c:invertIfNegative val="0"/>
          <c:dLbls>
            <c:dLbl>
              <c:idx val="0"/>
              <c:layout/>
              <c:tx>
                <c:rich>
                  <a:bodyPr/>
                  <a:lstStyle/>
                  <a:p>
                    <a:fld id="{DD95751E-4ACF-4998-B061-F46352EF9ECF}" type="VALUE">
                      <a:rPr lang="en-US" altLang="ja-JP"/>
                      <a:pPr/>
                      <a:t>[値]</a:t>
                    </a:fld>
                    <a:endParaRPr lang="en-US" altLang="ja-JP"/>
                  </a:p>
                  <a:p>
                    <a:r>
                      <a:rPr lang="en-US" altLang="ja-JP" sz="600"/>
                      <a:t>(15.4)</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B-BDFA-44B3-9A12-5E19D447F9EC}"/>
                </c:ext>
              </c:extLst>
            </c:dLbl>
            <c:dLbl>
              <c:idx val="1"/>
              <c:layout/>
              <c:tx>
                <c:rich>
                  <a:bodyPr/>
                  <a:lstStyle/>
                  <a:p>
                    <a:fld id="{B5D7DB8E-D5BC-44CF-B278-1B536CA3528A}" type="VALUE">
                      <a:rPr lang="en-US" altLang="ja-JP"/>
                      <a:pPr/>
                      <a:t>[値]</a:t>
                    </a:fld>
                    <a:endParaRPr lang="en-US" altLang="ja-JP"/>
                  </a:p>
                  <a:p>
                    <a:r>
                      <a:rPr lang="en-US" altLang="ja-JP" sz="600"/>
                      <a:t>(20.5)</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BDFA-44B3-9A12-5E19D447F9EC}"/>
                </c:ext>
              </c:extLst>
            </c:dLbl>
            <c:dLbl>
              <c:idx val="2"/>
              <c:layout/>
              <c:tx>
                <c:rich>
                  <a:bodyPr/>
                  <a:lstStyle/>
                  <a:p>
                    <a:fld id="{2B67A21A-FD2E-42BC-B0C2-B969677F20A4}" type="VALUE">
                      <a:rPr lang="en-US" altLang="ja-JP"/>
                      <a:pPr/>
                      <a:t>[値]</a:t>
                    </a:fld>
                    <a:endParaRPr lang="en-US" altLang="ja-JP"/>
                  </a:p>
                  <a:p>
                    <a:r>
                      <a:rPr lang="en-US" altLang="ja-JP" sz="600"/>
                      <a:t>(14.1)</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BDFA-44B3-9A12-5E19D447F9EC}"/>
                </c:ext>
              </c:extLst>
            </c:dLbl>
            <c:dLbl>
              <c:idx val="3"/>
              <c:layout/>
              <c:tx>
                <c:rich>
                  <a:bodyPr/>
                  <a:lstStyle/>
                  <a:p>
                    <a:fld id="{C94760B8-F681-4EA5-B5DF-BCD7A904A8E6}" type="VALUE">
                      <a:rPr lang="en-US" altLang="ja-JP"/>
                      <a:pPr/>
                      <a:t>[値]</a:t>
                    </a:fld>
                    <a:endParaRPr lang="en-US" altLang="ja-JP"/>
                  </a:p>
                  <a:p>
                    <a:r>
                      <a:rPr lang="en-US" altLang="ja-JP" sz="600"/>
                      <a:t>(9.3)</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BDFA-44B3-9A12-5E19D447F9EC}"/>
                </c:ext>
              </c:extLst>
            </c:dLbl>
            <c:dLbl>
              <c:idx val="4"/>
              <c:layout>
                <c:manualLayout>
                  <c:x val="7.1924581811204434E-4"/>
                  <c:y val="2.5631576308922E-3"/>
                </c:manualLayout>
              </c:layout>
              <c:tx>
                <c:rich>
                  <a:bodyPr/>
                  <a:lstStyle/>
                  <a:p>
                    <a:fld id="{3C59649E-7533-48AC-B2D1-90FDB69E19CA}" type="VALUE">
                      <a:rPr lang="en-US" altLang="en-US" sz="830"/>
                      <a:pPr/>
                      <a:t>[値]</a:t>
                    </a:fld>
                    <a:endParaRPr lang="en-US" altLang="en-US" sz="830"/>
                  </a:p>
                  <a:p>
                    <a:r>
                      <a:rPr lang="en-US" altLang="en-US" sz="600"/>
                      <a:t>(6.2)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BDFA-44B3-9A12-5E19D447F9EC}"/>
                </c:ext>
              </c:extLst>
            </c:dLbl>
            <c:dLbl>
              <c:idx val="5"/>
              <c:layout>
                <c:manualLayout>
                  <c:x val="2.6375811954711044E-4"/>
                  <c:y val="-2.8717451595334485E-5"/>
                </c:manualLayout>
              </c:layout>
              <c:tx>
                <c:rich>
                  <a:bodyPr/>
                  <a:lstStyle/>
                  <a:p>
                    <a:fld id="{649EDD80-69D6-4581-87D7-87D0E133508B}" type="VALUE">
                      <a:rPr lang="en-US" altLang="en-US" sz="830"/>
                      <a:pPr/>
                      <a:t>[値]</a:t>
                    </a:fld>
                    <a:endParaRPr lang="en-US" altLang="en-US" sz="830"/>
                  </a:p>
                  <a:p>
                    <a:r>
                      <a:rPr lang="en-US" altLang="en-US" sz="600"/>
                      <a:t>(5.8)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BDFA-44B3-9A12-5E19D447F9EC}"/>
                </c:ext>
              </c:extLst>
            </c:dLbl>
            <c:dLbl>
              <c:idx val="6"/>
              <c:layout>
                <c:manualLayout>
                  <c:x val="-4.0425090169336872E-4"/>
                  <c:y val="1.2653689647198602E-3"/>
                </c:manualLayout>
              </c:layout>
              <c:tx>
                <c:rich>
                  <a:bodyPr/>
                  <a:lstStyle/>
                  <a:p>
                    <a:fld id="{4B6567C4-4D5A-4418-B64B-9860E0081C5C}" type="VALUE">
                      <a:rPr lang="en-US" altLang="en-US" sz="830"/>
                      <a:pPr/>
                      <a:t>[値]</a:t>
                    </a:fld>
                    <a:endParaRPr lang="en-US" altLang="en-US" sz="830"/>
                  </a:p>
                  <a:p>
                    <a:r>
                      <a:rPr lang="en-US" altLang="en-US" sz="600"/>
                      <a:t>(6.8)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BDFA-44B3-9A12-5E19D447F9EC}"/>
                </c:ext>
              </c:extLst>
            </c:dLbl>
            <c:dLbl>
              <c:idx val="7"/>
              <c:layout>
                <c:manualLayout>
                  <c:x val="-5.6774532838042553E-4"/>
                  <c:y val="6.9908028997051476E-7"/>
                </c:manualLayout>
              </c:layout>
              <c:tx>
                <c:rich>
                  <a:bodyPr/>
                  <a:lstStyle/>
                  <a:p>
                    <a:fld id="{11370641-367B-4B48-889D-9DC38708BCCB}" type="VALUE">
                      <a:rPr lang="en-US" altLang="en-US" sz="830"/>
                      <a:pPr/>
                      <a:t>[値]</a:t>
                    </a:fld>
                    <a:endParaRPr lang="en-US" altLang="en-US" sz="830"/>
                  </a:p>
                  <a:p>
                    <a:r>
                      <a:rPr lang="en-US" altLang="en-US" sz="600"/>
                      <a:t>(5.9)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2-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頁６データ!$B$53:$I$53</c:f>
              <c:numCache>
                <c:formatCode>#,##0;"△ "#,##0</c:formatCode>
                <c:ptCount val="8"/>
                <c:pt idx="0">
                  <c:v>285869</c:v>
                </c:pt>
                <c:pt idx="1">
                  <c:v>407264</c:v>
                </c:pt>
                <c:pt idx="2">
                  <c:v>242899</c:v>
                </c:pt>
                <c:pt idx="3">
                  <c:v>145075</c:v>
                </c:pt>
                <c:pt idx="4">
                  <c:v>101857</c:v>
                </c:pt>
                <c:pt idx="5">
                  <c:v>91432</c:v>
                </c:pt>
                <c:pt idx="6">
                  <c:v>117973</c:v>
                </c:pt>
                <c:pt idx="7">
                  <c:v>103599</c:v>
                </c:pt>
              </c:numCache>
            </c:numRef>
          </c:val>
          <c:extLst>
            <c:ext xmlns:c16="http://schemas.microsoft.com/office/drawing/2014/chart" uri="{C3380CC4-5D6E-409C-BE32-E72D297353CC}">
              <c16:uniqueId val="{00000023-BDFA-44B3-9A12-5E19D447F9EC}"/>
            </c:ext>
          </c:extLst>
        </c:ser>
        <c:ser>
          <c:idx val="6"/>
          <c:order val="5"/>
          <c:tx>
            <c:v>その他</c:v>
          </c:tx>
          <c:spPr>
            <a:solidFill>
              <a:srgbClr val="CC99FF"/>
            </a:solidFill>
            <a:ln w="12700">
              <a:solidFill>
                <a:srgbClr val="000000"/>
              </a:solidFill>
              <a:prstDash val="solid"/>
            </a:ln>
          </c:spPr>
          <c:invertIfNegative val="0"/>
          <c:dLbls>
            <c:dLbl>
              <c:idx val="0"/>
              <c:layout/>
              <c:tx>
                <c:rich>
                  <a:bodyPr/>
                  <a:lstStyle/>
                  <a:p>
                    <a:fld id="{16917DB7-C5E8-4B57-ACAB-DD8E89AB997C}" type="VALUE">
                      <a:rPr lang="en-US" altLang="ja-JP"/>
                      <a:pPr/>
                      <a:t>[値]</a:t>
                    </a:fld>
                    <a:endParaRPr lang="en-US" altLang="ja-JP" sz="830"/>
                  </a:p>
                  <a:p>
                    <a:r>
                      <a:rPr lang="en-US" altLang="ja-JP" sz="600"/>
                      <a:t>(26.3)</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D-BDFA-44B3-9A12-5E19D447F9EC}"/>
                </c:ext>
              </c:extLst>
            </c:dLbl>
            <c:dLbl>
              <c:idx val="1"/>
              <c:layout/>
              <c:tx>
                <c:rich>
                  <a:bodyPr/>
                  <a:lstStyle/>
                  <a:p>
                    <a:fld id="{E6E3A73A-D688-4720-8E40-3ACED6813943}" type="VALUE">
                      <a:rPr lang="en-US" altLang="ja-JP"/>
                      <a:pPr/>
                      <a:t>[値]</a:t>
                    </a:fld>
                    <a:endParaRPr lang="en-US" altLang="ja-JP"/>
                  </a:p>
                  <a:p>
                    <a:r>
                      <a:rPr lang="en-US" altLang="ja-JP" sz="600"/>
                      <a:t>(24.5)</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E-BDFA-44B3-9A12-5E19D447F9EC}"/>
                </c:ext>
              </c:extLst>
            </c:dLbl>
            <c:dLbl>
              <c:idx val="2"/>
              <c:layout/>
              <c:tx>
                <c:rich>
                  <a:bodyPr/>
                  <a:lstStyle/>
                  <a:p>
                    <a:fld id="{ECF2CB23-1D12-4E37-8B68-62E7E6792FA1}" type="VALUE">
                      <a:rPr lang="en-US" altLang="ja-JP" sz="830"/>
                      <a:pPr/>
                      <a:t>[値]</a:t>
                    </a:fld>
                    <a:endParaRPr lang="en-US" altLang="ja-JP" sz="830"/>
                  </a:p>
                  <a:p>
                    <a:r>
                      <a:rPr lang="en-US" altLang="ja-JP" sz="600"/>
                      <a:t>(25.2)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F-BDFA-44B3-9A12-5E19D447F9EC}"/>
                </c:ext>
              </c:extLst>
            </c:dLbl>
            <c:dLbl>
              <c:idx val="3"/>
              <c:layout/>
              <c:tx>
                <c:rich>
                  <a:bodyPr/>
                  <a:lstStyle/>
                  <a:p>
                    <a:fld id="{D4D9B258-1052-4A22-B561-AC1B528E852C}" type="VALUE">
                      <a:rPr lang="en-US" altLang="ja-JP"/>
                      <a:pPr/>
                      <a:t>[値]</a:t>
                    </a:fld>
                    <a:endParaRPr lang="en-US" altLang="ja-JP"/>
                  </a:p>
                  <a:p>
                    <a:r>
                      <a:rPr lang="en-US" altLang="ja-JP" sz="600"/>
                      <a:t>(25.2)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30-BDFA-44B3-9A12-5E19D447F9EC}"/>
                </c:ext>
              </c:extLst>
            </c:dLbl>
            <c:dLbl>
              <c:idx val="4"/>
              <c:layout>
                <c:manualLayout>
                  <c:x val="-1.16389210748381E-3"/>
                  <c:y val="1.1393223662019456E-2"/>
                </c:manualLayout>
              </c:layout>
              <c:tx>
                <c:rich>
                  <a:bodyPr wrap="square" lIns="38100" tIns="19050" rIns="38100" bIns="19050" anchor="ctr">
                    <a:noAutofit/>
                  </a:bodyPr>
                  <a:lstStyle/>
                  <a:p>
                    <a:pPr>
                      <a:defRPr/>
                    </a:pPr>
                    <a:fld id="{053F42F3-2849-4CA1-8A72-1A216CB50D5C}" type="VALUE">
                      <a:rPr lang="en-US" altLang="en-US" sz="830"/>
                      <a:pPr>
                        <a:defRPr/>
                      </a:pPr>
                      <a:t>[値]</a:t>
                    </a:fld>
                    <a:endParaRPr lang="en-US" altLang="en-US" sz="830"/>
                  </a:p>
                  <a:p>
                    <a:pPr>
                      <a:defRPr/>
                    </a:pPr>
                    <a:r>
                      <a:rPr lang="en-US" altLang="en-US" sz="600"/>
                      <a:t>(23.0)</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8884297213817244E-2"/>
                      <c:h val="2.897360726113259E-2"/>
                    </c:manualLayout>
                  </c15:layout>
                  <c15:dlblFieldTable/>
                  <c15:showDataLabelsRange val="0"/>
                </c:ext>
                <c:ext xmlns:c16="http://schemas.microsoft.com/office/drawing/2014/chart" uri="{C3380CC4-5D6E-409C-BE32-E72D297353CC}">
                  <c16:uniqueId val="{00000031-BDFA-44B3-9A12-5E19D447F9EC}"/>
                </c:ext>
              </c:extLst>
            </c:dLbl>
            <c:dLbl>
              <c:idx val="5"/>
              <c:layout>
                <c:manualLayout>
                  <c:x val="2.1483811696901027E-3"/>
                  <c:y val="2.5597555634559121E-3"/>
                </c:manualLayout>
              </c:layout>
              <c:tx>
                <c:rich>
                  <a:bodyPr/>
                  <a:lstStyle/>
                  <a:p>
                    <a:fld id="{F5868ECF-847F-4836-91F2-B87AA55A57C0}" type="VALUE">
                      <a:rPr lang="en-US" altLang="en-US" sz="830"/>
                      <a:pPr/>
                      <a:t>[値]</a:t>
                    </a:fld>
                    <a:endParaRPr lang="en-US" altLang="en-US" sz="830"/>
                  </a:p>
                  <a:p>
                    <a:r>
                      <a:rPr lang="en-US" altLang="en-US" sz="600"/>
                      <a:t>(21.4)</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32-BDFA-44B3-9A12-5E19D447F9EC}"/>
                </c:ext>
              </c:extLst>
            </c:dLbl>
            <c:dLbl>
              <c:idx val="6"/>
              <c:layout>
                <c:manualLayout>
                  <c:x val="-4.0870627533436837E-4"/>
                  <c:y val="2.5426451654670542E-3"/>
                </c:manualLayout>
              </c:layout>
              <c:tx>
                <c:rich>
                  <a:bodyPr/>
                  <a:lstStyle/>
                  <a:p>
                    <a:fld id="{6BEE412C-F6CE-441E-9046-9DDAC6553435}" type="VALUE">
                      <a:rPr lang="en-US" altLang="ja-JP" sz="830"/>
                      <a:pPr/>
                      <a:t>[値]</a:t>
                    </a:fld>
                    <a:endParaRPr lang="en-US" altLang="ja-JP" sz="830"/>
                  </a:p>
                  <a:p>
                    <a:r>
                      <a:rPr lang="en-US" altLang="en-US" sz="600"/>
                      <a:t>(20.3)</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33-BDFA-44B3-9A12-5E19D447F9EC}"/>
                </c:ext>
              </c:extLst>
            </c:dLbl>
            <c:dLbl>
              <c:idx val="7"/>
              <c:layout>
                <c:manualLayout>
                  <c:x val="-5.6106771735660982E-4"/>
                  <c:y val="-3.8108863978549819E-3"/>
                </c:manualLayout>
              </c:layout>
              <c:tx>
                <c:rich>
                  <a:bodyPr/>
                  <a:lstStyle/>
                  <a:p>
                    <a:fld id="{0E2AD15A-737D-4CD5-A09D-8801C5637599}" type="VALUE">
                      <a:rPr lang="en-US" altLang="en-US" sz="830"/>
                      <a:pPr/>
                      <a:t>[値]</a:t>
                    </a:fld>
                    <a:endParaRPr lang="en-US" altLang="en-US" sz="830"/>
                  </a:p>
                  <a:p>
                    <a:r>
                      <a:rPr lang="en-US" altLang="en-US" sz="600"/>
                      <a:t>(21.8)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34-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8決算</c:v>
                </c:pt>
                <c:pt idx="1">
                  <c:v>10決算</c:v>
                </c:pt>
                <c:pt idx="2">
                  <c:v>15決算</c:v>
                </c:pt>
                <c:pt idx="3">
                  <c:v>20決算</c:v>
                </c:pt>
                <c:pt idx="4">
                  <c:v>27決算</c:v>
                </c:pt>
                <c:pt idx="5">
                  <c:v>28決算</c:v>
                </c:pt>
                <c:pt idx="6">
                  <c:v>29決算</c:v>
                </c:pt>
                <c:pt idx="7">
                  <c:v>30決算</c:v>
                </c:pt>
              </c:strCache>
            </c:strRef>
          </c:cat>
          <c:val>
            <c:numRef>
              <c:f>頁６データ!$B$56:$I$56</c:f>
              <c:numCache>
                <c:formatCode>#,##0;"△ "#,##0</c:formatCode>
                <c:ptCount val="8"/>
                <c:pt idx="0">
                  <c:v>489083</c:v>
                </c:pt>
                <c:pt idx="1">
                  <c:v>487374</c:v>
                </c:pt>
                <c:pt idx="2">
                  <c:v>434793</c:v>
                </c:pt>
                <c:pt idx="3">
                  <c:v>390734</c:v>
                </c:pt>
                <c:pt idx="4">
                  <c:v>374554</c:v>
                </c:pt>
                <c:pt idx="5">
                  <c:v>338225</c:v>
                </c:pt>
                <c:pt idx="6">
                  <c:v>354794</c:v>
                </c:pt>
                <c:pt idx="7">
                  <c:v>384415</c:v>
                </c:pt>
              </c:numCache>
            </c:numRef>
          </c:val>
          <c:extLst>
            <c:ext xmlns:c16="http://schemas.microsoft.com/office/drawing/2014/chart" uri="{C3380CC4-5D6E-409C-BE32-E72D297353CC}">
              <c16:uniqueId val="{00000035-BDFA-44B3-9A12-5E19D447F9EC}"/>
            </c:ext>
          </c:extLst>
        </c:ser>
        <c:dLbls>
          <c:showLegendKey val="0"/>
          <c:showVal val="1"/>
          <c:showCatName val="0"/>
          <c:showSerName val="0"/>
          <c:showPercent val="0"/>
          <c:showBubbleSize val="0"/>
        </c:dLbls>
        <c:gapWidth val="120"/>
        <c:overlap val="100"/>
        <c:serLines>
          <c:spPr>
            <a:ln w="3175">
              <a:solidFill>
                <a:srgbClr val="000000"/>
              </a:solidFill>
              <a:prstDash val="sysDash"/>
            </a:ln>
          </c:spPr>
        </c:serLines>
        <c:axId val="400498360"/>
        <c:axId val="399532056"/>
      </c:barChart>
      <c:catAx>
        <c:axId val="400498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32056"/>
        <c:crosses val="autoZero"/>
        <c:auto val="1"/>
        <c:lblAlgn val="ctr"/>
        <c:lblOffset val="100"/>
        <c:tickLblSkip val="1"/>
        <c:tickMarkSkip val="1"/>
        <c:noMultiLvlLbl val="0"/>
      </c:catAx>
      <c:valAx>
        <c:axId val="39953205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00498360"/>
        <c:crosses val="autoZero"/>
        <c:crossBetween val="between"/>
        <c:dispUnits>
          <c:builtInUnit val="hundreds"/>
        </c:dispUnits>
      </c:valAx>
      <c:spPr>
        <a:noFill/>
        <a:ln w="25400">
          <a:solidFill>
            <a:srgbClr val="000000"/>
          </a:solidFill>
          <a:prstDash val="solid"/>
        </a:ln>
      </c:spPr>
    </c:plotArea>
    <c:legend>
      <c:legendPos val="r"/>
      <c:layout>
        <c:manualLayout>
          <c:xMode val="edge"/>
          <c:yMode val="edge"/>
          <c:x val="0.87752173334387773"/>
          <c:y val="0.27554036999624371"/>
          <c:w val="0.10734751773049638"/>
          <c:h val="0.43545736363132953"/>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012858555885946"/>
          <c:h val="0.59159332651008389"/>
        </c:manualLayout>
      </c:layout>
      <c:barChart>
        <c:barDir val="col"/>
        <c:grouping val="stacked"/>
        <c:varyColors val="0"/>
        <c:ser>
          <c:idx val="2"/>
          <c:order val="0"/>
          <c:tx>
            <c:strRef>
              <c:f>ﾘﾝｸ資料!$A$4</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ﾘﾝｸ資料!$B$1:$J$1</c:f>
              <c:strCache>
                <c:ptCount val="9"/>
                <c:pt idx="0">
                  <c:v>8年度</c:v>
                </c:pt>
                <c:pt idx="1">
                  <c:v>20年度</c:v>
                </c:pt>
                <c:pt idx="2">
                  <c:v>21年度</c:v>
                </c:pt>
                <c:pt idx="3">
                  <c:v>22年度</c:v>
                </c:pt>
                <c:pt idx="5">
                  <c:v>27年度</c:v>
                </c:pt>
                <c:pt idx="6">
                  <c:v>28年度</c:v>
                </c:pt>
                <c:pt idx="7">
                  <c:v>29年度</c:v>
                </c:pt>
                <c:pt idx="8">
                  <c:v>30年度
（見込）</c:v>
                </c:pt>
              </c:strCache>
            </c:strRef>
          </c:cat>
          <c:val>
            <c:numRef>
              <c:f>ﾘﾝｸ資料!$B$4:$J$4</c:f>
              <c:numCache>
                <c:formatCode>#,##0;"▲ "#,##0</c:formatCode>
                <c:ptCount val="9"/>
                <c:pt idx="0">
                  <c:v>4296</c:v>
                </c:pt>
                <c:pt idx="1">
                  <c:v>3242</c:v>
                </c:pt>
                <c:pt idx="2" formatCode="#,##0_);[Red]\(#,##0\)">
                  <c:v>3302</c:v>
                </c:pt>
                <c:pt idx="3" formatCode="#,##0_);[Red]\(#,##0\)">
                  <c:v>3363</c:v>
                </c:pt>
                <c:pt idx="5">
                  <c:v>3266</c:v>
                </c:pt>
                <c:pt idx="6">
                  <c:v>3317</c:v>
                </c:pt>
                <c:pt idx="7">
                  <c:v>3346</c:v>
                </c:pt>
                <c:pt idx="8">
                  <c:v>3408</c:v>
                </c:pt>
              </c:numCache>
            </c:numRef>
          </c:val>
          <c:extLst>
            <c:ext xmlns:c16="http://schemas.microsoft.com/office/drawing/2014/chart" uri="{C3380CC4-5D6E-409C-BE32-E72D297353CC}">
              <c16:uniqueId val="{00000000-8AEC-42E2-9EA7-1B38F7EBAF1B}"/>
            </c:ext>
          </c:extLst>
        </c:ser>
        <c:ser>
          <c:idx val="1"/>
          <c:order val="1"/>
          <c:tx>
            <c:strRef>
              <c:f>ﾘﾝｸ資料!$A$3</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ﾘﾝｸ資料!$B$1:$J$1</c:f>
              <c:strCache>
                <c:ptCount val="9"/>
                <c:pt idx="0">
                  <c:v>8年度</c:v>
                </c:pt>
                <c:pt idx="1">
                  <c:v>20年度</c:v>
                </c:pt>
                <c:pt idx="2">
                  <c:v>21年度</c:v>
                </c:pt>
                <c:pt idx="3">
                  <c:v>22年度</c:v>
                </c:pt>
                <c:pt idx="5">
                  <c:v>27年度</c:v>
                </c:pt>
                <c:pt idx="6">
                  <c:v>28年度</c:v>
                </c:pt>
                <c:pt idx="7">
                  <c:v>29年度</c:v>
                </c:pt>
                <c:pt idx="8">
                  <c:v>30年度
（見込）</c:v>
                </c:pt>
              </c:strCache>
            </c:strRef>
          </c:cat>
          <c:val>
            <c:numRef>
              <c:f>ﾘﾝｸ資料!$B$3:$J$3</c:f>
              <c:numCache>
                <c:formatCode>#,##0;"▲ "#,##0</c:formatCode>
                <c:ptCount val="9"/>
                <c:pt idx="0">
                  <c:v>1643</c:v>
                </c:pt>
                <c:pt idx="1">
                  <c:v>1544</c:v>
                </c:pt>
                <c:pt idx="2" formatCode="#,##0_);[Red]\(#,##0\)">
                  <c:v>1034</c:v>
                </c:pt>
                <c:pt idx="3" formatCode="#,##0_);[Red]\(#,##0\)">
                  <c:v>1081</c:v>
                </c:pt>
                <c:pt idx="5">
                  <c:v>1319</c:v>
                </c:pt>
                <c:pt idx="6">
                  <c:v>1224</c:v>
                </c:pt>
                <c:pt idx="7">
                  <c:v>1311</c:v>
                </c:pt>
                <c:pt idx="8">
                  <c:v>1388</c:v>
                </c:pt>
              </c:numCache>
            </c:numRef>
          </c:val>
          <c:extLst>
            <c:ext xmlns:c16="http://schemas.microsoft.com/office/drawing/2014/chart" uri="{C3380CC4-5D6E-409C-BE32-E72D297353CC}">
              <c16:uniqueId val="{00000001-8AEC-42E2-9EA7-1B38F7EBAF1B}"/>
            </c:ext>
          </c:extLst>
        </c:ser>
        <c:ser>
          <c:idx val="0"/>
          <c:order val="2"/>
          <c:tx>
            <c:strRef>
              <c:f>ﾘﾝｸ資料!$A$2</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1"/>
              <c:numFmt formatCode="#,##0;&quot;▲ &quot;#,##0" sourceLinked="0"/>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8AEC-42E2-9EA7-1B38F7EBAF1B}"/>
                </c:ext>
              </c:extLst>
            </c:dLbl>
            <c:spPr>
              <a:solidFill>
                <a:srgbClr val="FFFFFF"/>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ﾘﾝｸ資料!$B$1:$J$1</c:f>
              <c:strCache>
                <c:ptCount val="9"/>
                <c:pt idx="0">
                  <c:v>8年度</c:v>
                </c:pt>
                <c:pt idx="1">
                  <c:v>20年度</c:v>
                </c:pt>
                <c:pt idx="2">
                  <c:v>21年度</c:v>
                </c:pt>
                <c:pt idx="3">
                  <c:v>22年度</c:v>
                </c:pt>
                <c:pt idx="5">
                  <c:v>27年度</c:v>
                </c:pt>
                <c:pt idx="6">
                  <c:v>28年度</c:v>
                </c:pt>
                <c:pt idx="7">
                  <c:v>29年度</c:v>
                </c:pt>
                <c:pt idx="8">
                  <c:v>30年度
（見込）</c:v>
                </c:pt>
              </c:strCache>
            </c:strRef>
          </c:cat>
          <c:val>
            <c:numRef>
              <c:f>ﾘﾝｸ資料!$B$2:$J$2</c:f>
              <c:numCache>
                <c:formatCode>#,##0;"▲ "#,##0</c:formatCode>
                <c:ptCount val="9"/>
                <c:pt idx="0">
                  <c:v>1294</c:v>
                </c:pt>
                <c:pt idx="1">
                  <c:v>1400</c:v>
                </c:pt>
                <c:pt idx="2" formatCode="#,##0_);[Red]\(#,##0\)">
                  <c:v>1389</c:v>
                </c:pt>
                <c:pt idx="3" formatCode="#,##0_);[Red]\(#,##0\)">
                  <c:v>1306</c:v>
                </c:pt>
                <c:pt idx="5">
                  <c:v>1422</c:v>
                </c:pt>
                <c:pt idx="6">
                  <c:v>1465</c:v>
                </c:pt>
                <c:pt idx="7">
                  <c:v>1505</c:v>
                </c:pt>
                <c:pt idx="8">
                  <c:v>1993</c:v>
                </c:pt>
              </c:numCache>
            </c:numRef>
          </c:val>
          <c:extLst>
            <c:ext xmlns:c16="http://schemas.microsoft.com/office/drawing/2014/chart" uri="{C3380CC4-5D6E-409C-BE32-E72D297353CC}">
              <c16:uniqueId val="{00000003-8AEC-42E2-9EA7-1B38F7EBAF1B}"/>
            </c:ext>
          </c:extLst>
        </c:ser>
        <c:ser>
          <c:idx val="3"/>
          <c:order val="3"/>
          <c:tx>
            <c:strRef>
              <c:f>ﾘﾝｸ資料!$A$5</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ﾘﾝｸ資料!$B$1:$J$1</c:f>
              <c:strCache>
                <c:ptCount val="9"/>
                <c:pt idx="0">
                  <c:v>8年度</c:v>
                </c:pt>
                <c:pt idx="1">
                  <c:v>20年度</c:v>
                </c:pt>
                <c:pt idx="2">
                  <c:v>21年度</c:v>
                </c:pt>
                <c:pt idx="3">
                  <c:v>22年度</c:v>
                </c:pt>
                <c:pt idx="5">
                  <c:v>27年度</c:v>
                </c:pt>
                <c:pt idx="6">
                  <c:v>28年度</c:v>
                </c:pt>
                <c:pt idx="7">
                  <c:v>29年度</c:v>
                </c:pt>
                <c:pt idx="8">
                  <c:v>30年度
（見込）</c:v>
                </c:pt>
              </c:strCache>
            </c:strRef>
          </c:cat>
          <c:val>
            <c:numRef>
              <c:f>ﾘﾝｸ資料!$B$5:$J$5</c:f>
              <c:numCache>
                <c:formatCode>#,##0;"▲ "#,##0</c:formatCode>
                <c:ptCount val="9"/>
                <c:pt idx="0">
                  <c:v>543</c:v>
                </c:pt>
                <c:pt idx="1">
                  <c:v>522</c:v>
                </c:pt>
                <c:pt idx="2" formatCode="#,##0_);[Red]\(#,##0\)">
                  <c:v>511</c:v>
                </c:pt>
                <c:pt idx="3" formatCode="#,##0_);[Red]\(#,##0\)">
                  <c:v>510</c:v>
                </c:pt>
                <c:pt idx="5">
                  <c:v>594</c:v>
                </c:pt>
                <c:pt idx="6">
                  <c:v>590</c:v>
                </c:pt>
                <c:pt idx="7">
                  <c:v>592</c:v>
                </c:pt>
                <c:pt idx="8">
                  <c:v>585</c:v>
                </c:pt>
              </c:numCache>
            </c:numRef>
          </c:val>
          <c:extLst>
            <c:ext xmlns:c16="http://schemas.microsoft.com/office/drawing/2014/chart" uri="{C3380CC4-5D6E-409C-BE32-E72D297353CC}">
              <c16:uniqueId val="{00000004-8AEC-42E2-9EA7-1B38F7EBAF1B}"/>
            </c:ext>
          </c:extLst>
        </c:ser>
        <c:ser>
          <c:idx val="4"/>
          <c:order val="4"/>
          <c:tx>
            <c:strRef>
              <c:f>ﾘﾝｸ資料!$A$6</c:f>
              <c:strCache>
                <c:ptCount val="1"/>
                <c:pt idx="0">
                  <c:v>市税総計</c:v>
                </c:pt>
              </c:strCache>
            </c:strRef>
          </c:tx>
          <c:spPr>
            <a:noFill/>
            <a:ln w="25400">
              <a:noFill/>
            </a:ln>
          </c:spPr>
          <c:invertIfNegative val="0"/>
          <c:dLbls>
            <c:spPr>
              <a:noFill/>
              <a:ln w="25400">
                <a:noFill/>
              </a:ln>
            </c:spPr>
            <c:txPr>
              <a:bodyPr/>
              <a:lstStyle/>
              <a:p>
                <a:pPr>
                  <a:defRPr sz="9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ﾘﾝｸ資料!$B$1:$J$1</c:f>
              <c:strCache>
                <c:ptCount val="9"/>
                <c:pt idx="0">
                  <c:v>8年度</c:v>
                </c:pt>
                <c:pt idx="1">
                  <c:v>20年度</c:v>
                </c:pt>
                <c:pt idx="2">
                  <c:v>21年度</c:v>
                </c:pt>
                <c:pt idx="3">
                  <c:v>22年度</c:v>
                </c:pt>
                <c:pt idx="5">
                  <c:v>27年度</c:v>
                </c:pt>
                <c:pt idx="6">
                  <c:v>28年度</c:v>
                </c:pt>
                <c:pt idx="7">
                  <c:v>29年度</c:v>
                </c:pt>
                <c:pt idx="8">
                  <c:v>30年度
（見込）</c:v>
                </c:pt>
              </c:strCache>
            </c:strRef>
          </c:cat>
          <c:val>
            <c:numRef>
              <c:f>ﾘﾝｸ資料!$B$6:$J$6</c:f>
              <c:numCache>
                <c:formatCode>#,##0;"▲ "#,##0</c:formatCode>
                <c:ptCount val="9"/>
                <c:pt idx="0">
                  <c:v>7776</c:v>
                </c:pt>
                <c:pt idx="1">
                  <c:v>6708</c:v>
                </c:pt>
                <c:pt idx="2">
                  <c:v>6236</c:v>
                </c:pt>
                <c:pt idx="3">
                  <c:v>6260</c:v>
                </c:pt>
                <c:pt idx="5">
                  <c:v>6601</c:v>
                </c:pt>
                <c:pt idx="6">
                  <c:v>6595</c:v>
                </c:pt>
                <c:pt idx="7">
                  <c:v>6754</c:v>
                </c:pt>
                <c:pt idx="8">
                  <c:v>7374</c:v>
                </c:pt>
              </c:numCache>
            </c:numRef>
          </c:val>
          <c:extLst>
            <c:ext xmlns:c16="http://schemas.microsoft.com/office/drawing/2014/chart" uri="{C3380CC4-5D6E-409C-BE32-E72D297353CC}">
              <c16:uniqueId val="{00000005-8AEC-42E2-9EA7-1B38F7EBAF1B}"/>
            </c:ext>
          </c:extLst>
        </c:ser>
        <c:dLbls>
          <c:showLegendKey val="0"/>
          <c:showVal val="1"/>
          <c:showCatName val="0"/>
          <c:showSerName val="0"/>
          <c:showPercent val="0"/>
          <c:showBubbleSize val="0"/>
        </c:dLbls>
        <c:gapWidth val="42"/>
        <c:overlap val="100"/>
        <c:axId val="345921416"/>
        <c:axId val="345921808"/>
      </c:barChart>
      <c:catAx>
        <c:axId val="34592141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45921808"/>
        <c:crosses val="autoZero"/>
        <c:auto val="1"/>
        <c:lblAlgn val="ctr"/>
        <c:lblOffset val="100"/>
        <c:tickLblSkip val="1"/>
        <c:tickMarkSkip val="1"/>
        <c:noMultiLvlLbl val="0"/>
      </c:catAx>
      <c:valAx>
        <c:axId val="345921808"/>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1.9646443475141148E-2"/>
              <c:y val="5.9690469725767054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45921416"/>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①収納率及び未収金の推移（平成</a:t>
            </a:r>
            <a:r>
              <a:rPr lang="en-US" altLang="ja-JP">
                <a:latin typeface="HG創英角ﾎﾟｯﾌﾟ体" pitchFamily="49" charset="-128"/>
                <a:ea typeface="HG創英角ﾎﾟｯﾌﾟ体" pitchFamily="49" charset="-128"/>
              </a:rPr>
              <a:t>26</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30</a:t>
            </a:r>
            <a:r>
              <a:rPr lang="ja-JP" altLang="en-US">
                <a:latin typeface="HG創英角ﾎﾟｯﾌﾟ体" pitchFamily="49" charset="-128"/>
                <a:ea typeface="HG創英角ﾎﾟｯﾌﾟ体" pitchFamily="49" charset="-128"/>
              </a:rPr>
              <a:t>年度）</a:t>
            </a:r>
          </a:p>
        </c:rich>
      </c:tx>
      <c:layout>
        <c:manualLayout>
          <c:xMode val="edge"/>
          <c:yMode val="edge"/>
          <c:x val="0"/>
          <c:y val="2.1550450523581458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ＢＤ!$A$6:$B$6</c:f>
              <c:strCache>
                <c:ptCount val="2"/>
                <c:pt idx="0">
                  <c:v>滞納繰越分の未収金</c:v>
                </c:pt>
              </c:strCache>
            </c:strRef>
          </c:tx>
          <c:spPr>
            <a:solidFill>
              <a:srgbClr val="FFC000"/>
            </a:solidFill>
            <a:ln w="12700">
              <a:solidFill>
                <a:srgbClr val="000000"/>
              </a:solidFill>
              <a:prstDash val="solid"/>
            </a:ln>
          </c:spPr>
          <c:invertIfNegative val="0"/>
          <c:dLbls>
            <c:dLbl>
              <c:idx val="0"/>
              <c:layout>
                <c:manualLayout>
                  <c:x val="-1.9744880503552815E-17"/>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2D-4C9D-A021-2670BC1E7B0C}"/>
                </c:ext>
              </c:extLst>
            </c:dLbl>
            <c:dLbl>
              <c:idx val="1"/>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2D-4C9D-A021-2670BC1E7B0C}"/>
                </c:ext>
              </c:extLst>
            </c:dLbl>
            <c:dLbl>
              <c:idx val="2"/>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2D-4C9D-A021-2670BC1E7B0C}"/>
                </c:ext>
              </c:extLst>
            </c:dLbl>
            <c:dLbl>
              <c:idx val="3"/>
              <c:layout>
                <c:manualLayout>
                  <c:x val="0"/>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2D-4C9D-A021-2670BC1E7B0C}"/>
                </c:ext>
              </c:extLst>
            </c:dLbl>
            <c:dLbl>
              <c:idx val="4"/>
              <c:layout>
                <c:manualLayout>
                  <c:x val="-1.5795904402842252E-16"/>
                  <c:y val="-2.7491408934707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2D-4C9D-A021-2670BC1E7B0C}"/>
                </c:ext>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26年度</c:v>
                </c:pt>
                <c:pt idx="1">
                  <c:v>27年度</c:v>
                </c:pt>
                <c:pt idx="2">
                  <c:v>28年度</c:v>
                </c:pt>
                <c:pt idx="3">
                  <c:v>29年度</c:v>
                </c:pt>
                <c:pt idx="4">
                  <c:v>30年度（見込）</c:v>
                </c:pt>
              </c:strCache>
            </c:strRef>
          </c:cat>
          <c:val>
            <c:numRef>
              <c:f>ＢＤ!$C$6:$O$6</c:f>
              <c:numCache>
                <c:formatCode>General</c:formatCode>
                <c:ptCount val="5"/>
                <c:pt idx="0">
                  <c:v>115</c:v>
                </c:pt>
                <c:pt idx="1">
                  <c:v>97</c:v>
                </c:pt>
                <c:pt idx="2">
                  <c:v>79</c:v>
                </c:pt>
                <c:pt idx="3">
                  <c:v>63</c:v>
                </c:pt>
                <c:pt idx="4">
                  <c:v>52</c:v>
                </c:pt>
              </c:numCache>
            </c:numRef>
          </c:val>
          <c:extLst>
            <c:ext xmlns:c16="http://schemas.microsoft.com/office/drawing/2014/chart" uri="{C3380CC4-5D6E-409C-BE32-E72D297353CC}">
              <c16:uniqueId val="{00000005-032D-4C9D-A021-2670BC1E7B0C}"/>
            </c:ext>
          </c:extLst>
        </c:ser>
        <c:ser>
          <c:idx val="0"/>
          <c:order val="1"/>
          <c:tx>
            <c:strRef>
              <c:f>ＢＤ!$A$5:$B$5</c:f>
              <c:strCache>
                <c:ptCount val="2"/>
                <c:pt idx="0">
                  <c:v>現年課税分の未収金</c:v>
                </c:pt>
              </c:strCache>
            </c:strRef>
          </c:tx>
          <c:spPr>
            <a:solidFill>
              <a:srgbClr val="FFFF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26年度</c:v>
                </c:pt>
                <c:pt idx="1">
                  <c:v>27年度</c:v>
                </c:pt>
                <c:pt idx="2">
                  <c:v>28年度</c:v>
                </c:pt>
                <c:pt idx="3">
                  <c:v>29年度</c:v>
                </c:pt>
                <c:pt idx="4">
                  <c:v>30年度（見込）</c:v>
                </c:pt>
              </c:strCache>
            </c:strRef>
          </c:cat>
          <c:val>
            <c:numRef>
              <c:f>ＢＤ!$C$5:$O$5</c:f>
              <c:numCache>
                <c:formatCode>General</c:formatCode>
                <c:ptCount val="5"/>
                <c:pt idx="0">
                  <c:v>48</c:v>
                </c:pt>
                <c:pt idx="1">
                  <c:v>43</c:v>
                </c:pt>
                <c:pt idx="2">
                  <c:v>40</c:v>
                </c:pt>
                <c:pt idx="3">
                  <c:v>38</c:v>
                </c:pt>
                <c:pt idx="4">
                  <c:v>44</c:v>
                </c:pt>
              </c:numCache>
            </c:numRef>
          </c:val>
          <c:extLst>
            <c:ext xmlns:c16="http://schemas.microsoft.com/office/drawing/2014/chart" uri="{C3380CC4-5D6E-409C-BE32-E72D297353CC}">
              <c16:uniqueId val="{00000006-032D-4C9D-A021-2670BC1E7B0C}"/>
            </c:ext>
          </c:extLst>
        </c:ser>
        <c:dLbls>
          <c:showLegendKey val="0"/>
          <c:showVal val="0"/>
          <c:showCatName val="0"/>
          <c:showSerName val="0"/>
          <c:showPercent val="0"/>
          <c:showBubbleSize val="0"/>
        </c:dLbls>
        <c:gapWidth val="100"/>
        <c:overlap val="100"/>
        <c:axId val="667923384"/>
        <c:axId val="667921816"/>
      </c:barChart>
      <c:lineChart>
        <c:grouping val="standard"/>
        <c:varyColors val="0"/>
        <c:ser>
          <c:idx val="1"/>
          <c:order val="4"/>
          <c:tx>
            <c:strRef>
              <c:f>ＢＤ!$A$4:$B$4</c:f>
              <c:strCache>
                <c:ptCount val="2"/>
                <c:pt idx="0">
                  <c:v>市税総額の未収金</c:v>
                </c:pt>
              </c:strCache>
            </c:strRef>
          </c:tx>
          <c:spPr>
            <a:ln w="28575">
              <a:noFill/>
            </a:ln>
          </c:spPr>
          <c:marker>
            <c:symbol val="none"/>
          </c:marker>
          <c:dLbls>
            <c:spPr>
              <a:noFill/>
              <a:ln w="3175">
                <a:solidFill>
                  <a:srgbClr val="000000"/>
                </a:solidFill>
                <a:prstDash val="solid"/>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26年度</c:v>
                </c:pt>
                <c:pt idx="1">
                  <c:v>27年度</c:v>
                </c:pt>
                <c:pt idx="2">
                  <c:v>28年度</c:v>
                </c:pt>
                <c:pt idx="3">
                  <c:v>29年度</c:v>
                </c:pt>
                <c:pt idx="4">
                  <c:v>30年度（見込）</c:v>
                </c:pt>
              </c:strCache>
            </c:strRef>
          </c:cat>
          <c:val>
            <c:numRef>
              <c:f>ＢＤ!$C$4:$O$4</c:f>
              <c:numCache>
                <c:formatCode>General</c:formatCode>
                <c:ptCount val="5"/>
                <c:pt idx="0">
                  <c:v>163</c:v>
                </c:pt>
                <c:pt idx="1">
                  <c:v>140</c:v>
                </c:pt>
                <c:pt idx="2">
                  <c:v>119</c:v>
                </c:pt>
                <c:pt idx="3">
                  <c:v>101</c:v>
                </c:pt>
                <c:pt idx="4">
                  <c:v>96</c:v>
                </c:pt>
              </c:numCache>
            </c:numRef>
          </c:val>
          <c:smooth val="0"/>
          <c:extLst>
            <c:ext xmlns:c16="http://schemas.microsoft.com/office/drawing/2014/chart" uri="{C3380CC4-5D6E-409C-BE32-E72D297353CC}">
              <c16:uniqueId val="{00000007-032D-4C9D-A021-2670BC1E7B0C}"/>
            </c:ext>
          </c:extLst>
        </c:ser>
        <c:dLbls>
          <c:showLegendKey val="0"/>
          <c:showVal val="0"/>
          <c:showCatName val="0"/>
          <c:showSerName val="0"/>
          <c:showPercent val="0"/>
          <c:showBubbleSize val="0"/>
        </c:dLbls>
        <c:marker val="1"/>
        <c:smooth val="0"/>
        <c:axId val="667923384"/>
        <c:axId val="667921816"/>
      </c:lineChart>
      <c:lineChart>
        <c:grouping val="standard"/>
        <c:varyColors val="0"/>
        <c:ser>
          <c:idx val="2"/>
          <c:order val="2"/>
          <c:tx>
            <c:strRef>
              <c:f>ＢＤ!$A$7:$B$7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8.6160473882606545E-3"/>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2D-4C9D-A021-2670BC1E7B0C}"/>
                </c:ext>
              </c:extLst>
            </c:dLbl>
            <c:dLbl>
              <c:idx val="1"/>
              <c:layout>
                <c:manualLayout>
                  <c:x val="-1.9386106623586429E-2"/>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2D-4C9D-A021-2670BC1E7B0C}"/>
                </c:ext>
              </c:extLst>
            </c:dLbl>
            <c:dLbl>
              <c:idx val="2"/>
              <c:layout>
                <c:manualLayout>
                  <c:x val="-3.4464189553042542E-2"/>
                  <c:y val="-3.4364261168384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2D-4C9D-A021-2670BC1E7B0C}"/>
                </c:ext>
              </c:extLst>
            </c:dLbl>
            <c:dLbl>
              <c:idx val="3"/>
              <c:layout>
                <c:manualLayout>
                  <c:x val="-2.8002154011847143E-2"/>
                  <c:y val="-3.4364261168384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2D-4C9D-A021-2670BC1E7B0C}"/>
                </c:ext>
              </c:extLst>
            </c:dLbl>
            <c:dLbl>
              <c:idx val="4"/>
              <c:layout>
                <c:manualLayout>
                  <c:x val="-5.1696284329563816E-2"/>
                  <c:y val="-3.207331042382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2D-4C9D-A021-2670BC1E7B0C}"/>
                </c:ext>
              </c:extLst>
            </c:dLbl>
            <c:spPr>
              <a:noFill/>
              <a:ln>
                <a:noFill/>
              </a:ln>
              <a:effectLst/>
            </c:spPr>
            <c:txPr>
              <a:bodyPr wrap="square" lIns="38100" tIns="19050" rIns="38100" bIns="19050" anchor="ctr" anchorCtr="0">
                <a:spAutoFit/>
              </a:bodyPr>
              <a:lstStyle/>
              <a:p>
                <a:pPr algn="l" rtl="0">
                  <a:defRPr lang="ja-JP" altLang="en-US" sz="110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ＢＤ!$C$3:$O$3</c:f>
              <c:strCache>
                <c:ptCount val="5"/>
                <c:pt idx="0">
                  <c:v>26年度</c:v>
                </c:pt>
                <c:pt idx="1">
                  <c:v>27年度</c:v>
                </c:pt>
                <c:pt idx="2">
                  <c:v>28年度</c:v>
                </c:pt>
                <c:pt idx="3">
                  <c:v>29年度</c:v>
                </c:pt>
                <c:pt idx="4">
                  <c:v>30年度（見込）</c:v>
                </c:pt>
              </c:strCache>
            </c:strRef>
          </c:cat>
          <c:val>
            <c:numRef>
              <c:f>ＢＤ!$C$7:$O$7</c:f>
              <c:numCache>
                <c:formatCode>0.0%</c:formatCode>
                <c:ptCount val="5"/>
                <c:pt idx="0">
                  <c:v>0.99299999999999999</c:v>
                </c:pt>
                <c:pt idx="1">
                  <c:v>0.99299999999999999</c:v>
                </c:pt>
                <c:pt idx="2">
                  <c:v>0.99399999999999999</c:v>
                </c:pt>
                <c:pt idx="3">
                  <c:v>0.99399999999999999</c:v>
                </c:pt>
                <c:pt idx="4">
                  <c:v>0.99399999999999999</c:v>
                </c:pt>
              </c:numCache>
            </c:numRef>
          </c:val>
          <c:smooth val="0"/>
          <c:extLst>
            <c:ext xmlns:c16="http://schemas.microsoft.com/office/drawing/2014/chart" uri="{C3380CC4-5D6E-409C-BE32-E72D297353CC}">
              <c16:uniqueId val="{0000000D-032D-4C9D-A021-2670BC1E7B0C}"/>
            </c:ext>
          </c:extLst>
        </c:ser>
        <c:ser>
          <c:idx val="3"/>
          <c:order val="3"/>
          <c:tx>
            <c:strRef>
              <c:f>ＢＤ!$A$8:$B$8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solidFill>
                <a:srgbClr val="FFFFFF"/>
              </a:solidFill>
              <a:ln w="25400">
                <a:noFill/>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ＢＤ!$C$3:$O$3</c:f>
              <c:strCache>
                <c:ptCount val="5"/>
                <c:pt idx="0">
                  <c:v>26年度</c:v>
                </c:pt>
                <c:pt idx="1">
                  <c:v>27年度</c:v>
                </c:pt>
                <c:pt idx="2">
                  <c:v>28年度</c:v>
                </c:pt>
                <c:pt idx="3">
                  <c:v>29年度</c:v>
                </c:pt>
                <c:pt idx="4">
                  <c:v>30年度（見込）</c:v>
                </c:pt>
              </c:strCache>
            </c:strRef>
          </c:cat>
          <c:val>
            <c:numRef>
              <c:f>ＢＤ!$C$8:$O$8</c:f>
              <c:numCache>
                <c:formatCode>0.0%</c:formatCode>
                <c:ptCount val="5"/>
                <c:pt idx="0">
                  <c:v>0.97199999999999998</c:v>
                </c:pt>
                <c:pt idx="1">
                  <c:v>0.97599999999999998</c:v>
                </c:pt>
                <c:pt idx="2">
                  <c:v>0.97899999999999998</c:v>
                </c:pt>
                <c:pt idx="3">
                  <c:v>0.98199999999999998</c:v>
                </c:pt>
                <c:pt idx="4">
                  <c:v>0.98499999999999999</c:v>
                </c:pt>
              </c:numCache>
            </c:numRef>
          </c:val>
          <c:smooth val="0"/>
          <c:extLst>
            <c:ext xmlns:c16="http://schemas.microsoft.com/office/drawing/2014/chart" uri="{C3380CC4-5D6E-409C-BE32-E72D297353CC}">
              <c16:uniqueId val="{0000000E-032D-4C9D-A021-2670BC1E7B0C}"/>
            </c:ext>
          </c:extLst>
        </c:ser>
        <c:dLbls>
          <c:showLegendKey val="0"/>
          <c:showVal val="0"/>
          <c:showCatName val="0"/>
          <c:showSerName val="0"/>
          <c:showPercent val="0"/>
          <c:showBubbleSize val="0"/>
        </c:dLbls>
        <c:marker val="1"/>
        <c:smooth val="0"/>
        <c:axId val="669590224"/>
        <c:axId val="669590616"/>
      </c:lineChart>
      <c:catAx>
        <c:axId val="6679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1816"/>
        <c:crosses val="autoZero"/>
        <c:auto val="0"/>
        <c:lblAlgn val="ctr"/>
        <c:lblOffset val="100"/>
        <c:tickLblSkip val="1"/>
        <c:tickMarkSkip val="1"/>
        <c:noMultiLvlLbl val="0"/>
      </c:catAx>
      <c:valAx>
        <c:axId val="667921816"/>
        <c:scaling>
          <c:orientation val="minMax"/>
          <c:max val="250"/>
          <c:min val="0"/>
        </c:scaling>
        <c:delete val="0"/>
        <c:axPos val="l"/>
        <c:title>
          <c:tx>
            <c:rich>
              <a:bodyPr rot="0" vert="horz"/>
              <a:lstStyle/>
              <a:p>
                <a:pPr algn="ctr">
                  <a:defRPr sz="1000" b="0" i="0" u="none" strike="noStrike" baseline="0">
                    <a:solidFill>
                      <a:srgbClr val="000000"/>
                    </a:solidFill>
                    <a:latin typeface="HG丸ｺﾞｼｯｸM-PRO" pitchFamily="50" charset="-128"/>
                    <a:ea typeface="HG丸ｺﾞｼｯｸM-PRO" pitchFamily="50" charset="-128"/>
                    <a:cs typeface="ＭＳ Ｐゴシック"/>
                  </a:defRPr>
                </a:pPr>
                <a:r>
                  <a:rPr lang="ja-JP" altLang="en-US">
                    <a:latin typeface="HG丸ｺﾞｼｯｸM-PRO" pitchFamily="50" charset="-128"/>
                    <a:ea typeface="HG丸ｺﾞｼｯｸM-PRO"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3384"/>
        <c:crosses val="autoZero"/>
        <c:crossBetween val="between"/>
        <c:majorUnit val="100"/>
      </c:valAx>
      <c:catAx>
        <c:axId val="669590224"/>
        <c:scaling>
          <c:orientation val="minMax"/>
        </c:scaling>
        <c:delete val="1"/>
        <c:axPos val="t"/>
        <c:numFmt formatCode="General" sourceLinked="1"/>
        <c:majorTickMark val="none"/>
        <c:minorTickMark val="none"/>
        <c:tickLblPos val="none"/>
        <c:crossAx val="669590616"/>
        <c:crosses val="max"/>
        <c:auto val="0"/>
        <c:lblAlgn val="ctr"/>
        <c:lblOffset val="100"/>
        <c:noMultiLvlLbl val="0"/>
      </c:catAx>
      <c:valAx>
        <c:axId val="669590616"/>
        <c:scaling>
          <c:orientation val="minMax"/>
          <c:max val="1"/>
          <c:min val="0.70000000000000062"/>
        </c:scaling>
        <c:delete val="0"/>
        <c:axPos val="r"/>
        <c:numFmt formatCode="0.0%" sourceLinked="1"/>
        <c:majorTickMark val="none"/>
        <c:minorTickMark val="none"/>
        <c:tickLblPos val="none"/>
        <c:spPr>
          <a:ln w="9525">
            <a:noFill/>
          </a:ln>
        </c:spPr>
        <c:crossAx val="669590224"/>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a:latin typeface="HG創英角ﾎﾟｯﾌﾟ体" pitchFamily="49" charset="-128"/>
                <a:ea typeface="HG創英角ﾎﾟｯﾌﾟ体" pitchFamily="49" charset="-128"/>
              </a:rPr>
              <a:t>②課税年度別収納率の状況（平成</a:t>
            </a:r>
            <a:r>
              <a:rPr lang="en-US" altLang="ja-JP">
                <a:latin typeface="HG創英角ﾎﾟｯﾌﾟ体" pitchFamily="49" charset="-128"/>
                <a:ea typeface="HG創英角ﾎﾟｯﾌﾟ体" pitchFamily="49" charset="-128"/>
              </a:rPr>
              <a:t>26</a:t>
            </a:r>
            <a:r>
              <a:rPr lang="ja-JP" altLang="en-US">
                <a:latin typeface="HG創英角ﾎﾟｯﾌﾟ体" pitchFamily="49" charset="-128"/>
                <a:ea typeface="HG創英角ﾎﾟｯﾌﾟ体" pitchFamily="49" charset="-128"/>
              </a:rPr>
              <a:t>～</a:t>
            </a:r>
            <a:r>
              <a:rPr lang="en-US" altLang="ja-JP">
                <a:latin typeface="HG創英角ﾎﾟｯﾌﾟ体" pitchFamily="49" charset="-128"/>
                <a:ea typeface="HG創英角ﾎﾟｯﾌﾟ体" pitchFamily="49" charset="-128"/>
              </a:rPr>
              <a:t>30</a:t>
            </a:r>
            <a:r>
              <a:rPr lang="ja-JP" altLang="en-US">
                <a:latin typeface="HG創英角ﾎﾟｯﾌﾟ体" pitchFamily="49" charset="-128"/>
                <a:ea typeface="HG創英角ﾎﾟｯﾌﾟ体" pitchFamily="49" charset="-128"/>
              </a:rPr>
              <a:t>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080709329613746"/>
          <c:y val="0.16982100921595328"/>
          <c:w val="0.75773889636609304"/>
          <c:h val="0.75066978469796553"/>
        </c:manualLayout>
      </c:layout>
      <c:barChart>
        <c:barDir val="col"/>
        <c:grouping val="stacked"/>
        <c:varyColors val="0"/>
        <c:ser>
          <c:idx val="0"/>
          <c:order val="0"/>
          <c:tx>
            <c:strRef>
              <c:f>ＢＤ!$B$11</c:f>
              <c:strCache>
                <c:ptCount val="1"/>
                <c:pt idx="0">
                  <c:v>課税年度</c:v>
                </c:pt>
              </c:strCache>
            </c:strRef>
          </c:tx>
          <c:spPr>
            <a:solidFill>
              <a:srgbClr val="9999FF"/>
            </a:solidFill>
            <a:ln w="12700">
              <a:solidFill>
                <a:srgbClr val="000000"/>
              </a:solidFill>
              <a:prstDash val="solid"/>
            </a:ln>
          </c:spPr>
          <c:invertIfNegative val="0"/>
          <c:dLbls>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26年度</c:v>
                </c:pt>
                <c:pt idx="1">
                  <c:v>27年度</c:v>
                </c:pt>
                <c:pt idx="2">
                  <c:v>28年度</c:v>
                </c:pt>
                <c:pt idx="3">
                  <c:v>29年度</c:v>
                </c:pt>
                <c:pt idx="4">
                  <c:v>30年度（見込）</c:v>
                </c:pt>
              </c:strCache>
            </c:strRef>
          </c:cat>
          <c:val>
            <c:numRef>
              <c:f>ＢＤ!$B$12:$B$37</c:f>
              <c:numCache>
                <c:formatCode>0.0%</c:formatCode>
                <c:ptCount val="5"/>
                <c:pt idx="0">
                  <c:v>0.99299999999999999</c:v>
                </c:pt>
                <c:pt idx="1">
                  <c:v>0.99299999999999999</c:v>
                </c:pt>
                <c:pt idx="2">
                  <c:v>0.99399999999999999</c:v>
                </c:pt>
                <c:pt idx="3">
                  <c:v>0.99399999999999999</c:v>
                </c:pt>
                <c:pt idx="4">
                  <c:v>0.99399999999999999</c:v>
                </c:pt>
              </c:numCache>
            </c:numRef>
          </c:val>
          <c:extLst>
            <c:ext xmlns:c16="http://schemas.microsoft.com/office/drawing/2014/chart" uri="{C3380CC4-5D6E-409C-BE32-E72D297353CC}">
              <c16:uniqueId val="{00000000-40C5-4C3A-910F-83AD50249576}"/>
            </c:ext>
          </c:extLst>
        </c:ser>
        <c:ser>
          <c:idx val="1"/>
          <c:order val="1"/>
          <c:tx>
            <c:strRef>
              <c:f>ＢＤ!$C$11</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40C5-4C3A-910F-83AD50249576}"/>
                </c:ext>
              </c:extLst>
            </c:dLbl>
            <c:dLbl>
              <c:idx val="5"/>
              <c:delete val="1"/>
              <c:extLst>
                <c:ext xmlns:c15="http://schemas.microsoft.com/office/drawing/2012/chart" uri="{CE6537A1-D6FC-4f65-9D91-7224C49458BB}"/>
                <c:ext xmlns:c16="http://schemas.microsoft.com/office/drawing/2014/chart" uri="{C3380CC4-5D6E-409C-BE32-E72D297353CC}">
                  <c16:uniqueId val="{00000002-40C5-4C3A-910F-83AD50249576}"/>
                </c:ext>
              </c:extLst>
            </c:dLbl>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26年度</c:v>
                </c:pt>
                <c:pt idx="1">
                  <c:v>27年度</c:v>
                </c:pt>
                <c:pt idx="2">
                  <c:v>28年度</c:v>
                </c:pt>
                <c:pt idx="3">
                  <c:v>29年度</c:v>
                </c:pt>
                <c:pt idx="4">
                  <c:v>30年度（見込）</c:v>
                </c:pt>
              </c:strCache>
            </c:strRef>
          </c:cat>
          <c:val>
            <c:numRef>
              <c:f>ＢＤ!$C$12:$C$37</c:f>
              <c:numCache>
                <c:formatCode>0.0%</c:formatCode>
                <c:ptCount val="5"/>
                <c:pt idx="0">
                  <c:v>3.0000000000000001E-3</c:v>
                </c:pt>
                <c:pt idx="1">
                  <c:v>3.0000000000000001E-3</c:v>
                </c:pt>
                <c:pt idx="2">
                  <c:v>3.0000000000000001E-3</c:v>
                </c:pt>
                <c:pt idx="3">
                  <c:v>2.8E-3</c:v>
                </c:pt>
              </c:numCache>
            </c:numRef>
          </c:val>
          <c:extLst>
            <c:ext xmlns:c16="http://schemas.microsoft.com/office/drawing/2014/chart" uri="{C3380CC4-5D6E-409C-BE32-E72D297353CC}">
              <c16:uniqueId val="{00000003-40C5-4C3A-910F-83AD50249576}"/>
            </c:ext>
          </c:extLst>
        </c:ser>
        <c:ser>
          <c:idx val="2"/>
          <c:order val="2"/>
          <c:tx>
            <c:strRef>
              <c:f>ＢＤ!$D$11</c:f>
              <c:strCache>
                <c:ptCount val="1"/>
                <c:pt idx="0">
                  <c:v>繰越 ２年目</c:v>
                </c:pt>
              </c:strCache>
            </c:strRef>
          </c:tx>
          <c:spPr>
            <a:solidFill>
              <a:srgbClr val="FFFFCC"/>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C5-4C3A-910F-83AD50249576}"/>
                </c:ext>
              </c:extLst>
            </c:dLbl>
            <c:dLbl>
              <c:idx val="3"/>
              <c:delete val="1"/>
              <c:extLst>
                <c:ext xmlns:c15="http://schemas.microsoft.com/office/drawing/2012/chart" uri="{CE6537A1-D6FC-4f65-9D91-7224C49458BB}"/>
                <c:ext xmlns:c16="http://schemas.microsoft.com/office/drawing/2014/chart" uri="{C3380CC4-5D6E-409C-BE32-E72D297353CC}">
                  <c16:uniqueId val="{00000005-40C5-4C3A-910F-83AD50249576}"/>
                </c:ext>
              </c:extLst>
            </c:dLbl>
            <c:dLbl>
              <c:idx val="4"/>
              <c:delete val="1"/>
              <c:extLst>
                <c:ext xmlns:c15="http://schemas.microsoft.com/office/drawing/2012/chart" uri="{CE6537A1-D6FC-4f65-9D91-7224C49458BB}"/>
                <c:ext xmlns:c16="http://schemas.microsoft.com/office/drawing/2014/chart" uri="{C3380CC4-5D6E-409C-BE32-E72D297353CC}">
                  <c16:uniqueId val="{00000006-40C5-4C3A-910F-83AD50249576}"/>
                </c:ext>
              </c:extLst>
            </c:dLbl>
            <c:dLbl>
              <c:idx val="5"/>
              <c:delete val="1"/>
              <c:extLst>
                <c:ext xmlns:c15="http://schemas.microsoft.com/office/drawing/2012/chart" uri="{CE6537A1-D6FC-4f65-9D91-7224C49458BB}"/>
                <c:ext xmlns:c16="http://schemas.microsoft.com/office/drawing/2014/chart" uri="{C3380CC4-5D6E-409C-BE32-E72D297353CC}">
                  <c16:uniqueId val="{00000007-40C5-4C3A-910F-83AD50249576}"/>
                </c:ext>
              </c:extLst>
            </c:dLbl>
            <c:spPr>
              <a:no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26年度</c:v>
                </c:pt>
                <c:pt idx="1">
                  <c:v>27年度</c:v>
                </c:pt>
                <c:pt idx="2">
                  <c:v>28年度</c:v>
                </c:pt>
                <c:pt idx="3">
                  <c:v>29年度</c:v>
                </c:pt>
                <c:pt idx="4">
                  <c:v>30年度（見込）</c:v>
                </c:pt>
              </c:strCache>
            </c:strRef>
          </c:cat>
          <c:val>
            <c:numRef>
              <c:f>ＢＤ!$D$12:$D$37</c:f>
              <c:numCache>
                <c:formatCode>0.0%</c:formatCode>
                <c:ptCount val="5"/>
                <c:pt idx="0">
                  <c:v>1E-3</c:v>
                </c:pt>
                <c:pt idx="1">
                  <c:v>1E-3</c:v>
                </c:pt>
                <c:pt idx="2">
                  <c:v>8.0000000000000004E-4</c:v>
                </c:pt>
              </c:numCache>
            </c:numRef>
          </c:val>
          <c:extLst>
            <c:ext xmlns:c16="http://schemas.microsoft.com/office/drawing/2014/chart" uri="{C3380CC4-5D6E-409C-BE32-E72D297353CC}">
              <c16:uniqueId val="{00000008-40C5-4C3A-910F-83AD50249576}"/>
            </c:ext>
          </c:extLst>
        </c:ser>
        <c:ser>
          <c:idx val="3"/>
          <c:order val="3"/>
          <c:tx>
            <c:strRef>
              <c:f>ＢＤ!$E$11</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40C5-4C3A-910F-83AD50249576}"/>
                </c:ext>
              </c:extLst>
            </c:dLbl>
            <c:dLbl>
              <c:idx val="1"/>
              <c:layout>
                <c:manualLayout>
                  <c:x val="7.0267906074494499E-2"/>
                  <c:y val="5.01253132832075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C5-4C3A-910F-83AD50249576}"/>
                </c:ext>
              </c:extLst>
            </c:dLbl>
            <c:dLbl>
              <c:idx val="2"/>
              <c:delete val="1"/>
              <c:extLst>
                <c:ext xmlns:c15="http://schemas.microsoft.com/office/drawing/2012/chart" uri="{CE6537A1-D6FC-4f65-9D91-7224C49458BB}"/>
                <c:ext xmlns:c16="http://schemas.microsoft.com/office/drawing/2014/chart" uri="{C3380CC4-5D6E-409C-BE32-E72D297353CC}">
                  <c16:uniqueId val="{0000000B-40C5-4C3A-910F-83AD50249576}"/>
                </c:ext>
              </c:extLst>
            </c:dLbl>
            <c:dLbl>
              <c:idx val="3"/>
              <c:delete val="1"/>
              <c:extLst>
                <c:ext xmlns:c15="http://schemas.microsoft.com/office/drawing/2012/chart" uri="{CE6537A1-D6FC-4f65-9D91-7224C49458BB}"/>
                <c:ext xmlns:c16="http://schemas.microsoft.com/office/drawing/2014/chart" uri="{C3380CC4-5D6E-409C-BE32-E72D297353CC}">
                  <c16:uniqueId val="{0000000C-40C5-4C3A-910F-83AD50249576}"/>
                </c:ext>
              </c:extLst>
            </c:dLbl>
            <c:dLbl>
              <c:idx val="4"/>
              <c:delete val="1"/>
              <c:extLst>
                <c:ext xmlns:c15="http://schemas.microsoft.com/office/drawing/2012/chart" uri="{CE6537A1-D6FC-4f65-9D91-7224C49458BB}"/>
                <c:ext xmlns:c16="http://schemas.microsoft.com/office/drawing/2014/chart" uri="{C3380CC4-5D6E-409C-BE32-E72D297353CC}">
                  <c16:uniqueId val="{0000000D-40C5-4C3A-910F-83AD50249576}"/>
                </c:ext>
              </c:extLst>
            </c:dLbl>
            <c:spPr>
              <a:noFill/>
              <a:ln>
                <a:noFill/>
              </a:ln>
              <a:effectLst/>
            </c:spPr>
            <c:txPr>
              <a:bodyPr wrap="square" lIns="38100" tIns="19050" rIns="38100" bIns="19050" anchor="ctr">
                <a:spAutoFit/>
              </a:bodyPr>
              <a:lstStyle/>
              <a:p>
                <a:pPr>
                  <a:defRPr sz="1050">
                    <a:latin typeface="HG丸ｺﾞｼｯｸM-PRO" panose="020F0600000000000000" pitchFamily="50" charset="-128"/>
                    <a:ea typeface="HG丸ｺﾞｼｯｸM-PRO" panose="020F0600000000000000"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ＢＤ!$A$12:$A$37</c:f>
              <c:strCache>
                <c:ptCount val="5"/>
                <c:pt idx="0">
                  <c:v>26年度</c:v>
                </c:pt>
                <c:pt idx="1">
                  <c:v>27年度</c:v>
                </c:pt>
                <c:pt idx="2">
                  <c:v>28年度</c:v>
                </c:pt>
                <c:pt idx="3">
                  <c:v>29年度</c:v>
                </c:pt>
                <c:pt idx="4">
                  <c:v>30年度（見込）</c:v>
                </c:pt>
              </c:strCache>
            </c:strRef>
          </c:cat>
          <c:val>
            <c:numRef>
              <c:f>ＢＤ!$E$12:$E$37</c:f>
              <c:numCache>
                <c:formatCode>0.00%</c:formatCode>
                <c:ptCount val="5"/>
                <c:pt idx="0" formatCode="0.0%">
                  <c:v>1E-3</c:v>
                </c:pt>
                <c:pt idx="1">
                  <c:v>4.0000000000000002E-4</c:v>
                </c:pt>
              </c:numCache>
            </c:numRef>
          </c:val>
          <c:extLst>
            <c:ext xmlns:c16="http://schemas.microsoft.com/office/drawing/2014/chart" uri="{C3380CC4-5D6E-409C-BE32-E72D297353CC}">
              <c16:uniqueId val="{0000000E-40C5-4C3A-910F-83AD50249576}"/>
            </c:ext>
          </c:extLst>
        </c:ser>
        <c:ser>
          <c:idx val="4"/>
          <c:order val="4"/>
          <c:tx>
            <c:strRef>
              <c:f>ＢＤ!$F$11</c:f>
              <c:strCache>
                <c:ptCount val="1"/>
                <c:pt idx="0">
                  <c:v>繰越 ４年目</c:v>
                </c:pt>
              </c:strCache>
            </c:strRef>
          </c:tx>
          <c:spPr>
            <a:solidFill>
              <a:srgbClr val="66FFCC"/>
            </a:solidFill>
            <a:ln w="12700">
              <a:solidFill>
                <a:srgbClr val="000000"/>
              </a:solidFill>
              <a:prstDash val="solid"/>
            </a:ln>
          </c:spPr>
          <c:invertIfNegative val="0"/>
          <c:dLbls>
            <c:dLbl>
              <c:idx val="0"/>
              <c:layout>
                <c:manualLayout>
                  <c:x val="7.0267906074494499E-2"/>
                  <c:y val="2.50626566416040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C5-4C3A-910F-83AD50249576}"/>
                </c:ext>
              </c:extLst>
            </c:dLbl>
            <c:dLbl>
              <c:idx val="1"/>
              <c:delete val="1"/>
              <c:extLst>
                <c:ext xmlns:c15="http://schemas.microsoft.com/office/drawing/2012/chart" uri="{CE6537A1-D6FC-4f65-9D91-7224C49458BB}"/>
                <c:ext xmlns:c16="http://schemas.microsoft.com/office/drawing/2014/chart" uri="{C3380CC4-5D6E-409C-BE32-E72D297353CC}">
                  <c16:uniqueId val="{00000010-40C5-4C3A-910F-83AD50249576}"/>
                </c:ext>
              </c:extLst>
            </c:dLbl>
            <c:dLbl>
              <c:idx val="2"/>
              <c:delete val="1"/>
              <c:extLst>
                <c:ext xmlns:c15="http://schemas.microsoft.com/office/drawing/2012/chart" uri="{CE6537A1-D6FC-4f65-9D91-7224C49458BB}"/>
                <c:ext xmlns:c16="http://schemas.microsoft.com/office/drawing/2014/chart" uri="{C3380CC4-5D6E-409C-BE32-E72D297353CC}">
                  <c16:uniqueId val="{00000011-40C5-4C3A-910F-83AD50249576}"/>
                </c:ext>
              </c:extLst>
            </c:dLbl>
            <c:dLbl>
              <c:idx val="3"/>
              <c:delete val="1"/>
              <c:extLst>
                <c:ext xmlns:c15="http://schemas.microsoft.com/office/drawing/2012/chart" uri="{CE6537A1-D6FC-4f65-9D91-7224C49458BB}"/>
                <c:ext xmlns:c16="http://schemas.microsoft.com/office/drawing/2014/chart" uri="{C3380CC4-5D6E-409C-BE32-E72D297353CC}">
                  <c16:uniqueId val="{00000012-40C5-4C3A-910F-83AD50249576}"/>
                </c:ext>
              </c:extLst>
            </c:dLbl>
            <c:dLbl>
              <c:idx val="4"/>
              <c:delete val="1"/>
              <c:extLst>
                <c:ext xmlns:c15="http://schemas.microsoft.com/office/drawing/2012/chart" uri="{CE6537A1-D6FC-4f65-9D91-7224C49458BB}"/>
                <c:ext xmlns:c16="http://schemas.microsoft.com/office/drawing/2014/chart" uri="{C3380CC4-5D6E-409C-BE32-E72D297353CC}">
                  <c16:uniqueId val="{00000013-40C5-4C3A-910F-83AD50249576}"/>
                </c:ext>
              </c:extLst>
            </c:dLbl>
            <c:spPr>
              <a:noFill/>
              <a:ln>
                <a:noFill/>
              </a:ln>
              <a:effectLst/>
            </c:spPr>
            <c:txPr>
              <a:bodyPr wrap="square" lIns="38100" tIns="19050" rIns="38100" bIns="19050" anchor="ctr" anchorCtr="0">
                <a:spAutoFit/>
              </a:bodyPr>
              <a:lstStyle/>
              <a:p>
                <a:pPr algn="ctr">
                  <a:defRPr lang="ja-JP" altLang="en-US" sz="105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ＢＤ!$A$12:$A$37</c:f>
              <c:strCache>
                <c:ptCount val="5"/>
                <c:pt idx="0">
                  <c:v>26年度</c:v>
                </c:pt>
                <c:pt idx="1">
                  <c:v>27年度</c:v>
                </c:pt>
                <c:pt idx="2">
                  <c:v>28年度</c:v>
                </c:pt>
                <c:pt idx="3">
                  <c:v>29年度</c:v>
                </c:pt>
                <c:pt idx="4">
                  <c:v>30年度（見込）</c:v>
                </c:pt>
              </c:strCache>
            </c:strRef>
          </c:cat>
          <c:val>
            <c:numRef>
              <c:f>ＢＤ!$F$12:$F$37</c:f>
              <c:numCache>
                <c:formatCode>0.0%</c:formatCode>
                <c:ptCount val="5"/>
                <c:pt idx="0" formatCode="0.00%">
                  <c:v>2.9999999999999997E-4</c:v>
                </c:pt>
              </c:numCache>
            </c:numRef>
          </c:val>
          <c:extLst>
            <c:ext xmlns:c16="http://schemas.microsoft.com/office/drawing/2014/chart" uri="{C3380CC4-5D6E-409C-BE32-E72D297353CC}">
              <c16:uniqueId val="{00000014-40C5-4C3A-910F-83AD50249576}"/>
            </c:ext>
          </c:extLst>
        </c:ser>
        <c:dLbls>
          <c:showLegendKey val="0"/>
          <c:showVal val="1"/>
          <c:showCatName val="0"/>
          <c:showSerName val="0"/>
          <c:showPercent val="0"/>
          <c:showBubbleSize val="0"/>
        </c:dLbls>
        <c:gapWidth val="100"/>
        <c:overlap val="100"/>
        <c:axId val="661884408"/>
        <c:axId val="661881272"/>
      </c:barChart>
      <c:lineChart>
        <c:grouping val="standard"/>
        <c:varyColors val="0"/>
        <c:ser>
          <c:idx val="5"/>
          <c:order val="5"/>
          <c:tx>
            <c:strRef>
              <c:f>ＢＤ!$G$11</c:f>
              <c:strCache>
                <c:ptCount val="1"/>
                <c:pt idx="0">
                  <c:v>合計</c:v>
                </c:pt>
              </c:strCache>
            </c:strRef>
          </c:tx>
          <c:spPr>
            <a:ln w="28575">
              <a:noFill/>
            </a:ln>
          </c:spPr>
          <c:marker>
            <c:symbol val="none"/>
          </c:marker>
          <c:dPt>
            <c:idx val="0"/>
            <c:bubble3D val="0"/>
            <c:extLst>
              <c:ext xmlns:c16="http://schemas.microsoft.com/office/drawing/2014/chart" uri="{C3380CC4-5D6E-409C-BE32-E72D297353CC}">
                <c16:uniqueId val="{00000015-40C5-4C3A-910F-83AD50249576}"/>
              </c:ext>
            </c:extLst>
          </c:dPt>
          <c:dLbls>
            <c:dLbl>
              <c:idx val="0"/>
              <c:layout>
                <c:manualLayout>
                  <c:x val="-9.0978956422002488E-2"/>
                  <c:y val="-2.800929489077023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714009898922107"/>
                      <c:h val="4.6741854636591473E-2"/>
                    </c:manualLayout>
                  </c15:layout>
                </c:ext>
                <c:ext xmlns:c16="http://schemas.microsoft.com/office/drawing/2014/chart" uri="{C3380CC4-5D6E-409C-BE32-E72D297353CC}">
                  <c16:uniqueId val="{00000015-40C5-4C3A-910F-83AD50249576}"/>
                </c:ext>
              </c:extLst>
            </c:dLbl>
            <c:dLbl>
              <c:idx val="1"/>
              <c:layout>
                <c:manualLayout>
                  <c:x val="-4.4418169288664711E-2"/>
                  <c:y val="-2.963649280682020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025921387918399E-2"/>
                      <c:h val="5.1754385964912282E-2"/>
                    </c:manualLayout>
                  </c15:layout>
                </c:ext>
                <c:ext xmlns:c16="http://schemas.microsoft.com/office/drawing/2014/chart" uri="{C3380CC4-5D6E-409C-BE32-E72D297353CC}">
                  <c16:uniqueId val="{00000016-40C5-4C3A-910F-83AD50249576}"/>
                </c:ext>
              </c:extLst>
            </c:dLbl>
            <c:dLbl>
              <c:idx val="2"/>
              <c:layout>
                <c:manualLayout>
                  <c:x val="-4.5022085977486116E-2"/>
                  <c:y val="-3.60470072819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0C5-4C3A-910F-83AD50249576}"/>
                </c:ext>
              </c:extLst>
            </c:dLbl>
            <c:dLbl>
              <c:idx val="3"/>
              <c:layout>
                <c:manualLayout>
                  <c:x val="-4.91053705981929E-2"/>
                  <c:y val="-2.619462040929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0C5-4C3A-910F-83AD50249576}"/>
                </c:ext>
              </c:extLst>
            </c:dLbl>
            <c:dLbl>
              <c:idx val="4"/>
              <c:spPr>
                <a:solidFill>
                  <a:srgbClr val="FFFFFF"/>
                </a:solid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40C5-4C3A-910F-83AD50249576}"/>
                </c:ext>
              </c:extLst>
            </c:dLbl>
            <c:spPr>
              <a:no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ＢＤ!$A$12:$A$37</c:f>
              <c:strCache>
                <c:ptCount val="5"/>
                <c:pt idx="0">
                  <c:v>26年度</c:v>
                </c:pt>
                <c:pt idx="1">
                  <c:v>27年度</c:v>
                </c:pt>
                <c:pt idx="2">
                  <c:v>28年度</c:v>
                </c:pt>
                <c:pt idx="3">
                  <c:v>29年度</c:v>
                </c:pt>
                <c:pt idx="4">
                  <c:v>30年度（見込）</c:v>
                </c:pt>
              </c:strCache>
            </c:strRef>
          </c:cat>
          <c:val>
            <c:numRef>
              <c:f>ＢＤ!$G$12:$G$37</c:f>
              <c:numCache>
                <c:formatCode>0.0%</c:formatCode>
                <c:ptCount val="5"/>
                <c:pt idx="0">
                  <c:v>0.99829999999999997</c:v>
                </c:pt>
                <c:pt idx="1">
                  <c:v>0.99739999999999995</c:v>
                </c:pt>
                <c:pt idx="2">
                  <c:v>0.99780000000000002</c:v>
                </c:pt>
                <c:pt idx="3">
                  <c:v>0.99680000000000002</c:v>
                </c:pt>
                <c:pt idx="4">
                  <c:v>0.99399999999999999</c:v>
                </c:pt>
              </c:numCache>
            </c:numRef>
          </c:val>
          <c:smooth val="0"/>
          <c:extLst>
            <c:ext xmlns:c16="http://schemas.microsoft.com/office/drawing/2014/chart" uri="{C3380CC4-5D6E-409C-BE32-E72D297353CC}">
              <c16:uniqueId val="{0000001A-40C5-4C3A-910F-83AD50249576}"/>
            </c:ext>
          </c:extLst>
        </c:ser>
        <c:dLbls>
          <c:showLegendKey val="0"/>
          <c:showVal val="1"/>
          <c:showCatName val="0"/>
          <c:showSerName val="0"/>
          <c:showPercent val="0"/>
          <c:showBubbleSize val="0"/>
        </c:dLbls>
        <c:marker val="1"/>
        <c:smooth val="0"/>
        <c:axId val="661884408"/>
        <c:axId val="661881272"/>
      </c:lineChart>
      <c:catAx>
        <c:axId val="661884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1272"/>
        <c:crosses val="autoZero"/>
        <c:auto val="1"/>
        <c:lblAlgn val="ctr"/>
        <c:lblOffset val="100"/>
        <c:tickLblSkip val="1"/>
        <c:tickMarkSkip val="1"/>
        <c:noMultiLvlLbl val="0"/>
      </c:catAx>
      <c:valAx>
        <c:axId val="661881272"/>
        <c:scaling>
          <c:orientation val="minMax"/>
          <c:max val="0.999"/>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4408"/>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no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普通会計決算の推移（</a:t>
            </a:r>
            <a:r>
              <a:rPr lang="en-US" altLang="ja-JP" sz="1000" b="0" i="0" u="none" strike="noStrike" baseline="0">
                <a:solidFill>
                  <a:srgbClr val="000000"/>
                </a:solidFill>
                <a:latin typeface="ＭＳ Ｐゴシック"/>
                <a:ea typeface="ＭＳ Ｐゴシック"/>
              </a:rPr>
              <a:t>H8</a:t>
            </a:r>
            <a:r>
              <a:rPr lang="ja-JP" altLang="en-US" sz="1000" b="0" i="0" u="none" strike="noStrike" baseline="0">
                <a:solidFill>
                  <a:srgbClr val="000000"/>
                </a:solidFill>
                <a:latin typeface="ＭＳ Ｐゴシック"/>
                <a:ea typeface="ＭＳ Ｐゴシック"/>
              </a:rPr>
              <a:t>年度（市税収入のピーク）を</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0.10142630744849462"/>
          <c:y val="0.10629067245119694"/>
          <c:w val="0.79292128895932379"/>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頁12データ!$C$14:$Y$14</c:f>
              <c:numCache>
                <c:formatCode>#,##0.0;[Red]\-#,##0.0</c:formatCode>
                <c:ptCount val="23"/>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pt idx="22">
                  <c:v>94.831007269458638</c:v>
                </c:pt>
              </c:numCache>
            </c:numRef>
          </c:val>
          <c:smooth val="0"/>
          <c:extLst>
            <c:ext xmlns:c16="http://schemas.microsoft.com/office/drawing/2014/chart" uri="{C3380CC4-5D6E-409C-BE32-E72D297353CC}">
              <c16:uniqueId val="{00000000-EFBC-4FC1-9E07-2493EE0D5BCE}"/>
            </c:ext>
          </c:extLst>
        </c:ser>
        <c:ser>
          <c:idx val="1"/>
          <c:order val="1"/>
          <c:spPr>
            <a:ln w="12700">
              <a:solidFill>
                <a:srgbClr val="00B050"/>
              </a:solidFill>
              <a:prstDash val="solid"/>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頁12データ!$C$15:$Y$15</c:f>
              <c:numCache>
                <c:formatCode>#,##0.0;[Red]\-#,##0.0</c:formatCode>
                <c:ptCount val="23"/>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pt idx="22">
                  <c:v>90.577641576760001</c:v>
                </c:pt>
              </c:numCache>
            </c:numRef>
          </c:val>
          <c:smooth val="0"/>
          <c:extLst>
            <c:ext xmlns:c16="http://schemas.microsoft.com/office/drawing/2014/chart" uri="{C3380CC4-5D6E-409C-BE32-E72D297353CC}">
              <c16:uniqueId val="{00000001-EFBC-4FC1-9E07-2493EE0D5BCE}"/>
            </c:ext>
          </c:extLst>
        </c:ser>
        <c:ser>
          <c:idx val="2"/>
          <c:order val="2"/>
          <c:spPr>
            <a:ln w="12700">
              <a:solidFill>
                <a:srgbClr val="FF6600"/>
              </a:solidFill>
              <a:prstDash val="sysDash"/>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頁12データ!$C$16:$Y$16</c:f>
              <c:numCache>
                <c:formatCode>#,##0.0;[Red]\-#,##0.0</c:formatCode>
                <c:ptCount val="23"/>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pt idx="22">
                  <c:v>254.70516507534796</c:v>
                </c:pt>
              </c:numCache>
            </c:numRef>
          </c:val>
          <c:smooth val="0"/>
          <c:extLst>
            <c:ext xmlns:c16="http://schemas.microsoft.com/office/drawing/2014/chart" uri="{C3380CC4-5D6E-409C-BE32-E72D297353CC}">
              <c16:uniqueId val="{00000002-EFBC-4FC1-9E07-2493EE0D5BCE}"/>
            </c:ext>
          </c:extLst>
        </c:ser>
        <c:ser>
          <c:idx val="4"/>
          <c:order val="3"/>
          <c:spPr>
            <a:ln w="38100">
              <a:pattFill prst="pct50">
                <a:fgClr>
                  <a:srgbClr val="00CCFF"/>
                </a:fgClr>
                <a:bgClr>
                  <a:srgbClr val="FFFFFF"/>
                </a:bgClr>
              </a:pattFill>
              <a:prstDash val="solid"/>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頁12データ!$C$18:$Y$18</c:f>
              <c:numCache>
                <c:formatCode>#,##0.0;[Red]\-#,##0.0</c:formatCode>
                <c:ptCount val="23"/>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pt idx="22">
                  <c:v>200.85145276120838</c:v>
                </c:pt>
              </c:numCache>
            </c:numRef>
          </c:val>
          <c:smooth val="0"/>
          <c:extLst>
            <c:ext xmlns:c16="http://schemas.microsoft.com/office/drawing/2014/chart" uri="{C3380CC4-5D6E-409C-BE32-E72D297353CC}">
              <c16:uniqueId val="{00000003-EFBC-4FC1-9E07-2493EE0D5BCE}"/>
            </c:ext>
          </c:extLst>
        </c:ser>
        <c:ser>
          <c:idx val="5"/>
          <c:order val="4"/>
          <c:spPr>
            <a:ln w="12700">
              <a:solidFill>
                <a:srgbClr val="3366FF"/>
              </a:solidFill>
              <a:prstDash val="solid"/>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頁12データ!$C$19:$Y$19</c:f>
              <c:numCache>
                <c:formatCode>#,##0.0;[Red]\-#,##0.0</c:formatCode>
                <c:ptCount val="23"/>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pt idx="22">
                  <c:v>25.428052338918356</c:v>
                </c:pt>
              </c:numCache>
            </c:numRef>
          </c:val>
          <c:smooth val="0"/>
          <c:extLst>
            <c:ext xmlns:c16="http://schemas.microsoft.com/office/drawing/2014/chart" uri="{C3380CC4-5D6E-409C-BE32-E72D297353CC}">
              <c16:uniqueId val="{00000004-EFBC-4FC1-9E07-2493EE0D5BCE}"/>
            </c:ext>
          </c:extLst>
        </c:ser>
        <c:ser>
          <c:idx val="6"/>
          <c:order val="5"/>
          <c:spPr>
            <a:ln w="12700">
              <a:solidFill>
                <a:srgbClr val="FF8080"/>
              </a:solidFill>
              <a:prstDash val="lgDash"/>
            </a:ln>
          </c:spPr>
          <c:marker>
            <c:symbol val="none"/>
          </c:marker>
          <c:cat>
            <c:strRef>
              <c:f>頁12データ!$C$13:$Y$13</c:f>
              <c:strCache>
                <c:ptCount val="23"/>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strCache>
            </c:strRef>
          </c:cat>
          <c:val>
            <c:numRef>
              <c:f>頁12データ!$C$20:$Y$20</c:f>
              <c:numCache>
                <c:formatCode>#,##0.0;[Red]\-#,##0.0</c:formatCode>
                <c:ptCount val="23"/>
                <c:pt idx="0">
                  <c:v>100</c:v>
                </c:pt>
                <c:pt idx="1">
                  <c:v>95.70975657513759</c:v>
                </c:pt>
                <c:pt idx="2">
                  <c:v>91.601571450592218</c:v>
                </c:pt>
                <c:pt idx="3">
                  <c:v>90.077197718647014</c:v>
                </c:pt>
                <c:pt idx="4">
                  <c:v>82.509488278695002</c:v>
                </c:pt>
                <c:pt idx="5">
                  <c:v>74.5889106914466</c:v>
                </c:pt>
                <c:pt idx="6">
                  <c:v>66.870805264276171</c:v>
                </c:pt>
                <c:pt idx="7">
                  <c:v>63.192144413476484</c:v>
                </c:pt>
                <c:pt idx="8">
                  <c:v>59.057296288427011</c:v>
                </c:pt>
                <c:pt idx="9">
                  <c:v>55.976886511438003</c:v>
                </c:pt>
                <c:pt idx="10">
                  <c:v>54.307116104868911</c:v>
                </c:pt>
                <c:pt idx="11">
                  <c:v>54.240041994225798</c:v>
                </c:pt>
                <c:pt idx="12">
                  <c:v>54.274203963621673</c:v>
                </c:pt>
                <c:pt idx="13">
                  <c:v>56.629296805022648</c:v>
                </c:pt>
                <c:pt idx="14">
                  <c:v>57.555419463157151</c:v>
                </c:pt>
                <c:pt idx="15">
                  <c:v>56.43349039507067</c:v>
                </c:pt>
                <c:pt idx="16">
                  <c:v>55.031183212308306</c:v>
                </c:pt>
                <c:pt idx="17">
                  <c:v>54.436265013560636</c:v>
                </c:pt>
                <c:pt idx="18">
                  <c:v>54.124224585786116</c:v>
                </c:pt>
                <c:pt idx="19">
                  <c:v>54.301283573508641</c:v>
                </c:pt>
                <c:pt idx="20">
                  <c:v>54.56624714101811</c:v>
                </c:pt>
                <c:pt idx="21">
                  <c:v>54.66831643982286</c:v>
                </c:pt>
                <c:pt idx="22">
                  <c:v>57.17297204967651</c:v>
                </c:pt>
              </c:numCache>
            </c:numRef>
          </c:val>
          <c:smooth val="0"/>
          <c:extLst>
            <c:ext xmlns:c16="http://schemas.microsoft.com/office/drawing/2014/chart" uri="{C3380CC4-5D6E-409C-BE32-E72D297353CC}">
              <c16:uniqueId val="{00000005-EFBC-4FC1-9E07-2493EE0D5BCE}"/>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90000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115"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zoomScale="130"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64" right="0.56000000000000005" top="0.98425196850393704" bottom="0.76"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xdr:cNvSpPr>
          <a:spLocks noChangeArrowheads="1"/>
        </xdr:cNvSpPr>
      </xdr:nvSpPr>
      <xdr:spPr bwMode="auto">
        <a:xfrm>
          <a:off x="190500" y="161925"/>
          <a:ext cx="6924675" cy="466725"/>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30</a:t>
          </a:r>
          <a:r>
            <a:rPr lang="ja-JP" altLang="en-US" sz="1600" b="0" i="0" u="none" strike="noStrike" baseline="0">
              <a:solidFill>
                <a:srgbClr val="000000"/>
              </a:solidFill>
              <a:latin typeface="HG創英角ﾎﾟｯﾌﾟ体"/>
              <a:ea typeface="HG創英角ﾎﾟｯﾌﾟ体"/>
            </a:rPr>
            <a:t>年度　普通会計決算見込のポイント</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9</xdr:col>
          <xdr:colOff>295275</xdr:colOff>
          <xdr:row>137</xdr:row>
          <xdr:rowOff>28574</xdr:rowOff>
        </xdr:to>
        <xdr:pic>
          <xdr:nvPicPr>
            <xdr:cNvPr id="135169" name="Picture 1"/>
            <xdr:cNvPicPr>
              <a:picLocks noChangeAspect="1" noChangeArrowheads="1"/>
              <a:extLst>
                <a:ext uri="{84589F7E-364E-4C9E-8A38-B11213B215E9}">
                  <a14:cameraTool cellRange="頁７データ!$B$3:$G$9" spid="_x0000_s135752"/>
                </a:ext>
              </a:extLst>
            </xdr:cNvPicPr>
          </xdr:nvPicPr>
          <xdr:blipFill>
            <a:blip xmlns:r="http://schemas.openxmlformats.org/officeDocument/2006/relationships" r:embed="rId1"/>
            <a:srcRect/>
            <a:stretch>
              <a:fillRect/>
            </a:stretch>
          </xdr:blipFill>
          <xdr:spPr bwMode="auto">
            <a:xfrm>
              <a:off x="209550" y="34775775"/>
              <a:ext cx="5962650" cy="2362200"/>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xdr:col>
      <xdr:colOff>8284</xdr:colOff>
      <xdr:row>8</xdr:row>
      <xdr:rowOff>182218</xdr:rowOff>
    </xdr:from>
    <xdr:to>
      <xdr:col>2</xdr:col>
      <xdr:colOff>24848</xdr:colOff>
      <xdr:row>11</xdr:row>
      <xdr:rowOff>82826</xdr:rowOff>
    </xdr:to>
    <xdr:sp macro="" textlink="">
      <xdr:nvSpPr>
        <xdr:cNvPr id="3" name="正方形/長方形 2"/>
        <xdr:cNvSpPr/>
      </xdr:nvSpPr>
      <xdr:spPr bwMode="auto">
        <a:xfrm>
          <a:off x="198784" y="1962979"/>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265045</xdr:colOff>
      <xdr:row>9</xdr:row>
      <xdr:rowOff>107675</xdr:rowOff>
    </xdr:from>
    <xdr:to>
      <xdr:col>1</xdr:col>
      <xdr:colOff>704023</xdr:colOff>
      <xdr:row>10</xdr:row>
      <xdr:rowOff>165653</xdr:rowOff>
    </xdr:to>
    <xdr:sp macro="" textlink="">
      <xdr:nvSpPr>
        <xdr:cNvPr id="4" name="正方形/長方形 3"/>
        <xdr:cNvSpPr/>
      </xdr:nvSpPr>
      <xdr:spPr bwMode="auto">
        <a:xfrm>
          <a:off x="455545" y="2120349"/>
          <a:ext cx="438978"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歳出</a:t>
          </a:r>
        </a:p>
      </xdr:txBody>
    </xdr:sp>
    <xdr:clientData/>
  </xdr:twoCellAnchor>
  <xdr:twoCellAnchor>
    <xdr:from>
      <xdr:col>0</xdr:col>
      <xdr:colOff>190499</xdr:colOff>
      <xdr:row>23</xdr:row>
      <xdr:rowOff>8283</xdr:rowOff>
    </xdr:from>
    <xdr:to>
      <xdr:col>2</xdr:col>
      <xdr:colOff>16563</xdr:colOff>
      <xdr:row>26</xdr:row>
      <xdr:rowOff>16565</xdr:rowOff>
    </xdr:to>
    <xdr:sp macro="" textlink="">
      <xdr:nvSpPr>
        <xdr:cNvPr id="6" name="正方形/長方形 5"/>
        <xdr:cNvSpPr/>
      </xdr:nvSpPr>
      <xdr:spPr bwMode="auto">
        <a:xfrm>
          <a:off x="190499" y="5276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124239</xdr:colOff>
      <xdr:row>24</xdr:row>
      <xdr:rowOff>82826</xdr:rowOff>
    </xdr:from>
    <xdr:to>
      <xdr:col>2</xdr:col>
      <xdr:colOff>115957</xdr:colOff>
      <xdr:row>24</xdr:row>
      <xdr:rowOff>331304</xdr:rowOff>
    </xdr:to>
    <xdr:sp macro="" textlink="">
      <xdr:nvSpPr>
        <xdr:cNvPr id="7" name="正方形/長方形 6"/>
        <xdr:cNvSpPr/>
      </xdr:nvSpPr>
      <xdr:spPr bwMode="auto">
        <a:xfrm>
          <a:off x="314739" y="6543261"/>
          <a:ext cx="819979"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実質収支</a:t>
          </a:r>
        </a:p>
      </xdr:txBody>
    </xdr:sp>
    <xdr:clientData/>
  </xdr:twoCellAnchor>
  <xdr:twoCellAnchor>
    <xdr:from>
      <xdr:col>1</xdr:col>
      <xdr:colOff>16565</xdr:colOff>
      <xdr:row>17</xdr:row>
      <xdr:rowOff>16565</xdr:rowOff>
    </xdr:from>
    <xdr:to>
      <xdr:col>2</xdr:col>
      <xdr:colOff>33129</xdr:colOff>
      <xdr:row>18</xdr:row>
      <xdr:rowOff>240195</xdr:rowOff>
    </xdr:to>
    <xdr:sp macro="" textlink="">
      <xdr:nvSpPr>
        <xdr:cNvPr id="8" name="正方形/長方形 7"/>
        <xdr:cNvSpPr/>
      </xdr:nvSpPr>
      <xdr:spPr bwMode="auto">
        <a:xfrm>
          <a:off x="207065" y="3752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281609</xdr:colOff>
      <xdr:row>17</xdr:row>
      <xdr:rowOff>173933</xdr:rowOff>
    </xdr:from>
    <xdr:to>
      <xdr:col>1</xdr:col>
      <xdr:colOff>720587</xdr:colOff>
      <xdr:row>18</xdr:row>
      <xdr:rowOff>132520</xdr:rowOff>
    </xdr:to>
    <xdr:sp macro="" textlink="">
      <xdr:nvSpPr>
        <xdr:cNvPr id="9" name="正方形/長方形 8"/>
        <xdr:cNvSpPr/>
      </xdr:nvSpPr>
      <xdr:spPr bwMode="auto">
        <a:xfrm>
          <a:off x="472109" y="4737650"/>
          <a:ext cx="438978" cy="248479"/>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歳入</a:t>
          </a:r>
        </a:p>
      </xdr:txBody>
    </xdr:sp>
    <xdr:clientData/>
  </xdr:twoCellAnchor>
  <xdr:twoCellAnchor>
    <xdr:from>
      <xdr:col>1</xdr:col>
      <xdr:colOff>16565</xdr:colOff>
      <xdr:row>37</xdr:row>
      <xdr:rowOff>99391</xdr:rowOff>
    </xdr:from>
    <xdr:to>
      <xdr:col>2</xdr:col>
      <xdr:colOff>33129</xdr:colOff>
      <xdr:row>38</xdr:row>
      <xdr:rowOff>99390</xdr:rowOff>
    </xdr:to>
    <xdr:sp macro="" textlink="">
      <xdr:nvSpPr>
        <xdr:cNvPr id="10" name="正方形/長方形 9"/>
        <xdr:cNvSpPr/>
      </xdr:nvSpPr>
      <xdr:spPr bwMode="auto">
        <a:xfrm>
          <a:off x="207065" y="915228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19877</xdr:colOff>
      <xdr:row>29</xdr:row>
      <xdr:rowOff>488258</xdr:rowOff>
    </xdr:from>
    <xdr:to>
      <xdr:col>2</xdr:col>
      <xdr:colOff>36441</xdr:colOff>
      <xdr:row>31</xdr:row>
      <xdr:rowOff>57977</xdr:rowOff>
    </xdr:to>
    <xdr:sp macro="" textlink="">
      <xdr:nvSpPr>
        <xdr:cNvPr id="11" name="正方形/長方形 10"/>
        <xdr:cNvSpPr/>
      </xdr:nvSpPr>
      <xdr:spPr bwMode="auto">
        <a:xfrm>
          <a:off x="210377" y="8033715"/>
          <a:ext cx="844825" cy="571914"/>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l"/>
          <a:endParaRPr kumimoji="1" lang="ja-JP" altLang="en-US" sz="1100"/>
        </a:p>
      </xdr:txBody>
    </xdr:sp>
    <xdr:clientData/>
  </xdr:twoCellAnchor>
  <xdr:twoCellAnchor>
    <xdr:from>
      <xdr:col>1</xdr:col>
      <xdr:colOff>28159</xdr:colOff>
      <xdr:row>29</xdr:row>
      <xdr:rowOff>364437</xdr:rowOff>
    </xdr:from>
    <xdr:to>
      <xdr:col>2</xdr:col>
      <xdr:colOff>33129</xdr:colOff>
      <xdr:row>31</xdr:row>
      <xdr:rowOff>173938</xdr:rowOff>
    </xdr:to>
    <xdr:sp macro="" textlink="">
      <xdr:nvSpPr>
        <xdr:cNvPr id="12" name="正方形/長方形 11"/>
        <xdr:cNvSpPr/>
      </xdr:nvSpPr>
      <xdr:spPr bwMode="auto">
        <a:xfrm>
          <a:off x="218659" y="7909894"/>
          <a:ext cx="833231" cy="811696"/>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latin typeface="HG創英角ﾎﾟｯﾌﾟ体" panose="040B0A09000000000000" pitchFamily="49" charset="-128"/>
              <a:ea typeface="HG創英角ﾎﾟｯﾌﾟ体" panose="040B0A09000000000000" pitchFamily="49" charset="-128"/>
            </a:rPr>
            <a:t>財政構造</a:t>
          </a:r>
        </a:p>
        <a:p>
          <a:pPr algn="ctr"/>
          <a:r>
            <a:rPr kumimoji="1" lang="ja-JP" altLang="en-US" sz="1100">
              <a:latin typeface="HG創英角ﾎﾟｯﾌﾟ体" panose="040B0A09000000000000" pitchFamily="49" charset="-128"/>
              <a:ea typeface="HG創英角ﾎﾟｯﾌﾟ体" panose="040B0A09000000000000" pitchFamily="49" charset="-128"/>
            </a:rPr>
            <a:t>の弾力性</a:t>
          </a:r>
        </a:p>
        <a:p>
          <a:pPr algn="ctr"/>
          <a:r>
            <a:rPr kumimoji="1" lang="ja-JP" altLang="en-US" sz="600">
              <a:latin typeface="HG創英角ﾎﾟｯﾌﾟ体" panose="040B0A09000000000000" pitchFamily="49" charset="-128"/>
              <a:ea typeface="HG創英角ﾎﾟｯﾌﾟ体" panose="040B0A09000000000000" pitchFamily="49" charset="-128"/>
            </a:rPr>
            <a:t>（経常収支比率）</a:t>
          </a:r>
        </a:p>
      </xdr:txBody>
    </xdr:sp>
    <xdr:clientData/>
  </xdr:twoCellAnchor>
  <xdr:twoCellAnchor>
    <xdr:from>
      <xdr:col>1</xdr:col>
      <xdr:colOff>221976</xdr:colOff>
      <xdr:row>37</xdr:row>
      <xdr:rowOff>163995</xdr:rowOff>
    </xdr:from>
    <xdr:to>
      <xdr:col>3</xdr:col>
      <xdr:colOff>231914</xdr:colOff>
      <xdr:row>38</xdr:row>
      <xdr:rowOff>198782</xdr:rowOff>
    </xdr:to>
    <xdr:sp macro="" textlink="">
      <xdr:nvSpPr>
        <xdr:cNvPr id="13" name="正方形/長方形 12"/>
        <xdr:cNvSpPr/>
      </xdr:nvSpPr>
      <xdr:spPr bwMode="auto">
        <a:xfrm>
          <a:off x="412476" y="10185952"/>
          <a:ext cx="1028699" cy="54830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地方債</a:t>
          </a:r>
        </a:p>
        <a:p>
          <a:pPr algn="l"/>
          <a:r>
            <a:rPr kumimoji="1" lang="ja-JP" altLang="en-US" sz="1100">
              <a:latin typeface="HG創英角ﾎﾟｯﾌﾟ体" panose="040B0A09000000000000" pitchFamily="49" charset="-128"/>
              <a:ea typeface="HG創英角ﾎﾟｯﾌﾟ体" panose="040B0A09000000000000" pitchFamily="49" charset="-128"/>
            </a:rPr>
            <a:t>残　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32</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34</xdr:row>
      <xdr:rowOff>157842</xdr:rowOff>
    </xdr:from>
    <xdr:to>
      <xdr:col>31</xdr:col>
      <xdr:colOff>161924</xdr:colOff>
      <xdr:row>64</xdr:row>
      <xdr:rowOff>81642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171450</xdr:colOff>
      <xdr:row>28</xdr:row>
      <xdr:rowOff>19050</xdr:rowOff>
    </xdr:from>
    <xdr:to>
      <xdr:col>26</xdr:col>
      <xdr:colOff>180975</xdr:colOff>
      <xdr:row>30</xdr:row>
      <xdr:rowOff>0</xdr:rowOff>
    </xdr:to>
    <xdr:sp macro="" textlink="">
      <xdr:nvSpPr>
        <xdr:cNvPr id="4" name="AutoShape 5"/>
        <xdr:cNvSpPr>
          <a:spLocks noChangeArrowheads="1"/>
        </xdr:cNvSpPr>
      </xdr:nvSpPr>
      <xdr:spPr bwMode="auto">
        <a:xfrm>
          <a:off x="857250" y="4819650"/>
          <a:ext cx="5267325" cy="32385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HG丸ｺﾞｼｯｸM-PRO" pitchFamily="50" charset="-128"/>
              <a:ea typeface="HG丸ｺﾞｼｯｸM-PRO" pitchFamily="50" charset="-128"/>
            </a:rPr>
            <a:t>未　　収　　金　　の　　推　　移　</a:t>
          </a:r>
        </a:p>
      </xdr:txBody>
    </xdr:sp>
    <xdr:clientData/>
  </xdr:twoCellAnchor>
  <xdr:twoCellAnchor>
    <xdr:from>
      <xdr:col>21</xdr:col>
      <xdr:colOff>114300</xdr:colOff>
      <xdr:row>4</xdr:row>
      <xdr:rowOff>95250</xdr:rowOff>
    </xdr:from>
    <xdr:to>
      <xdr:col>27</xdr:col>
      <xdr:colOff>19050</xdr:colOff>
      <xdr:row>5</xdr:row>
      <xdr:rowOff>152400</xdr:rowOff>
    </xdr:to>
    <xdr:sp macro="" textlink="">
      <xdr:nvSpPr>
        <xdr:cNvPr id="5" name="AutoShape 9"/>
        <xdr:cNvSpPr>
          <a:spLocks noChangeArrowheads="1"/>
        </xdr:cNvSpPr>
      </xdr:nvSpPr>
      <xdr:spPr bwMode="auto">
        <a:xfrm>
          <a:off x="4914900" y="781050"/>
          <a:ext cx="1276350" cy="22860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現年課税分の収納率</a:t>
          </a:r>
        </a:p>
      </xdr:txBody>
    </xdr:sp>
    <xdr:clientData/>
  </xdr:twoCellAnchor>
  <xdr:twoCellAnchor>
    <xdr:from>
      <xdr:col>22</xdr:col>
      <xdr:colOff>19050</xdr:colOff>
      <xdr:row>10</xdr:row>
      <xdr:rowOff>95250</xdr:rowOff>
    </xdr:from>
    <xdr:to>
      <xdr:col>27</xdr:col>
      <xdr:colOff>38100</xdr:colOff>
      <xdr:row>11</xdr:row>
      <xdr:rowOff>123825</xdr:rowOff>
    </xdr:to>
    <xdr:sp macro="" textlink="">
      <xdr:nvSpPr>
        <xdr:cNvPr id="6" name="AutoShape 10"/>
        <xdr:cNvSpPr>
          <a:spLocks noChangeArrowheads="1"/>
        </xdr:cNvSpPr>
      </xdr:nvSpPr>
      <xdr:spPr bwMode="auto">
        <a:xfrm>
          <a:off x="5048250" y="1809750"/>
          <a:ext cx="1162050" cy="20002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市税総計の収納率</a:t>
          </a:r>
        </a:p>
      </xdr:txBody>
    </xdr:sp>
    <xdr:clientData/>
  </xdr:twoCellAnchor>
  <xdr:twoCellAnchor>
    <xdr:from>
      <xdr:col>14</xdr:col>
      <xdr:colOff>21932</xdr:colOff>
      <xdr:row>64</xdr:row>
      <xdr:rowOff>19050</xdr:rowOff>
    </xdr:from>
    <xdr:to>
      <xdr:col>17</xdr:col>
      <xdr:colOff>80843</xdr:colOff>
      <xdr:row>65</xdr:row>
      <xdr:rowOff>114299</xdr:rowOff>
    </xdr:to>
    <xdr:sp macro="" textlink="">
      <xdr:nvSpPr>
        <xdr:cNvPr id="7" name="Rectangle 17"/>
        <xdr:cNvSpPr>
          <a:spLocks noChangeArrowheads="1"/>
        </xdr:cNvSpPr>
      </xdr:nvSpPr>
      <xdr:spPr bwMode="auto">
        <a:xfrm>
          <a:off x="3222332" y="10991850"/>
          <a:ext cx="744711" cy="266699"/>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丸ｺﾞｼｯｸM-PRO" pitchFamily="50" charset="-128"/>
              <a:ea typeface="HG丸ｺﾞｼｯｸM-PRO" pitchFamily="50" charset="-128"/>
            </a:rPr>
            <a:t>課税年度</a:t>
          </a:r>
        </a:p>
      </xdr:txBody>
    </xdr:sp>
    <xdr:clientData/>
  </xdr:twoCellAnchor>
  <xdr:twoCellAnchor>
    <xdr:from>
      <xdr:col>28</xdr:col>
      <xdr:colOff>127001</xdr:colOff>
      <xdr:row>15</xdr:row>
      <xdr:rowOff>60326</xdr:rowOff>
    </xdr:from>
    <xdr:to>
      <xdr:col>30</xdr:col>
      <xdr:colOff>168276</xdr:colOff>
      <xdr:row>27</xdr:row>
      <xdr:rowOff>63504</xdr:rowOff>
    </xdr:to>
    <xdr:grpSp>
      <xdr:nvGrpSpPr>
        <xdr:cNvPr id="8" name="Group 24"/>
        <xdr:cNvGrpSpPr>
          <a:grpSpLocks/>
        </xdr:cNvGrpSpPr>
      </xdr:nvGrpSpPr>
      <xdr:grpSpPr bwMode="auto">
        <a:xfrm rot="5400000">
          <a:off x="5746750" y="3413127"/>
          <a:ext cx="2060578" cy="498475"/>
          <a:chOff x="581" y="572"/>
          <a:chExt cx="168" cy="56"/>
        </a:xfrm>
      </xdr:grpSpPr>
      <xdr:sp macro="" textlink="">
        <xdr:nvSpPr>
          <xdr:cNvPr id="9" name="Rectangle 25"/>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10" name="Rectangle 26"/>
          <xdr:cNvSpPr>
            <a:spLocks noChangeArrowheads="1"/>
          </xdr:cNvSpPr>
        </xdr:nvSpPr>
        <xdr:spPr bwMode="auto">
          <a:xfrm>
            <a:off x="591" y="582"/>
            <a:ext cx="19" cy="15"/>
          </a:xfrm>
          <a:prstGeom prst="rect">
            <a:avLst/>
          </a:prstGeom>
          <a:solidFill>
            <a:srgbClr val="FFFFFF"/>
          </a:solidFill>
          <a:ln w="9525" algn="ctr">
            <a:solidFill>
              <a:srgbClr val="000000"/>
            </a:solidFill>
            <a:miter lim="800000"/>
            <a:headEnd/>
            <a:tailEnd/>
          </a:ln>
        </xdr:spPr>
      </xdr:sp>
      <xdr:sp macro="" textlink="">
        <xdr:nvSpPr>
          <xdr:cNvPr id="11" name="Text Box 27"/>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滞納繰越分の未収金</a:t>
            </a:r>
          </a:p>
        </xdr:txBody>
      </xdr:sp>
      <xdr:sp macro="" textlink="">
        <xdr:nvSpPr>
          <xdr:cNvPr id="12" name="Text Box 28"/>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現年課税分の未収金</a:t>
            </a:r>
          </a:p>
        </xdr:txBody>
      </xdr:sp>
      <xdr:sp macro="" textlink="">
        <xdr:nvSpPr>
          <xdr:cNvPr id="13" name="Rectangle 29"/>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6</xdr:col>
      <xdr:colOff>179854</xdr:colOff>
      <xdr:row>75</xdr:row>
      <xdr:rowOff>24837</xdr:rowOff>
    </xdr:from>
    <xdr:to>
      <xdr:col>10</xdr:col>
      <xdr:colOff>149482</xdr:colOff>
      <xdr:row>82</xdr:row>
      <xdr:rowOff>6909</xdr:rowOff>
    </xdr:to>
    <xdr:sp macro="" textlink="">
      <xdr:nvSpPr>
        <xdr:cNvPr id="14" name="Rectangle 16"/>
        <xdr:cNvSpPr>
          <a:spLocks noChangeArrowheads="1"/>
        </xdr:cNvSpPr>
      </xdr:nvSpPr>
      <xdr:spPr bwMode="auto">
        <a:xfrm>
          <a:off x="1551454" y="12883587"/>
          <a:ext cx="884028" cy="1182222"/>
        </a:xfrm>
        <a:prstGeom prst="rect">
          <a:avLst/>
        </a:prstGeom>
        <a:solidFill>
          <a:srgbClr val="FFFFFF"/>
        </a:solidFill>
        <a:ln w="9525">
          <a:solidFill>
            <a:srgbClr val="000000"/>
          </a:solidFill>
          <a:miter lim="800000"/>
          <a:headEnd/>
          <a:tailEnd/>
        </a:ln>
      </xdr:spPr>
    </xdr:sp>
    <xdr:clientData/>
  </xdr:twoCellAnchor>
  <xdr:twoCellAnchor>
    <xdr:from>
      <xdr:col>7</xdr:col>
      <xdr:colOff>5158</xdr:colOff>
      <xdr:row>80</xdr:row>
      <xdr:rowOff>132293</xdr:rowOff>
    </xdr:from>
    <xdr:to>
      <xdr:col>7</xdr:col>
      <xdr:colOff>177651</xdr:colOff>
      <xdr:row>81</xdr:row>
      <xdr:rowOff>131253</xdr:rowOff>
    </xdr:to>
    <xdr:sp macro="" textlink="">
      <xdr:nvSpPr>
        <xdr:cNvPr id="15" name="Rectangle 17"/>
        <xdr:cNvSpPr>
          <a:spLocks noChangeArrowheads="1"/>
        </xdr:cNvSpPr>
      </xdr:nvSpPr>
      <xdr:spPr bwMode="auto">
        <a:xfrm>
          <a:off x="1605358" y="13848293"/>
          <a:ext cx="172493" cy="170410"/>
        </a:xfrm>
        <a:prstGeom prst="rect">
          <a:avLst/>
        </a:prstGeom>
        <a:solidFill>
          <a:srgbClr val="9999FF"/>
        </a:solidFill>
        <a:ln w="9525">
          <a:solidFill>
            <a:srgbClr val="000000"/>
          </a:solidFill>
          <a:miter lim="800000"/>
          <a:headEnd/>
          <a:tailEnd/>
        </a:ln>
      </xdr:spPr>
    </xdr:sp>
    <xdr:clientData/>
  </xdr:twoCellAnchor>
  <xdr:twoCellAnchor>
    <xdr:from>
      <xdr:col>7</xdr:col>
      <xdr:colOff>5158</xdr:colOff>
      <xdr:row>79</xdr:row>
      <xdr:rowOff>80080</xdr:rowOff>
    </xdr:from>
    <xdr:to>
      <xdr:col>7</xdr:col>
      <xdr:colOff>177651</xdr:colOff>
      <xdr:row>80</xdr:row>
      <xdr:rowOff>79040</xdr:rowOff>
    </xdr:to>
    <xdr:sp macro="" textlink="">
      <xdr:nvSpPr>
        <xdr:cNvPr id="16" name="Rectangle 18" descr="20%"/>
        <xdr:cNvSpPr>
          <a:spLocks noChangeArrowheads="1"/>
        </xdr:cNvSpPr>
      </xdr:nvSpPr>
      <xdr:spPr bwMode="auto">
        <a:xfrm>
          <a:off x="1605358" y="13624630"/>
          <a:ext cx="172493" cy="170410"/>
        </a:xfrm>
        <a:prstGeom prst="rect">
          <a:avLst/>
        </a:prstGeom>
        <a:pattFill prst="pct2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78</xdr:row>
      <xdr:rowOff>38517</xdr:rowOff>
    </xdr:from>
    <xdr:to>
      <xdr:col>7</xdr:col>
      <xdr:colOff>177651</xdr:colOff>
      <xdr:row>79</xdr:row>
      <xdr:rowOff>37477</xdr:rowOff>
    </xdr:to>
    <xdr:sp macro="" textlink="">
      <xdr:nvSpPr>
        <xdr:cNvPr id="17" name="Rectangle 19"/>
        <xdr:cNvSpPr>
          <a:spLocks noChangeArrowheads="1"/>
        </xdr:cNvSpPr>
      </xdr:nvSpPr>
      <xdr:spPr bwMode="auto">
        <a:xfrm>
          <a:off x="1605358" y="13411617"/>
          <a:ext cx="172493" cy="170410"/>
        </a:xfrm>
        <a:prstGeom prst="rect">
          <a:avLst/>
        </a:prstGeom>
        <a:solidFill>
          <a:srgbClr val="FFFF99"/>
        </a:solidFill>
        <a:ln w="9525">
          <a:solidFill>
            <a:srgbClr val="000000"/>
          </a:solidFill>
          <a:miter lim="800000"/>
          <a:headEnd/>
          <a:tailEnd/>
        </a:ln>
      </xdr:spPr>
    </xdr:sp>
    <xdr:clientData/>
  </xdr:twoCellAnchor>
  <xdr:twoCellAnchor>
    <xdr:from>
      <xdr:col>7</xdr:col>
      <xdr:colOff>5158</xdr:colOff>
      <xdr:row>76</xdr:row>
      <xdr:rowOff>168404</xdr:rowOff>
    </xdr:from>
    <xdr:to>
      <xdr:col>7</xdr:col>
      <xdr:colOff>177651</xdr:colOff>
      <xdr:row>77</xdr:row>
      <xdr:rowOff>167364</xdr:rowOff>
    </xdr:to>
    <xdr:sp macro="" textlink="">
      <xdr:nvSpPr>
        <xdr:cNvPr id="18" name="Rectangle 20" descr="30%"/>
        <xdr:cNvSpPr>
          <a:spLocks noChangeArrowheads="1"/>
        </xdr:cNvSpPr>
      </xdr:nvSpPr>
      <xdr:spPr bwMode="auto">
        <a:xfrm>
          <a:off x="1605358" y="13198604"/>
          <a:ext cx="172493" cy="170410"/>
        </a:xfrm>
        <a:prstGeom prst="rect">
          <a:avLst/>
        </a:prstGeom>
        <a:pattFill prst="pct30">
          <a:fgClr>
            <a:srgbClr val="000000"/>
          </a:fgClr>
          <a:bgClr>
            <a:srgbClr val="FFFFFF"/>
          </a:bgClr>
        </a:pattFill>
        <a:ln w="9525">
          <a:solidFill>
            <a:srgbClr val="000000"/>
          </a:solidFill>
          <a:miter lim="800000"/>
          <a:headEnd/>
          <a:tailEnd/>
        </a:ln>
      </xdr:spPr>
    </xdr:sp>
    <xdr:clientData/>
  </xdr:twoCellAnchor>
  <xdr:twoCellAnchor>
    <xdr:from>
      <xdr:col>7</xdr:col>
      <xdr:colOff>5158</xdr:colOff>
      <xdr:row>75</xdr:row>
      <xdr:rowOff>126841</xdr:rowOff>
    </xdr:from>
    <xdr:to>
      <xdr:col>7</xdr:col>
      <xdr:colOff>177651</xdr:colOff>
      <xdr:row>76</xdr:row>
      <xdr:rowOff>125801</xdr:rowOff>
    </xdr:to>
    <xdr:sp macro="" textlink="">
      <xdr:nvSpPr>
        <xdr:cNvPr id="19" name="Rectangle 21"/>
        <xdr:cNvSpPr>
          <a:spLocks noChangeArrowheads="1"/>
        </xdr:cNvSpPr>
      </xdr:nvSpPr>
      <xdr:spPr bwMode="auto">
        <a:xfrm>
          <a:off x="1605358" y="12985591"/>
          <a:ext cx="172493" cy="170410"/>
        </a:xfrm>
        <a:prstGeom prst="rect">
          <a:avLst/>
        </a:prstGeom>
        <a:solidFill>
          <a:srgbClr val="66FFCC"/>
        </a:solidFill>
        <a:ln w="9525">
          <a:solidFill>
            <a:srgbClr val="000000"/>
          </a:solidFill>
          <a:miter lim="800000"/>
          <a:headEnd/>
          <a:tailEnd/>
        </a:ln>
      </xdr:spPr>
    </xdr:sp>
    <xdr:clientData/>
  </xdr:twoCellAnchor>
  <xdr:twoCellAnchor>
    <xdr:from>
      <xdr:col>27</xdr:col>
      <xdr:colOff>95249</xdr:colOff>
      <xdr:row>49</xdr:row>
      <xdr:rowOff>68036</xdr:rowOff>
    </xdr:from>
    <xdr:to>
      <xdr:col>31</xdr:col>
      <xdr:colOff>118781</xdr:colOff>
      <xdr:row>56</xdr:row>
      <xdr:rowOff>50108</xdr:rowOff>
    </xdr:to>
    <xdr:grpSp>
      <xdr:nvGrpSpPr>
        <xdr:cNvPr id="20" name="Group 27"/>
        <xdr:cNvGrpSpPr>
          <a:grpSpLocks/>
        </xdr:cNvGrpSpPr>
      </xdr:nvGrpSpPr>
      <xdr:grpSpPr bwMode="auto">
        <a:xfrm>
          <a:off x="6267449" y="8469086"/>
          <a:ext cx="937932" cy="1182222"/>
          <a:chOff x="748" y="862"/>
          <a:chExt cx="87" cy="111"/>
        </a:xfrm>
      </xdr:grpSpPr>
      <xdr:sp macro="" textlink="">
        <xdr:nvSpPr>
          <xdr:cNvPr id="21" name="Rectangle 16"/>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2" name="Rectangle 17"/>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3" name="Rectangle 18" descr="20%"/>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4" name="Rectangle 19"/>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5" name="Rectangle 20" descr="30%"/>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6" name="Rectangle 21"/>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7" name="Text Box 22"/>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3"/>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4"/>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2</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0" name="Text Box 25"/>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1</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1" name="Text Box 26"/>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課税年度</a:t>
            </a:r>
          </a:p>
        </xdr:txBody>
      </xdr:sp>
    </xdr:grpSp>
    <xdr:clientData/>
  </xdr:twoCellAnchor>
</xdr:wsDr>
</file>

<file path=xl/drawings/drawing11.xml><?xml version="1.0" encoding="utf-8"?>
<c:userShapes xmlns:c="http://schemas.openxmlformats.org/drawingml/2006/chart">
  <cdr:relSizeAnchor xmlns:cdr="http://schemas.openxmlformats.org/drawingml/2006/chartDrawing">
    <cdr:from>
      <cdr:x>0.14493</cdr:x>
      <cdr:y>0.20004</cdr:y>
    </cdr:from>
    <cdr:to>
      <cdr:x>0.22793</cdr:x>
      <cdr:y>0.2414</cdr:y>
    </cdr:to>
    <cdr:sp macro="" textlink="">
      <cdr:nvSpPr>
        <cdr:cNvPr id="2" name="正方形/長方形 1"/>
        <cdr:cNvSpPr/>
      </cdr:nvSpPr>
      <cdr:spPr bwMode="auto">
        <a:xfrm xmlns:a="http://schemas.openxmlformats.org/drawingml/2006/main">
          <a:off x="1047748" y="1013687"/>
          <a:ext cx="600047" cy="20958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0.1</a:t>
          </a:r>
          <a:r>
            <a:rPr lang="ja-JP" altLang="en-US"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a:t>
          </a:r>
          <a:endParaRPr 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endParaRP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6353175" cy="8982075"/>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0.90498</cdr:x>
      <cdr:y>0.22791</cdr:y>
    </cdr:from>
    <cdr:to>
      <cdr:x>0.96573</cdr:x>
      <cdr:y>0.25016</cdr:y>
    </cdr:to>
    <cdr:sp macro="" textlink="">
      <cdr:nvSpPr>
        <cdr:cNvPr id="21509" name="Text Box 5"/>
        <cdr:cNvSpPr txBox="1">
          <a:spLocks xmlns:a="http://schemas.openxmlformats.org/drawingml/2006/main" noChangeArrowheads="1"/>
        </cdr:cNvSpPr>
      </cdr:nvSpPr>
      <cdr:spPr bwMode="auto">
        <a:xfrm xmlns:a="http://schemas.openxmlformats.org/drawingml/2006/main">
          <a:off x="5430568" y="2001530"/>
          <a:ext cx="364546" cy="195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254.7</a:t>
          </a:r>
        </a:p>
      </cdr:txBody>
    </cdr:sp>
  </cdr:relSizeAnchor>
  <cdr:relSizeAnchor xmlns:cdr="http://schemas.openxmlformats.org/drawingml/2006/chartDrawing">
    <cdr:from>
      <cdr:x>0.91127</cdr:x>
      <cdr:y>0.37211</cdr:y>
    </cdr:from>
    <cdr:to>
      <cdr:x>0.98027</cdr:x>
      <cdr:y>0.39086</cdr:y>
    </cdr:to>
    <cdr:sp macro="" textlink="">
      <cdr:nvSpPr>
        <cdr:cNvPr id="21511" name="Text Box 7"/>
        <cdr:cNvSpPr txBox="1">
          <a:spLocks xmlns:a="http://schemas.openxmlformats.org/drawingml/2006/main" noChangeArrowheads="1"/>
        </cdr:cNvSpPr>
      </cdr:nvSpPr>
      <cdr:spPr bwMode="auto">
        <a:xfrm xmlns:a="http://schemas.openxmlformats.org/drawingml/2006/main">
          <a:off x="5789463" y="3342321"/>
          <a:ext cx="438369" cy="1684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200.9</a:t>
          </a:r>
        </a:p>
      </cdr:txBody>
    </cdr:sp>
  </cdr:relSizeAnchor>
  <cdr:relSizeAnchor xmlns:cdr="http://schemas.openxmlformats.org/drawingml/2006/chartDrawing">
    <cdr:from>
      <cdr:x>0.92518</cdr:x>
      <cdr:y>0.65536</cdr:y>
    </cdr:from>
    <cdr:to>
      <cdr:x>0.99168</cdr:x>
      <cdr:y>0.67697</cdr:y>
    </cdr:to>
    <cdr:sp macro="" textlink="">
      <cdr:nvSpPr>
        <cdr:cNvPr id="21512" name="Text Box 8"/>
        <cdr:cNvSpPr txBox="1">
          <a:spLocks xmlns:a="http://schemas.openxmlformats.org/drawingml/2006/main" noChangeArrowheads="1"/>
        </cdr:cNvSpPr>
      </cdr:nvSpPr>
      <cdr:spPr bwMode="auto">
        <a:xfrm xmlns:a="http://schemas.openxmlformats.org/drawingml/2006/main">
          <a:off x="5877813" y="5886450"/>
          <a:ext cx="422486" cy="1941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94.8</a:t>
          </a:r>
        </a:p>
      </cdr:txBody>
    </cdr:sp>
  </cdr:relSizeAnchor>
  <cdr:relSizeAnchor xmlns:cdr="http://schemas.openxmlformats.org/drawingml/2006/chartDrawing">
    <cdr:from>
      <cdr:x>0.88077</cdr:x>
      <cdr:y>0.74842</cdr:y>
    </cdr:from>
    <cdr:to>
      <cdr:x>0.94602</cdr:x>
      <cdr:y>0.76617</cdr:y>
    </cdr:to>
    <cdr:sp macro="" textlink="">
      <cdr:nvSpPr>
        <cdr:cNvPr id="21513" name="Text Box 9"/>
        <cdr:cNvSpPr txBox="1">
          <a:spLocks xmlns:a="http://schemas.openxmlformats.org/drawingml/2006/main" noChangeArrowheads="1"/>
        </cdr:cNvSpPr>
      </cdr:nvSpPr>
      <cdr:spPr bwMode="auto">
        <a:xfrm xmlns:a="http://schemas.openxmlformats.org/drawingml/2006/main">
          <a:off x="5595683" y="6722387"/>
          <a:ext cx="414544" cy="15943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90.6</a:t>
          </a:r>
        </a:p>
      </cdr:txBody>
    </cdr:sp>
  </cdr:relSizeAnchor>
  <cdr:relSizeAnchor xmlns:cdr="http://schemas.openxmlformats.org/drawingml/2006/chartDrawing">
    <cdr:from>
      <cdr:x>0.92323</cdr:x>
      <cdr:y>0.8381</cdr:y>
    </cdr:from>
    <cdr:to>
      <cdr:x>0.98898</cdr:x>
      <cdr:y>0.8596</cdr:y>
    </cdr:to>
    <cdr:sp macro="" textlink="">
      <cdr:nvSpPr>
        <cdr:cNvPr id="21514" name="Text Box 10"/>
        <cdr:cNvSpPr txBox="1">
          <a:spLocks xmlns:a="http://schemas.openxmlformats.org/drawingml/2006/main" noChangeArrowheads="1"/>
        </cdr:cNvSpPr>
      </cdr:nvSpPr>
      <cdr:spPr bwMode="auto">
        <a:xfrm xmlns:a="http://schemas.openxmlformats.org/drawingml/2006/main">
          <a:off x="5865440" y="7527845"/>
          <a:ext cx="417721" cy="1931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57.2</a:t>
          </a:r>
        </a:p>
      </cdr:txBody>
    </cdr:sp>
  </cdr:relSizeAnchor>
  <cdr:relSizeAnchor xmlns:cdr="http://schemas.openxmlformats.org/drawingml/2006/chartDrawing">
    <cdr:from>
      <cdr:x>0.92449</cdr:x>
      <cdr:y>0.91222</cdr:y>
    </cdr:from>
    <cdr:to>
      <cdr:x>0.98549</cdr:x>
      <cdr:y>0.93303</cdr:y>
    </cdr:to>
    <cdr:sp macro="" textlink="">
      <cdr:nvSpPr>
        <cdr:cNvPr id="21515" name="Text Box 11"/>
        <cdr:cNvSpPr txBox="1">
          <a:spLocks xmlns:a="http://schemas.openxmlformats.org/drawingml/2006/main" noChangeArrowheads="1"/>
        </cdr:cNvSpPr>
      </cdr:nvSpPr>
      <cdr:spPr bwMode="auto">
        <a:xfrm xmlns:a="http://schemas.openxmlformats.org/drawingml/2006/main">
          <a:off x="5873453" y="8193616"/>
          <a:ext cx="387544" cy="1869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25.4</a:t>
          </a:r>
        </a:p>
      </cdr:txBody>
    </cdr:sp>
  </cdr:relSizeAnchor>
  <cdr:relSizeAnchor xmlns:cdr="http://schemas.openxmlformats.org/drawingml/2006/chartDrawing">
    <cdr:from>
      <cdr:x>0.89856</cdr:x>
      <cdr:y>0.20589</cdr:y>
    </cdr:from>
    <cdr:to>
      <cdr:x>0.99206</cdr:x>
      <cdr:y>0.22964</cdr:y>
    </cdr:to>
    <cdr:sp macro="" textlink="">
      <cdr:nvSpPr>
        <cdr:cNvPr id="21516" name="Text Box 12"/>
        <cdr:cNvSpPr txBox="1">
          <a:spLocks xmlns:a="http://schemas.openxmlformats.org/drawingml/2006/main" noChangeArrowheads="1"/>
        </cdr:cNvSpPr>
      </cdr:nvSpPr>
      <cdr:spPr bwMode="auto">
        <a:xfrm xmlns:a="http://schemas.openxmlformats.org/drawingml/2006/main">
          <a:off x="5392055" y="1808142"/>
          <a:ext cx="561070" cy="208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扶助費</a:t>
          </a:r>
        </a:p>
      </cdr:txBody>
    </cdr:sp>
  </cdr:relSizeAnchor>
  <cdr:relSizeAnchor xmlns:cdr="http://schemas.openxmlformats.org/drawingml/2006/chartDrawing">
    <cdr:from>
      <cdr:x>0.90324</cdr:x>
      <cdr:y>0.35075</cdr:y>
    </cdr:from>
    <cdr:to>
      <cdr:x>0.99515</cdr:x>
      <cdr:y>0.37367</cdr:y>
    </cdr:to>
    <cdr:sp macro="" textlink="">
      <cdr:nvSpPr>
        <cdr:cNvPr id="21518" name="Text Box 14"/>
        <cdr:cNvSpPr txBox="1">
          <a:spLocks xmlns:a="http://schemas.openxmlformats.org/drawingml/2006/main" noChangeArrowheads="1"/>
        </cdr:cNvSpPr>
      </cdr:nvSpPr>
      <cdr:spPr bwMode="auto">
        <a:xfrm xmlns:a="http://schemas.openxmlformats.org/drawingml/2006/main">
          <a:off x="5738437" y="3150456"/>
          <a:ext cx="583920" cy="2058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公債費</a:t>
          </a:r>
        </a:p>
      </cdr:txBody>
    </cdr:sp>
  </cdr:relSizeAnchor>
  <cdr:relSizeAnchor xmlns:cdr="http://schemas.openxmlformats.org/drawingml/2006/chartDrawing">
    <cdr:from>
      <cdr:x>0.86371</cdr:x>
      <cdr:y>0.63492</cdr:y>
    </cdr:from>
    <cdr:to>
      <cdr:x>1</cdr:x>
      <cdr:y>0.65608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487301" y="5702905"/>
          <a:ext cx="865874" cy="190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地方税（市税）</a:t>
          </a:r>
        </a:p>
      </cdr:txBody>
    </cdr:sp>
  </cdr:relSizeAnchor>
  <cdr:relSizeAnchor xmlns:cdr="http://schemas.openxmlformats.org/drawingml/2006/chartDrawing">
    <cdr:from>
      <cdr:x>0.86492</cdr:x>
      <cdr:y>0.72624</cdr:y>
    </cdr:from>
    <cdr:to>
      <cdr:x>0.94367</cdr:x>
      <cdr:y>0.74849</cdr:y>
    </cdr:to>
    <cdr:sp macro="" textlink="">
      <cdr:nvSpPr>
        <cdr:cNvPr id="21520" name="Text Box 16"/>
        <cdr:cNvSpPr txBox="1">
          <a:spLocks xmlns:a="http://schemas.openxmlformats.org/drawingml/2006/main" noChangeArrowheads="1"/>
        </cdr:cNvSpPr>
      </cdr:nvSpPr>
      <cdr:spPr bwMode="auto">
        <a:xfrm xmlns:a="http://schemas.openxmlformats.org/drawingml/2006/main">
          <a:off x="5494994" y="6523160"/>
          <a:ext cx="500313" cy="19985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人件費</a:t>
          </a:r>
        </a:p>
      </cdr:txBody>
    </cdr:sp>
  </cdr:relSizeAnchor>
  <cdr:relSizeAnchor xmlns:cdr="http://schemas.openxmlformats.org/drawingml/2006/chartDrawing">
    <cdr:from>
      <cdr:x>0.8225</cdr:x>
      <cdr:y>0.80162</cdr:y>
    </cdr:from>
    <cdr:to>
      <cdr:x>1</cdr:x>
      <cdr:y>0.84934</cdr:y>
    </cdr:to>
    <cdr:sp macro="" textlink="">
      <cdr:nvSpPr>
        <cdr:cNvPr id="21522" name="Text Box 18"/>
        <cdr:cNvSpPr txBox="1">
          <a:spLocks xmlns:a="http://schemas.openxmlformats.org/drawingml/2006/main" noChangeArrowheads="1"/>
        </cdr:cNvSpPr>
      </cdr:nvSpPr>
      <cdr:spPr bwMode="auto">
        <a:xfrm xmlns:a="http://schemas.openxmlformats.org/drawingml/2006/main">
          <a:off x="5225486" y="7200191"/>
          <a:ext cx="1127689" cy="4286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固定資産税（土地）</a:t>
          </a:r>
        </a:p>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都市計画税（土地）</a:t>
          </a:r>
        </a:p>
      </cdr:txBody>
    </cdr:sp>
  </cdr:relSizeAnchor>
  <cdr:relSizeAnchor xmlns:cdr="http://schemas.openxmlformats.org/drawingml/2006/chartDrawing">
    <cdr:from>
      <cdr:x>0.87325</cdr:x>
      <cdr:y>0.89446</cdr:y>
    </cdr:from>
    <cdr:to>
      <cdr:x>1</cdr:x>
      <cdr:y>0.91496</cdr:y>
    </cdr:to>
    <cdr:sp macro="" textlink="">
      <cdr:nvSpPr>
        <cdr:cNvPr id="21523" name="Text Box 19"/>
        <cdr:cNvSpPr txBox="1">
          <a:spLocks xmlns:a="http://schemas.openxmlformats.org/drawingml/2006/main" noChangeArrowheads="1"/>
        </cdr:cNvSpPr>
      </cdr:nvSpPr>
      <cdr:spPr bwMode="auto">
        <a:xfrm xmlns:a="http://schemas.openxmlformats.org/drawingml/2006/main">
          <a:off x="5240155" y="7855214"/>
          <a:ext cx="760595" cy="18003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投資的経費</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xdr:cNvSpPr>
          <a:spLocks/>
        </xdr:cNvSpPr>
      </xdr:nvSpPr>
      <xdr:spPr bwMode="auto">
        <a:xfrm>
          <a:off x="1800225" y="1838325"/>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19050</xdr:colOff>
      <xdr:row>18</xdr:row>
      <xdr:rowOff>161926</xdr:rowOff>
    </xdr:from>
    <xdr:to>
      <xdr:col>7</xdr:col>
      <xdr:colOff>447675</xdr:colOff>
      <xdr:row>21</xdr:row>
      <xdr:rowOff>123825</xdr:rowOff>
    </xdr:to>
    <xdr:sp macro="" textlink="">
      <xdr:nvSpPr>
        <xdr:cNvPr id="3" name="AutoShape 2"/>
        <xdr:cNvSpPr>
          <a:spLocks noChangeArrowheads="1"/>
        </xdr:cNvSpPr>
      </xdr:nvSpPr>
      <xdr:spPr bwMode="auto">
        <a:xfrm>
          <a:off x="2619375" y="3771901"/>
          <a:ext cx="2543175" cy="704849"/>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6733761" cy="985630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0.87778</cdr:x>
      <cdr:y>0.29346</cdr:y>
    </cdr:from>
    <cdr:to>
      <cdr:x>0.90743</cdr:x>
      <cdr:y>0.32185</cdr:y>
    </cdr:to>
    <cdr:sp macro="" textlink="">
      <cdr:nvSpPr>
        <cdr:cNvPr id="94210" name="Line 2"/>
        <cdr:cNvSpPr>
          <a:spLocks xmlns:a="http://schemas.openxmlformats.org/drawingml/2006/main" noChangeShapeType="1"/>
        </cdr:cNvSpPr>
      </cdr:nvSpPr>
      <cdr:spPr bwMode="auto">
        <a:xfrm xmlns:a="http://schemas.openxmlformats.org/drawingml/2006/main" flipH="1">
          <a:off x="5888934" y="2892443"/>
          <a:ext cx="198915" cy="2797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0.40852</cdr:y>
    </cdr:from>
    <cdr:to>
      <cdr:x>0.9046</cdr:x>
      <cdr:y>0.42857</cdr:y>
    </cdr:to>
    <cdr:sp macro="" textlink="">
      <cdr:nvSpPr>
        <cdr:cNvPr id="94211" name="Line 3"/>
        <cdr:cNvSpPr>
          <a:spLocks xmlns:a="http://schemas.openxmlformats.org/drawingml/2006/main" noChangeShapeType="1"/>
        </cdr:cNvSpPr>
      </cdr:nvSpPr>
      <cdr:spPr bwMode="auto">
        <a:xfrm xmlns:a="http://schemas.openxmlformats.org/drawingml/2006/main" flipH="1">
          <a:off x="5897216" y="4026508"/>
          <a:ext cx="171683" cy="1976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0.50252</cdr:y>
    </cdr:from>
    <cdr:to>
      <cdr:x>0.90724</cdr:x>
      <cdr:y>0.52481</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897216" y="4952999"/>
          <a:ext cx="189395" cy="2196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0.63445</cdr:y>
    </cdr:from>
    <cdr:to>
      <cdr:x>0.90602</cdr:x>
      <cdr:y>0.64122</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97216" y="6253369"/>
          <a:ext cx="181178" cy="6672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0.87778</cdr:x>
      <cdr:y>0.75699</cdr:y>
    </cdr:from>
    <cdr:to>
      <cdr:x>0.90581</cdr:x>
      <cdr:y>0.77563</cdr:y>
    </cdr:to>
    <cdr:sp macro="" textlink="">
      <cdr:nvSpPr>
        <cdr:cNvPr id="94214" name="Line 6"/>
        <cdr:cNvSpPr>
          <a:spLocks xmlns:a="http://schemas.openxmlformats.org/drawingml/2006/main" noChangeShapeType="1"/>
        </cdr:cNvSpPr>
      </cdr:nvSpPr>
      <cdr:spPr bwMode="auto">
        <a:xfrm xmlns:a="http://schemas.openxmlformats.org/drawingml/2006/main" flipH="1">
          <a:off x="5888934" y="7461129"/>
          <a:ext cx="188071" cy="1837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0.1322</cdr:x>
      <cdr:y>0.16826</cdr:y>
    </cdr:from>
    <cdr:to>
      <cdr:x>0.22345</cdr:x>
      <cdr:y>0.20901</cdr:y>
    </cdr:to>
    <cdr:sp macro="" textlink="">
      <cdr:nvSpPr>
        <cdr:cNvPr id="94215" name="Text Box 7"/>
        <cdr:cNvSpPr txBox="1">
          <a:spLocks xmlns:a="http://schemas.openxmlformats.org/drawingml/2006/main" noChangeArrowheads="1"/>
        </cdr:cNvSpPr>
      </cdr:nvSpPr>
      <cdr:spPr bwMode="auto">
        <a:xfrm xmlns:a="http://schemas.openxmlformats.org/drawingml/2006/main">
          <a:off x="886949" y="1658412"/>
          <a:ext cx="612189" cy="4016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0.22354</cdr:x>
      <cdr:y>0.12341</cdr:y>
    </cdr:from>
    <cdr:to>
      <cdr:x>0.32629</cdr:x>
      <cdr:y>0.16041</cdr:y>
    </cdr:to>
    <cdr:sp macro="" textlink="">
      <cdr:nvSpPr>
        <cdr:cNvPr id="94216" name="Text Box 8"/>
        <cdr:cNvSpPr txBox="1">
          <a:spLocks xmlns:a="http://schemas.openxmlformats.org/drawingml/2006/main" noChangeArrowheads="1"/>
        </cdr:cNvSpPr>
      </cdr:nvSpPr>
      <cdr:spPr bwMode="auto">
        <a:xfrm xmlns:a="http://schemas.openxmlformats.org/drawingml/2006/main">
          <a:off x="1499704" y="1216350"/>
          <a:ext cx="689341"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19,715</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0.32652</cdr:x>
      <cdr:y>0.2107</cdr:y>
    </cdr:from>
    <cdr:to>
      <cdr:x>0.41777</cdr:x>
      <cdr:y>0.2466</cdr:y>
    </cdr:to>
    <cdr:sp macro="" textlink="">
      <cdr:nvSpPr>
        <cdr:cNvPr id="94217" name="Text Box 9"/>
        <cdr:cNvSpPr txBox="1">
          <a:spLocks xmlns:a="http://schemas.openxmlformats.org/drawingml/2006/main" noChangeArrowheads="1"/>
        </cdr:cNvSpPr>
      </cdr:nvSpPr>
      <cdr:spPr bwMode="auto">
        <a:xfrm xmlns:a="http://schemas.openxmlformats.org/drawingml/2006/main">
          <a:off x="2190588" y="2076700"/>
          <a:ext cx="612189" cy="353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17,200</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0.42267</cdr:x>
      <cdr:y>0.2678</cdr:y>
    </cdr:from>
    <cdr:to>
      <cdr:x>0.51617</cdr:x>
      <cdr:y>0.3048</cdr:y>
    </cdr:to>
    <cdr:sp macro="" textlink="">
      <cdr:nvSpPr>
        <cdr:cNvPr id="94224" name="Text Box 16"/>
        <cdr:cNvSpPr txBox="1">
          <a:spLocks xmlns:a="http://schemas.openxmlformats.org/drawingml/2006/main" noChangeArrowheads="1"/>
        </cdr:cNvSpPr>
      </cdr:nvSpPr>
      <cdr:spPr bwMode="auto">
        <a:xfrm xmlns:a="http://schemas.openxmlformats.org/drawingml/2006/main">
          <a:off x="2835650" y="2639508"/>
          <a:ext cx="627284"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15,529</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0.80499</cdr:x>
      <cdr:y>0.1973</cdr:y>
    </cdr:from>
    <cdr:to>
      <cdr:x>0.89749</cdr:x>
      <cdr:y>0.2343</cdr:y>
    </cdr:to>
    <cdr:sp macro="" textlink="">
      <cdr:nvSpPr>
        <cdr:cNvPr id="23" name="Text Box 21"/>
        <cdr:cNvSpPr txBox="1">
          <a:spLocks xmlns:a="http://schemas.openxmlformats.org/drawingml/2006/main" noChangeArrowheads="1"/>
        </cdr:cNvSpPr>
      </cdr:nvSpPr>
      <cdr:spPr bwMode="auto">
        <a:xfrm xmlns:a="http://schemas.openxmlformats.org/drawingml/2006/main">
          <a:off x="5420630" y="1944680"/>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17,586</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0.13215</cdr:x>
      <cdr:y>0.84569</cdr:y>
    </cdr:from>
    <cdr:to>
      <cdr:x>0.2234</cdr:x>
      <cdr:y>0.86845</cdr:y>
    </cdr:to>
    <cdr:sp macro="" textlink="">
      <cdr:nvSpPr>
        <cdr:cNvPr id="19" name="Text Box 7"/>
        <cdr:cNvSpPr txBox="1">
          <a:spLocks xmlns:a="http://schemas.openxmlformats.org/drawingml/2006/main" noChangeArrowheads="1"/>
        </cdr:cNvSpPr>
      </cdr:nvSpPr>
      <cdr:spPr bwMode="auto">
        <a:xfrm xmlns:a="http://schemas.openxmlformats.org/drawingml/2006/main">
          <a:off x="887413" y="8337174"/>
          <a:ext cx="612755" cy="224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0.20488</cdr:x>
      <cdr:y>0.84556</cdr:y>
    </cdr:from>
    <cdr:to>
      <cdr:x>0.33909</cdr:x>
      <cdr:y>0.86786</cdr:y>
    </cdr:to>
    <cdr:sp macro="" textlink="">
      <cdr:nvSpPr>
        <cdr:cNvPr id="20" name="Text Box 7"/>
        <cdr:cNvSpPr txBox="1">
          <a:spLocks xmlns:a="http://schemas.openxmlformats.org/drawingml/2006/main" noChangeArrowheads="1"/>
        </cdr:cNvSpPr>
      </cdr:nvSpPr>
      <cdr:spPr bwMode="auto">
        <a:xfrm xmlns:a="http://schemas.openxmlformats.org/drawingml/2006/main">
          <a:off x="1375790" y="8335879"/>
          <a:ext cx="901237" cy="219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0.51973</cdr:x>
      <cdr:y>0.23629</cdr:y>
    </cdr:from>
    <cdr:to>
      <cdr:x>0.61223</cdr:x>
      <cdr:y>0.27329</cdr:y>
    </cdr:to>
    <cdr:sp macro="" textlink="">
      <cdr:nvSpPr>
        <cdr:cNvPr id="27" name="Text Box 21"/>
        <cdr:cNvSpPr txBox="1">
          <a:spLocks xmlns:a="http://schemas.openxmlformats.org/drawingml/2006/main" noChangeArrowheads="1"/>
        </cdr:cNvSpPr>
      </cdr:nvSpPr>
      <cdr:spPr bwMode="auto">
        <a:xfrm xmlns:a="http://schemas.openxmlformats.org/drawingml/2006/main">
          <a:off x="3499731" y="2328926"/>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16,301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0.61008</cdr:x>
      <cdr:y>0.2489</cdr:y>
    </cdr:from>
    <cdr:to>
      <cdr:x>0.70258</cdr:x>
      <cdr:y>0.2859</cdr:y>
    </cdr:to>
    <cdr:sp macro="" textlink="">
      <cdr:nvSpPr>
        <cdr:cNvPr id="21" name="Text Box 21"/>
        <cdr:cNvSpPr txBox="1">
          <a:spLocks xmlns:a="http://schemas.openxmlformats.org/drawingml/2006/main" noChangeArrowheads="1"/>
        </cdr:cNvSpPr>
      </cdr:nvSpPr>
      <cdr:spPr bwMode="auto">
        <a:xfrm xmlns:a="http://schemas.openxmlformats.org/drawingml/2006/main">
          <a:off x="4108126" y="2453188"/>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15,728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0.16446</cdr:x>
      <cdr:y>0.87122</cdr:y>
    </cdr:from>
    <cdr:to>
      <cdr:x>0.87634</cdr:x>
      <cdr:y>0.94469</cdr:y>
    </cdr:to>
    <mc:AlternateContent xmlns:mc="http://schemas.openxmlformats.org/markup-compatibility/2006" xmlns:a14="http://schemas.microsoft.com/office/drawing/2010/main">
      <mc:Choice Requires="a14">
        <cdr:pic>
          <cdr:nvPicPr>
            <cdr:cNvPr id="137217" name="Picture 1"/>
            <cdr:cNvPicPr>
              <a:picLocks xmlns:a="http://schemas.openxmlformats.org/drawingml/2006/main" noChangeAspect="1" noChangeArrowheads="1"/>
              <a:extLst xmlns:a="http://schemas.openxmlformats.org/drawingml/2006/main">
                <a:ext uri="{84589F7E-364E-4C9E-8A38-B11213B215E9}">
                  <a14:cameraTool cellRange="頁４データ!$B$64:$N$69" spid="_x0000_s137789"/>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104901" y="8586043"/>
              <a:ext cx="4782598" cy="724078"/>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0.7061</cdr:x>
      <cdr:y>0.20342</cdr:y>
    </cdr:from>
    <cdr:to>
      <cdr:x>0.7986</cdr:x>
      <cdr:y>0.24042</cdr:y>
    </cdr:to>
    <cdr:sp macro="" textlink="">
      <cdr:nvSpPr>
        <cdr:cNvPr id="26" name="Text Box 21"/>
        <cdr:cNvSpPr txBox="1">
          <a:spLocks xmlns:a="http://schemas.openxmlformats.org/drawingml/2006/main" noChangeArrowheads="1"/>
        </cdr:cNvSpPr>
      </cdr:nvSpPr>
      <cdr:spPr bwMode="auto">
        <a:xfrm xmlns:a="http://schemas.openxmlformats.org/drawingml/2006/main">
          <a:off x="4754702" y="2004969"/>
          <a:ext cx="622873" cy="3646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17,408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13</xdr:col>
          <xdr:colOff>161925</xdr:colOff>
          <xdr:row>96</xdr:row>
          <xdr:rowOff>57150</xdr:rowOff>
        </xdr:to>
        <xdr:pic>
          <xdr:nvPicPr>
            <xdr:cNvPr id="150529" name="Picture 1"/>
            <xdr:cNvPicPr>
              <a:picLocks noChangeAspect="1" noChangeArrowheads="1"/>
              <a:extLst>
                <a:ext uri="{84589F7E-364E-4C9E-8A38-B11213B215E9}">
                  <a14:cameraTool cellRange="$B$64:$N$69" spid="_x0000_s151113"/>
                </a:ext>
              </a:extLst>
            </xdr:cNvPicPr>
          </xdr:nvPicPr>
          <xdr:blipFill>
            <a:blip xmlns:r="http://schemas.openxmlformats.org/officeDocument/2006/relationships" r:embed="rId1"/>
            <a:srcRect/>
            <a:stretch>
              <a:fillRect/>
            </a:stretch>
          </xdr:blipFill>
          <xdr:spPr bwMode="auto">
            <a:xfrm>
              <a:off x="1485900" y="15840075"/>
              <a:ext cx="5181600" cy="904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absoluteAnchor>
    <xdr:pos x="0" y="0"/>
    <xdr:ext cx="6733442" cy="999392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0.83804</cdr:x>
      <cdr:y>0.28732</cdr:y>
    </cdr:from>
    <cdr:to>
      <cdr:x>0.87524</cdr:x>
      <cdr:y>0.31057</cdr:y>
    </cdr:to>
    <cdr:sp macro="" textlink="">
      <cdr:nvSpPr>
        <cdr:cNvPr id="93186" name="Line 2"/>
        <cdr:cNvSpPr>
          <a:spLocks xmlns:a="http://schemas.openxmlformats.org/drawingml/2006/main" noChangeShapeType="1"/>
        </cdr:cNvSpPr>
      </cdr:nvSpPr>
      <cdr:spPr bwMode="auto">
        <a:xfrm xmlns:a="http://schemas.openxmlformats.org/drawingml/2006/main" flipH="1" flipV="1">
          <a:off x="5648187" y="2874503"/>
          <a:ext cx="250743" cy="2326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0.83821</cdr:x>
      <cdr:y>0.45634</cdr:y>
    </cdr:from>
    <cdr:to>
      <cdr:x>0.87622</cdr:x>
      <cdr:y>0.46487</cdr:y>
    </cdr:to>
    <cdr:sp macro="" textlink="">
      <cdr:nvSpPr>
        <cdr:cNvPr id="93199" name="Line 15"/>
        <cdr:cNvSpPr>
          <a:spLocks xmlns:a="http://schemas.openxmlformats.org/drawingml/2006/main" noChangeShapeType="1"/>
        </cdr:cNvSpPr>
      </cdr:nvSpPr>
      <cdr:spPr bwMode="auto">
        <a:xfrm xmlns:a="http://schemas.openxmlformats.org/drawingml/2006/main" flipH="1">
          <a:off x="5649310" y="4565431"/>
          <a:ext cx="256190" cy="853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0.48733</cdr:x>
      <cdr:y>0.54235</cdr:y>
    </cdr:from>
    <cdr:to>
      <cdr:x>0.50975</cdr:x>
      <cdr:y>0.55942</cdr:y>
    </cdr:to>
    <cdr:sp macro="" textlink="">
      <cdr:nvSpPr>
        <cdr:cNvPr id="114" name="Line 23"/>
        <cdr:cNvSpPr>
          <a:spLocks xmlns:a="http://schemas.openxmlformats.org/drawingml/2006/main" noChangeShapeType="1"/>
        </cdr:cNvSpPr>
      </cdr:nvSpPr>
      <cdr:spPr bwMode="auto">
        <a:xfrm xmlns:a="http://schemas.openxmlformats.org/drawingml/2006/main">
          <a:off x="3284483" y="5425965"/>
          <a:ext cx="151086" cy="1707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0.23782</cdr:x>
      <cdr:y>0.52068</cdr:y>
    </cdr:from>
    <cdr:to>
      <cdr:x>0.26803</cdr:x>
      <cdr:y>0.53907</cdr:y>
    </cdr:to>
    <cdr:sp macro="" textlink="">
      <cdr:nvSpPr>
        <cdr:cNvPr id="123" name="Line 8"/>
        <cdr:cNvSpPr>
          <a:spLocks xmlns:a="http://schemas.openxmlformats.org/drawingml/2006/main" noChangeShapeType="1"/>
        </cdr:cNvSpPr>
      </cdr:nvSpPr>
      <cdr:spPr bwMode="auto">
        <a:xfrm xmlns:a="http://schemas.openxmlformats.org/drawingml/2006/main" flipH="1">
          <a:off x="1602827" y="5209190"/>
          <a:ext cx="203637" cy="1839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0.58187</cdr:x>
      <cdr:y>0.54301</cdr:y>
    </cdr:from>
    <cdr:to>
      <cdr:x>0.60331</cdr:x>
      <cdr:y>0.56336</cdr:y>
    </cdr:to>
    <cdr:sp macro="" textlink="">
      <cdr:nvSpPr>
        <cdr:cNvPr id="126" name="Line 21"/>
        <cdr:cNvSpPr>
          <a:spLocks xmlns:a="http://schemas.openxmlformats.org/drawingml/2006/main" noChangeShapeType="1"/>
        </cdr:cNvSpPr>
      </cdr:nvSpPr>
      <cdr:spPr bwMode="auto">
        <a:xfrm xmlns:a="http://schemas.openxmlformats.org/drawingml/2006/main">
          <a:off x="3921672" y="5432534"/>
          <a:ext cx="144518" cy="2036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0.38986</cdr:x>
      <cdr:y>0.54498</cdr:y>
    </cdr:from>
    <cdr:to>
      <cdr:x>0.41228</cdr:x>
      <cdr:y>0.56664</cdr:y>
    </cdr:to>
    <cdr:sp macro="" textlink="">
      <cdr:nvSpPr>
        <cdr:cNvPr id="127" name="Line 23"/>
        <cdr:cNvSpPr>
          <a:spLocks xmlns:a="http://schemas.openxmlformats.org/drawingml/2006/main" noChangeShapeType="1"/>
        </cdr:cNvSpPr>
      </cdr:nvSpPr>
      <cdr:spPr bwMode="auto">
        <a:xfrm xmlns:a="http://schemas.openxmlformats.org/drawingml/2006/main">
          <a:off x="2627586" y="5452241"/>
          <a:ext cx="151086" cy="216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0.83431</cdr:x>
      <cdr:y>0.52988</cdr:y>
    </cdr:from>
    <cdr:to>
      <cdr:x>0.87329</cdr:x>
      <cdr:y>0.53447</cdr:y>
    </cdr:to>
    <cdr:sp macro="" textlink="">
      <cdr:nvSpPr>
        <cdr:cNvPr id="178" name="Line 5"/>
        <cdr:cNvSpPr>
          <a:spLocks xmlns:a="http://schemas.openxmlformats.org/drawingml/2006/main" noChangeShapeType="1"/>
        </cdr:cNvSpPr>
      </cdr:nvSpPr>
      <cdr:spPr bwMode="auto">
        <a:xfrm xmlns:a="http://schemas.openxmlformats.org/drawingml/2006/main" flipH="1">
          <a:off x="5623033" y="5301155"/>
          <a:ext cx="262760" cy="4598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0.83528</cdr:x>
      <cdr:y>0.56008</cdr:y>
    </cdr:from>
    <cdr:to>
      <cdr:x>0.87562</cdr:x>
      <cdr:y>0.59664</cdr:y>
    </cdr:to>
    <cdr:sp macro="" textlink="">
      <cdr:nvSpPr>
        <cdr:cNvPr id="179" name="Line 6"/>
        <cdr:cNvSpPr>
          <a:spLocks xmlns:a="http://schemas.openxmlformats.org/drawingml/2006/main" noChangeShapeType="1"/>
        </cdr:cNvSpPr>
      </cdr:nvSpPr>
      <cdr:spPr bwMode="auto">
        <a:xfrm xmlns:a="http://schemas.openxmlformats.org/drawingml/2006/main" flipH="1" flipV="1">
          <a:off x="5629603" y="5603328"/>
          <a:ext cx="271865" cy="36577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0.83607</cdr:x>
      <cdr:y>0.67498</cdr:y>
    </cdr:from>
    <cdr:to>
      <cdr:x>0.87427</cdr:x>
      <cdr:y>0.67504</cdr:y>
    </cdr:to>
    <cdr:sp macro="" textlink="">
      <cdr:nvSpPr>
        <cdr:cNvPr id="180" name="Line 7"/>
        <cdr:cNvSpPr>
          <a:spLocks xmlns:a="http://schemas.openxmlformats.org/drawingml/2006/main" noChangeShapeType="1"/>
        </cdr:cNvSpPr>
      </cdr:nvSpPr>
      <cdr:spPr bwMode="auto">
        <a:xfrm xmlns:a="http://schemas.openxmlformats.org/drawingml/2006/main" flipH="1">
          <a:off x="5634910" y="6752897"/>
          <a:ext cx="257452" cy="5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0.83528</cdr:x>
      <cdr:y>0.37426</cdr:y>
    </cdr:from>
    <cdr:to>
      <cdr:x>0.87427</cdr:x>
      <cdr:y>0.3828</cdr:y>
    </cdr:to>
    <cdr:sp macro="" textlink="">
      <cdr:nvSpPr>
        <cdr:cNvPr id="182" name="Line 15"/>
        <cdr:cNvSpPr>
          <a:spLocks xmlns:a="http://schemas.openxmlformats.org/drawingml/2006/main" noChangeShapeType="1"/>
        </cdr:cNvSpPr>
      </cdr:nvSpPr>
      <cdr:spPr bwMode="auto">
        <a:xfrm xmlns:a="http://schemas.openxmlformats.org/drawingml/2006/main" flipH="1" flipV="1">
          <a:off x="5629602" y="3744311"/>
          <a:ext cx="262760" cy="853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0.67739</cdr:x>
      <cdr:y>0.51806</cdr:y>
    </cdr:from>
    <cdr:to>
      <cdr:x>0.69883</cdr:x>
      <cdr:y>0.53841</cdr:y>
    </cdr:to>
    <cdr:sp macro="" textlink="">
      <cdr:nvSpPr>
        <cdr:cNvPr id="93303" name="Line 27"/>
        <cdr:cNvSpPr>
          <a:spLocks xmlns:a="http://schemas.openxmlformats.org/drawingml/2006/main" noChangeShapeType="1"/>
        </cdr:cNvSpPr>
      </cdr:nvSpPr>
      <cdr:spPr bwMode="auto">
        <a:xfrm xmlns:a="http://schemas.openxmlformats.org/drawingml/2006/main">
          <a:off x="4565431" y="5182915"/>
          <a:ext cx="144517" cy="2036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0.17402</cdr:x>
      <cdr:y>0.1125</cdr:y>
    </cdr:from>
    <cdr:to>
      <cdr:x>0.29002</cdr:x>
      <cdr:y>0.15225</cdr:y>
    </cdr:to>
    <cdr:sp macro="" textlink="">
      <cdr:nvSpPr>
        <cdr:cNvPr id="93308" name="Text Box 11"/>
        <cdr:cNvSpPr txBox="1">
          <a:spLocks xmlns:a="http://schemas.openxmlformats.org/drawingml/2006/main" noChangeArrowheads="1"/>
        </cdr:cNvSpPr>
      </cdr:nvSpPr>
      <cdr:spPr bwMode="auto">
        <a:xfrm xmlns:a="http://schemas.openxmlformats.org/drawingml/2006/main">
          <a:off x="1168575" y="1124046"/>
          <a:ext cx="778955" cy="397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19,856</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0.75794</cdr:x>
      <cdr:y>0.18607</cdr:y>
    </cdr:from>
    <cdr:to>
      <cdr:x>0.86219</cdr:x>
      <cdr:y>0.22988</cdr:y>
    </cdr:to>
    <cdr:sp macro="" textlink="">
      <cdr:nvSpPr>
        <cdr:cNvPr id="93311" name="Text Box 14"/>
        <cdr:cNvSpPr txBox="1">
          <a:spLocks xmlns:a="http://schemas.openxmlformats.org/drawingml/2006/main" noChangeArrowheads="1"/>
        </cdr:cNvSpPr>
      </cdr:nvSpPr>
      <cdr:spPr bwMode="auto">
        <a:xfrm xmlns:a="http://schemas.openxmlformats.org/drawingml/2006/main">
          <a:off x="5103545" y="1856833"/>
          <a:ext cx="701961" cy="437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17,611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0.46474</cdr:x>
      <cdr:y>0.22501</cdr:y>
    </cdr:from>
    <cdr:to>
      <cdr:x>0.57099</cdr:x>
      <cdr:y>0.2697</cdr:y>
    </cdr:to>
    <cdr:sp macro="" textlink="">
      <cdr:nvSpPr>
        <cdr:cNvPr id="93323" name="Text Box 19"/>
        <cdr:cNvSpPr txBox="1">
          <a:spLocks xmlns:a="http://schemas.openxmlformats.org/drawingml/2006/main" noChangeArrowheads="1"/>
        </cdr:cNvSpPr>
      </cdr:nvSpPr>
      <cdr:spPr bwMode="auto">
        <a:xfrm xmlns:a="http://schemas.openxmlformats.org/drawingml/2006/main">
          <a:off x="3129298" y="2248683"/>
          <a:ext cx="715429" cy="4467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16,320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0.08688</cdr:x>
      <cdr:y>0.15308</cdr:y>
    </cdr:from>
    <cdr:to>
      <cdr:x>0.18438</cdr:x>
      <cdr:y>0.19308</cdr:y>
    </cdr:to>
    <cdr:sp macro="" textlink="">
      <cdr:nvSpPr>
        <cdr:cNvPr id="93328" name="Text Box 10"/>
        <cdr:cNvSpPr txBox="1">
          <a:spLocks xmlns:a="http://schemas.openxmlformats.org/drawingml/2006/main" noChangeArrowheads="1"/>
        </cdr:cNvSpPr>
      </cdr:nvSpPr>
      <cdr:spPr bwMode="auto">
        <a:xfrm xmlns:a="http://schemas.openxmlformats.org/drawingml/2006/main">
          <a:off x="585001" y="1527673"/>
          <a:ext cx="656511" cy="399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0.56206</cdr:x>
      <cdr:y>0.245</cdr:y>
    </cdr:from>
    <cdr:to>
      <cdr:x>0.66831</cdr:x>
      <cdr:y>0.292</cdr:y>
    </cdr:to>
    <cdr:sp macro="" textlink="">
      <cdr:nvSpPr>
        <cdr:cNvPr id="93334" name="Text Box 19"/>
        <cdr:cNvSpPr txBox="1">
          <a:spLocks xmlns:a="http://schemas.openxmlformats.org/drawingml/2006/main" noChangeArrowheads="1"/>
        </cdr:cNvSpPr>
      </cdr:nvSpPr>
      <cdr:spPr bwMode="auto">
        <a:xfrm xmlns:a="http://schemas.openxmlformats.org/drawingml/2006/main">
          <a:off x="3784597" y="2448490"/>
          <a:ext cx="715428" cy="46971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15,748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0.37496</cdr:x>
      <cdr:y>0.25294</cdr:y>
    </cdr:from>
    <cdr:to>
      <cdr:x>0.47696</cdr:x>
      <cdr:y>0.29422</cdr:y>
    </cdr:to>
    <cdr:sp macro="" textlink="">
      <cdr:nvSpPr>
        <cdr:cNvPr id="93341" name="Text Box 13"/>
        <cdr:cNvSpPr txBox="1">
          <a:spLocks xmlns:a="http://schemas.openxmlformats.org/drawingml/2006/main" noChangeArrowheads="1"/>
        </cdr:cNvSpPr>
      </cdr:nvSpPr>
      <cdr:spPr bwMode="auto">
        <a:xfrm xmlns:a="http://schemas.openxmlformats.org/drawingml/2006/main">
          <a:off x="2524771" y="2524161"/>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15,551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0.08687</cdr:x>
      <cdr:y>0.83416</cdr:y>
    </cdr:from>
    <cdr:to>
      <cdr:x>0.17812</cdr:x>
      <cdr:y>0.85616</cdr:y>
    </cdr:to>
    <cdr:sp macro="" textlink="">
      <cdr:nvSpPr>
        <cdr:cNvPr id="39" name="Text Box 7"/>
        <cdr:cNvSpPr txBox="1">
          <a:spLocks xmlns:a="http://schemas.openxmlformats.org/drawingml/2006/main" noChangeArrowheads="1"/>
        </cdr:cNvSpPr>
      </cdr:nvSpPr>
      <cdr:spPr bwMode="auto">
        <a:xfrm xmlns:a="http://schemas.openxmlformats.org/drawingml/2006/main">
          <a:off x="583352" y="8334728"/>
          <a:ext cx="612755" cy="219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0.16096</cdr:x>
      <cdr:y>0.83504</cdr:y>
    </cdr:from>
    <cdr:to>
      <cdr:x>0.29517</cdr:x>
      <cdr:y>0.85705</cdr:y>
    </cdr:to>
    <cdr:sp macro="" textlink="">
      <cdr:nvSpPr>
        <cdr:cNvPr id="40" name="Text Box 7"/>
        <cdr:cNvSpPr txBox="1">
          <a:spLocks xmlns:a="http://schemas.openxmlformats.org/drawingml/2006/main" noChangeArrowheads="1"/>
        </cdr:cNvSpPr>
      </cdr:nvSpPr>
      <cdr:spPr bwMode="auto">
        <a:xfrm xmlns:a="http://schemas.openxmlformats.org/drawingml/2006/main">
          <a:off x="1080876" y="8343521"/>
          <a:ext cx="901237" cy="2199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0.16613</cdr:x>
      <cdr:y>0.10804</cdr:y>
    </cdr:from>
    <cdr:to>
      <cdr:x>0.28213</cdr:x>
      <cdr:y>0.14779</cdr:y>
    </cdr:to>
    <cdr:sp macro="" textlink="">
      <cdr:nvSpPr>
        <cdr:cNvPr id="4"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8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12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19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6097"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40"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7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2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6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0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3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4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5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76"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1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0.1029</cdr:y>
    </cdr:from>
    <cdr:to>
      <cdr:x>0.28213</cdr:x>
      <cdr:y>0.14265</cdr:y>
    </cdr:to>
    <cdr:sp macro="" textlink="">
      <cdr:nvSpPr>
        <cdr:cNvPr id="93550" name="Text Box 11"/>
        <cdr:cNvSpPr txBox="1">
          <a:spLocks xmlns:a="http://schemas.openxmlformats.org/drawingml/2006/main" noChangeArrowheads="1"/>
        </cdr:cNvSpPr>
      </cdr:nvSpPr>
      <cdr:spPr bwMode="auto">
        <a:xfrm xmlns:a="http://schemas.openxmlformats.org/drawingml/2006/main">
          <a:off x="1118627" y="1026871"/>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0.16722</cdr:x>
      <cdr:y>0.10143</cdr:y>
    </cdr:from>
    <cdr:to>
      <cdr:x>0.28322</cdr:x>
      <cdr:y>0.14118</cdr:y>
    </cdr:to>
    <cdr:sp macro="" textlink="">
      <cdr:nvSpPr>
        <cdr:cNvPr id="93587" name="Text Box 11"/>
        <cdr:cNvSpPr txBox="1">
          <a:spLocks xmlns:a="http://schemas.openxmlformats.org/drawingml/2006/main" noChangeArrowheads="1"/>
        </cdr:cNvSpPr>
      </cdr:nvSpPr>
      <cdr:spPr bwMode="auto">
        <a:xfrm xmlns:a="http://schemas.openxmlformats.org/drawingml/2006/main">
          <a:off x="1125954" y="1012217"/>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9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60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0.14035</cdr:x>
      <cdr:y>0.51346</cdr:y>
    </cdr:from>
    <cdr:to>
      <cdr:x>0.16862</cdr:x>
      <cdr:y>0.53119</cdr:y>
    </cdr:to>
    <cdr:sp macro="" textlink="">
      <cdr:nvSpPr>
        <cdr:cNvPr id="93627" name="Line 8"/>
        <cdr:cNvSpPr>
          <a:spLocks xmlns:a="http://schemas.openxmlformats.org/drawingml/2006/main" noChangeShapeType="1"/>
        </cdr:cNvSpPr>
      </cdr:nvSpPr>
      <cdr:spPr bwMode="auto">
        <a:xfrm xmlns:a="http://schemas.openxmlformats.org/drawingml/2006/main" flipH="1">
          <a:off x="945931" y="5136932"/>
          <a:ext cx="190500" cy="177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0.66211</cdr:x>
      <cdr:y>0.18965</cdr:y>
    </cdr:from>
    <cdr:to>
      <cdr:x>0.76561</cdr:x>
      <cdr:y>0.23487</cdr:y>
    </cdr:to>
    <cdr:sp macro="" textlink="">
      <cdr:nvSpPr>
        <cdr:cNvPr id="93653" name="Text Box 18"/>
        <cdr:cNvSpPr txBox="1">
          <a:spLocks xmlns:a="http://schemas.openxmlformats.org/drawingml/2006/main" noChangeArrowheads="1"/>
        </cdr:cNvSpPr>
      </cdr:nvSpPr>
      <cdr:spPr bwMode="auto">
        <a:xfrm xmlns:a="http://schemas.openxmlformats.org/drawingml/2006/main">
          <a:off x="4458279" y="1895325"/>
          <a:ext cx="696912" cy="4519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17,428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0.27684</cdr:x>
      <cdr:y>0.19596</cdr:y>
    </cdr:from>
    <cdr:to>
      <cdr:x>0.37884</cdr:x>
      <cdr:y>0.23724</cdr:y>
    </cdr:to>
    <cdr:sp macro="" textlink="">
      <cdr:nvSpPr>
        <cdr:cNvPr id="465" name="Text Box 13"/>
        <cdr:cNvSpPr txBox="1">
          <a:spLocks xmlns:a="http://schemas.openxmlformats.org/drawingml/2006/main" noChangeArrowheads="1"/>
        </cdr:cNvSpPr>
      </cdr:nvSpPr>
      <cdr:spPr bwMode="auto">
        <a:xfrm xmlns:a="http://schemas.openxmlformats.org/drawingml/2006/main">
          <a:off x="1864086" y="1955542"/>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17,227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0.77485</cdr:x>
      <cdr:y>0.51412</cdr:y>
    </cdr:from>
    <cdr:to>
      <cdr:x>0.7963</cdr:x>
      <cdr:y>0.53119</cdr:y>
    </cdr:to>
    <cdr:sp macro="" textlink="">
      <cdr:nvSpPr>
        <cdr:cNvPr id="466" name="Line 27"/>
        <cdr:cNvSpPr>
          <a:spLocks xmlns:a="http://schemas.openxmlformats.org/drawingml/2006/main" noChangeShapeType="1"/>
        </cdr:cNvSpPr>
      </cdr:nvSpPr>
      <cdr:spPr bwMode="auto">
        <a:xfrm xmlns:a="http://schemas.openxmlformats.org/drawingml/2006/main">
          <a:off x="5222328" y="5143500"/>
          <a:ext cx="144517" cy="1707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0.19075</cdr:x>
      <cdr:y>0.86044</cdr:y>
    </cdr:from>
    <cdr:to>
      <cdr:x>0.79796</cdr:x>
      <cdr:y>0.94279</cdr:y>
    </cdr:to>
    <mc:AlternateContent xmlns:mc="http://schemas.openxmlformats.org/markup-compatibility/2006" xmlns:a14="http://schemas.microsoft.com/office/drawing/2010/main">
      <mc:Choice Requires="a14">
        <cdr:pic>
          <cdr:nvPicPr>
            <cdr:cNvPr id="160769" name="Picture 1"/>
            <cdr:cNvPicPr>
              <a:picLocks xmlns:a="http://schemas.openxmlformats.org/drawingml/2006/main" noChangeAspect="1" noChangeArrowheads="1"/>
              <a:extLst xmlns:a="http://schemas.openxmlformats.org/drawingml/2006/main">
                <a:ext uri="{84589F7E-364E-4C9E-8A38-B11213B215E9}">
                  <a14:cameraTool cellRange="'[2]頁6データ (カメラ)'!$B$9:$O$14" spid="_x0000_s209047"/>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1283928" y="8614611"/>
              <a:ext cx="4087120" cy="824433"/>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userShapes>
</file>

<file path=xl/drawings/drawing7.xml><?xml version="1.0" encoding="utf-8"?>
<xdr:wsDr xmlns:xdr="http://schemas.openxmlformats.org/drawingml/2006/spreadsheetDrawing" xmlns:a="http://schemas.openxmlformats.org/drawingml/2006/main">
  <xdr:twoCellAnchor>
    <xdr:from>
      <xdr:col>4</xdr:col>
      <xdr:colOff>1455963</xdr:colOff>
      <xdr:row>0</xdr:row>
      <xdr:rowOff>32122</xdr:rowOff>
    </xdr:from>
    <xdr:to>
      <xdr:col>6</xdr:col>
      <xdr:colOff>571500</xdr:colOff>
      <xdr:row>0</xdr:row>
      <xdr:rowOff>499567</xdr:rowOff>
    </xdr:to>
    <xdr:sp macro="" textlink="">
      <xdr:nvSpPr>
        <xdr:cNvPr id="2" name="テキスト ボックス 1"/>
        <xdr:cNvSpPr txBox="1"/>
      </xdr:nvSpPr>
      <xdr:spPr>
        <a:xfrm>
          <a:off x="7209063" y="32122"/>
          <a:ext cx="1430112" cy="467445"/>
        </a:xfrm>
        <a:prstGeom prst="rect">
          <a:avLst/>
        </a:prstGeom>
        <a:solidFill>
          <a:schemeClr val="lt1"/>
        </a:solidFill>
        <a:ln w="158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参　 考</a:t>
          </a:r>
        </a:p>
      </xdr:txBody>
    </xdr:sp>
    <xdr:clientData/>
  </xdr:twoCellAnchor>
  <xdr:twoCellAnchor>
    <xdr:from>
      <xdr:col>0</xdr:col>
      <xdr:colOff>136072</xdr:colOff>
      <xdr:row>8</xdr:row>
      <xdr:rowOff>381000</xdr:rowOff>
    </xdr:from>
    <xdr:to>
      <xdr:col>6</xdr:col>
      <xdr:colOff>367393</xdr:colOff>
      <xdr:row>20</xdr:row>
      <xdr:rowOff>81643</xdr:rowOff>
    </xdr:to>
    <xdr:sp macro="" textlink="">
      <xdr:nvSpPr>
        <xdr:cNvPr id="3" name="角丸四角形 2"/>
        <xdr:cNvSpPr/>
      </xdr:nvSpPr>
      <xdr:spPr>
        <a:xfrm>
          <a:off x="136072" y="3124200"/>
          <a:ext cx="8298996" cy="3367768"/>
        </a:xfrm>
        <a:prstGeom prst="roundRect">
          <a:avLst>
            <a:gd name="adj" fmla="val 4420"/>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25</xdr:row>
          <xdr:rowOff>0</xdr:rowOff>
        </xdr:from>
        <xdr:to>
          <xdr:col>6</xdr:col>
          <xdr:colOff>269421</xdr:colOff>
          <xdr:row>50</xdr:row>
          <xdr:rowOff>16329</xdr:rowOff>
        </xdr:to>
        <xdr:pic>
          <xdr:nvPicPr>
            <xdr:cNvPr id="4" name="図 3"/>
            <xdr:cNvPicPr>
              <a:picLocks noChangeAspect="1" noChangeArrowheads="1"/>
              <a:extLst>
                <a:ext uri="{84589F7E-364E-4C9E-8A38-B11213B215E9}">
                  <a14:cameraTool cellRange="カメラ!$B$3:$R$21" spid="_x0000_s241672"/>
                </a:ext>
              </a:extLst>
            </xdr:cNvPicPr>
          </xdr:nvPicPr>
          <xdr:blipFill>
            <a:blip xmlns:r="http://schemas.openxmlformats.org/officeDocument/2006/relationships" r:embed="rId1"/>
            <a:srcRect/>
            <a:stretch>
              <a:fillRect/>
            </a:stretch>
          </xdr:blipFill>
          <xdr:spPr bwMode="auto">
            <a:xfrm>
              <a:off x="385082" y="7892143"/>
              <a:ext cx="7953375" cy="44386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149678</xdr:colOff>
      <xdr:row>37</xdr:row>
      <xdr:rowOff>87082</xdr:rowOff>
    </xdr:from>
    <xdr:to>
      <xdr:col>6</xdr:col>
      <xdr:colOff>530677</xdr:colOff>
      <xdr:row>52</xdr:row>
      <xdr:rowOff>13606</xdr:rowOff>
    </xdr:to>
    <xdr:sp macro="" textlink="">
      <xdr:nvSpPr>
        <xdr:cNvPr id="5" name="角丸四角形 4"/>
        <xdr:cNvSpPr/>
      </xdr:nvSpPr>
      <xdr:spPr>
        <a:xfrm>
          <a:off x="149678" y="9983557"/>
          <a:ext cx="8448674" cy="2498274"/>
        </a:xfrm>
        <a:prstGeom prst="roundRect">
          <a:avLst>
            <a:gd name="adj" fmla="val 4420"/>
          </a:avLst>
        </a:prstGeom>
        <a:noFill/>
        <a:ln w="15875">
          <a:solidFill>
            <a:srgbClr val="002060"/>
          </a:solidFill>
          <a:prstDash val="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409576</xdr:colOff>
      <xdr:row>9</xdr:row>
      <xdr:rowOff>161925</xdr:rowOff>
    </xdr:from>
    <xdr:to>
      <xdr:col>9</xdr:col>
      <xdr:colOff>66675</xdr:colOff>
      <xdr:row>10</xdr:row>
      <xdr:rowOff>66675</xdr:rowOff>
    </xdr:to>
    <xdr:sp macro="" textlink="">
      <xdr:nvSpPr>
        <xdr:cNvPr id="2" name="下矢印 1"/>
        <xdr:cNvSpPr/>
      </xdr:nvSpPr>
      <xdr:spPr>
        <a:xfrm>
          <a:off x="4095751" y="2057400"/>
          <a:ext cx="561974" cy="438150"/>
        </a:xfrm>
        <a:prstGeom prst="downArrow">
          <a:avLst/>
        </a:prstGeom>
        <a:solidFill>
          <a:schemeClr val="bg1"/>
        </a:solid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409575</xdr:colOff>
      <xdr:row>16</xdr:row>
      <xdr:rowOff>47625</xdr:rowOff>
    </xdr:from>
    <xdr:to>
      <xdr:col>9</xdr:col>
      <xdr:colOff>19050</xdr:colOff>
      <xdr:row>16</xdr:row>
      <xdr:rowOff>666749</xdr:rowOff>
    </xdr:to>
    <xdr:sp macro="" textlink="">
      <xdr:nvSpPr>
        <xdr:cNvPr id="3" name="上下矢印 2"/>
        <xdr:cNvSpPr/>
      </xdr:nvSpPr>
      <xdr:spPr>
        <a:xfrm>
          <a:off x="4095750" y="3676650"/>
          <a:ext cx="514350" cy="619124"/>
        </a:xfrm>
        <a:prstGeom prst="upDownArrow">
          <a:avLst>
            <a:gd name="adj1" fmla="val 49026"/>
            <a:gd name="adj2" fmla="val 42208"/>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16</xdr:row>
      <xdr:rowOff>219075</xdr:rowOff>
    </xdr:from>
    <xdr:to>
      <xdr:col>15</xdr:col>
      <xdr:colOff>571500</xdr:colOff>
      <xdr:row>16</xdr:row>
      <xdr:rowOff>504825</xdr:rowOff>
    </xdr:to>
    <xdr:sp macro="" textlink="">
      <xdr:nvSpPr>
        <xdr:cNvPr id="4" name="角丸四角形 3"/>
        <xdr:cNvSpPr/>
      </xdr:nvSpPr>
      <xdr:spPr>
        <a:xfrm>
          <a:off x="4772025" y="3848100"/>
          <a:ext cx="2562225" cy="285750"/>
        </a:xfrm>
        <a:prstGeom prst="roundRect">
          <a:avLst/>
        </a:prstGeom>
        <a:ln w="22225">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決算の基調は一般会計と概ね同様</a:t>
          </a:r>
          <a:endParaRPr lang="ja-JP" altLang="ja-JP">
            <a:effectLst/>
            <a:latin typeface="HG丸ｺﾞｼｯｸM-PRO" panose="020F0600000000000000" pitchFamily="50" charset="-128"/>
            <a:ea typeface="HG丸ｺﾞｼｯｸM-PRO" panose="020F0600000000000000" pitchFamily="50" charset="-128"/>
          </a:endParaRPr>
        </a:p>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180975</xdr:colOff>
      <xdr:row>12</xdr:row>
      <xdr:rowOff>47625</xdr:rowOff>
    </xdr:from>
    <xdr:to>
      <xdr:col>9</xdr:col>
      <xdr:colOff>28575</xdr:colOff>
      <xdr:row>15</xdr:row>
      <xdr:rowOff>38100</xdr:rowOff>
    </xdr:to>
    <xdr:sp macro="" textlink="">
      <xdr:nvSpPr>
        <xdr:cNvPr id="5" name="正方形/長方形 4"/>
        <xdr:cNvSpPr/>
      </xdr:nvSpPr>
      <xdr:spPr>
        <a:xfrm>
          <a:off x="3867150" y="3067050"/>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12</xdr:row>
      <xdr:rowOff>47625</xdr:rowOff>
    </xdr:from>
    <xdr:to>
      <xdr:col>17</xdr:col>
      <xdr:colOff>19050</xdr:colOff>
      <xdr:row>15</xdr:row>
      <xdr:rowOff>38100</xdr:rowOff>
    </xdr:to>
    <xdr:sp macro="" textlink="">
      <xdr:nvSpPr>
        <xdr:cNvPr id="6" name="正方形/長方形 5"/>
        <xdr:cNvSpPr/>
      </xdr:nvSpPr>
      <xdr:spPr>
        <a:xfrm>
          <a:off x="7839075" y="3067050"/>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180975</xdr:colOff>
      <xdr:row>17</xdr:row>
      <xdr:rowOff>47625</xdr:rowOff>
    </xdr:from>
    <xdr:to>
      <xdr:col>9</xdr:col>
      <xdr:colOff>28575</xdr:colOff>
      <xdr:row>20</xdr:row>
      <xdr:rowOff>38100</xdr:rowOff>
    </xdr:to>
    <xdr:sp macro="" textlink="">
      <xdr:nvSpPr>
        <xdr:cNvPr id="7" name="正方形/長方形 6"/>
        <xdr:cNvSpPr/>
      </xdr:nvSpPr>
      <xdr:spPr>
        <a:xfrm>
          <a:off x="3867150" y="4371975"/>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17</xdr:row>
      <xdr:rowOff>47625</xdr:rowOff>
    </xdr:from>
    <xdr:to>
      <xdr:col>17</xdr:col>
      <xdr:colOff>19050</xdr:colOff>
      <xdr:row>20</xdr:row>
      <xdr:rowOff>38100</xdr:rowOff>
    </xdr:to>
    <xdr:sp macro="" textlink="">
      <xdr:nvSpPr>
        <xdr:cNvPr id="8" name="正方形/長方形 7"/>
        <xdr:cNvSpPr/>
      </xdr:nvSpPr>
      <xdr:spPr>
        <a:xfrm>
          <a:off x="7839075" y="4371975"/>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48038</xdr:colOff>
      <xdr:row>49</xdr:row>
      <xdr:rowOff>124654</xdr:rowOff>
    </xdr:from>
    <xdr:to>
      <xdr:col>10</xdr:col>
      <xdr:colOff>198783</xdr:colOff>
      <xdr:row>59</xdr:row>
      <xdr:rowOff>0</xdr:rowOff>
    </xdr:to>
    <xdr:graphicFrame macro="">
      <xdr:nvGraphicFramePr>
        <xdr:cNvPr id="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310385</xdr:colOff>
      <xdr:row>48</xdr:row>
      <xdr:rowOff>27825</xdr:rowOff>
    </xdr:from>
    <xdr:ext cx="587790" cy="135165"/>
    <xdr:sp macro="" textlink="">
      <xdr:nvSpPr>
        <xdr:cNvPr id="3" name="Text Box 7"/>
        <xdr:cNvSpPr txBox="1">
          <a:spLocks noChangeArrowheads="1"/>
        </xdr:cNvSpPr>
      </xdr:nvSpPr>
      <xdr:spPr bwMode="auto">
        <a:xfrm>
          <a:off x="939035" y="8800350"/>
          <a:ext cx="587790" cy="135165"/>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7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297792</xdr:colOff>
      <xdr:row>50</xdr:row>
      <xdr:rowOff>268165</xdr:rowOff>
    </xdr:from>
    <xdr:to>
      <xdr:col>7</xdr:col>
      <xdr:colOff>593481</xdr:colOff>
      <xdr:row>50</xdr:row>
      <xdr:rowOff>268165</xdr:rowOff>
    </xdr:to>
    <xdr:cxnSp macro="">
      <xdr:nvCxnSpPr>
        <xdr:cNvPr id="4" name="直線矢印コネクタ 4"/>
        <xdr:cNvCxnSpPr>
          <a:cxnSpLocks noChangeShapeType="1"/>
        </xdr:cNvCxnSpPr>
      </xdr:nvCxnSpPr>
      <xdr:spPr bwMode="auto">
        <a:xfrm rot="10800000">
          <a:off x="5993742" y="9383590"/>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306074</xdr:colOff>
      <xdr:row>52</xdr:row>
      <xdr:rowOff>164505</xdr:rowOff>
    </xdr:from>
    <xdr:to>
      <xdr:col>7</xdr:col>
      <xdr:colOff>601763</xdr:colOff>
      <xdr:row>52</xdr:row>
      <xdr:rowOff>164505</xdr:rowOff>
    </xdr:to>
    <xdr:cxnSp macro="">
      <xdr:nvCxnSpPr>
        <xdr:cNvPr id="5" name="直線矢印コネクタ 4"/>
        <xdr:cNvCxnSpPr>
          <a:cxnSpLocks noChangeShapeType="1"/>
        </xdr:cNvCxnSpPr>
      </xdr:nvCxnSpPr>
      <xdr:spPr bwMode="auto">
        <a:xfrm rot="10800000">
          <a:off x="6002024" y="9832380"/>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306075</xdr:colOff>
      <xdr:row>51</xdr:row>
      <xdr:rowOff>193652</xdr:rowOff>
    </xdr:from>
    <xdr:to>
      <xdr:col>7</xdr:col>
      <xdr:colOff>601764</xdr:colOff>
      <xdr:row>51</xdr:row>
      <xdr:rowOff>193652</xdr:rowOff>
    </xdr:to>
    <xdr:cxnSp macro="">
      <xdr:nvCxnSpPr>
        <xdr:cNvPr id="6" name="直線矢印コネクタ 4"/>
        <xdr:cNvCxnSpPr>
          <a:cxnSpLocks noChangeShapeType="1"/>
        </xdr:cNvCxnSpPr>
      </xdr:nvCxnSpPr>
      <xdr:spPr bwMode="auto">
        <a:xfrm rot="10800000">
          <a:off x="6002025" y="9585302"/>
          <a:ext cx="295689" cy="0"/>
        </a:xfrm>
        <a:prstGeom prst="straightConnector1">
          <a:avLst/>
        </a:prstGeom>
        <a:noFill/>
        <a:ln w="6350" algn="ctr">
          <a:solidFill>
            <a:srgbClr val="000000"/>
          </a:solidFill>
          <a:round/>
          <a:headEnd/>
          <a:tailEnd type="stealth" w="med" len="med"/>
        </a:ln>
      </xdr:spPr>
    </xdr:cxnSp>
    <xdr:clientData/>
  </xdr:twoCellAnchor>
  <xdr:twoCellAnchor>
    <xdr:from>
      <xdr:col>7</xdr:col>
      <xdr:colOff>314356</xdr:colOff>
      <xdr:row>54</xdr:row>
      <xdr:rowOff>137426</xdr:rowOff>
    </xdr:from>
    <xdr:to>
      <xdr:col>7</xdr:col>
      <xdr:colOff>610045</xdr:colOff>
      <xdr:row>54</xdr:row>
      <xdr:rowOff>137426</xdr:rowOff>
    </xdr:to>
    <xdr:cxnSp macro="">
      <xdr:nvCxnSpPr>
        <xdr:cNvPr id="7" name="直線矢印コネクタ 4"/>
        <xdr:cNvCxnSpPr>
          <a:cxnSpLocks noChangeShapeType="1"/>
        </xdr:cNvCxnSpPr>
      </xdr:nvCxnSpPr>
      <xdr:spPr bwMode="auto">
        <a:xfrm rot="10800000">
          <a:off x="6010306" y="10148201"/>
          <a:ext cx="295689" cy="0"/>
        </a:xfrm>
        <a:prstGeom prst="straightConnector1">
          <a:avLst/>
        </a:prstGeom>
        <a:noFill/>
        <a:ln w="6350" algn="ctr">
          <a:solidFill>
            <a:srgbClr val="000000"/>
          </a:solidFill>
          <a:round/>
          <a:headEnd/>
          <a:tailEnd type="stealth" w="med" len="med"/>
        </a:ln>
      </xdr:spPr>
    </xdr:cxnSp>
    <xdr:clientData/>
  </xdr:twoCellAnchor>
  <xdr:oneCellAnchor>
    <xdr:from>
      <xdr:col>7</xdr:col>
      <xdr:colOff>648559</xdr:colOff>
      <xdr:row>50</xdr:row>
      <xdr:rowOff>174156</xdr:rowOff>
    </xdr:from>
    <xdr:ext cx="542158" cy="151836"/>
    <xdr:sp macro="" textlink="">
      <xdr:nvSpPr>
        <xdr:cNvPr id="8" name="Text Box 7"/>
        <xdr:cNvSpPr txBox="1">
          <a:spLocks noChangeArrowheads="1"/>
        </xdr:cNvSpPr>
      </xdr:nvSpPr>
      <xdr:spPr bwMode="auto">
        <a:xfrm>
          <a:off x="6344509" y="9289581"/>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648560</xdr:colOff>
      <xdr:row>51</xdr:row>
      <xdr:rowOff>116210</xdr:rowOff>
    </xdr:from>
    <xdr:ext cx="550146" cy="151836"/>
    <xdr:sp macro="" textlink="">
      <xdr:nvSpPr>
        <xdr:cNvPr id="9" name="Text Box 7"/>
        <xdr:cNvSpPr txBox="1">
          <a:spLocks noChangeArrowheads="1"/>
        </xdr:cNvSpPr>
      </xdr:nvSpPr>
      <xdr:spPr bwMode="auto">
        <a:xfrm>
          <a:off x="6344510" y="9507860"/>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648560</xdr:colOff>
      <xdr:row>52</xdr:row>
      <xdr:rowOff>82507</xdr:rowOff>
    </xdr:from>
    <xdr:ext cx="550146" cy="151836"/>
    <xdr:sp macro="" textlink="">
      <xdr:nvSpPr>
        <xdr:cNvPr id="10" name="Text Box 7"/>
        <xdr:cNvSpPr txBox="1">
          <a:spLocks noChangeArrowheads="1"/>
        </xdr:cNvSpPr>
      </xdr:nvSpPr>
      <xdr:spPr bwMode="auto">
        <a:xfrm>
          <a:off x="6344510" y="9750382"/>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641520</xdr:colOff>
      <xdr:row>53</xdr:row>
      <xdr:rowOff>165993</xdr:rowOff>
    </xdr:from>
    <xdr:ext cx="550146" cy="285206"/>
    <xdr:sp macro="" textlink="">
      <xdr:nvSpPr>
        <xdr:cNvPr id="11" name="Text Box 7"/>
        <xdr:cNvSpPr txBox="1">
          <a:spLocks noChangeArrowheads="1"/>
        </xdr:cNvSpPr>
      </xdr:nvSpPr>
      <xdr:spPr bwMode="auto">
        <a:xfrm>
          <a:off x="6337470" y="10005318"/>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mc:AlternateContent xmlns:mc="http://schemas.openxmlformats.org/markup-compatibility/2006">
    <mc:Choice xmlns:a14="http://schemas.microsoft.com/office/drawing/2010/main" Requires="a14">
      <xdr:twoCellAnchor editAs="oneCell">
        <xdr:from>
          <xdr:col>2</xdr:col>
          <xdr:colOff>114299</xdr:colOff>
          <xdr:row>44</xdr:row>
          <xdr:rowOff>38100</xdr:rowOff>
        </xdr:from>
        <xdr:to>
          <xdr:col>4</xdr:col>
          <xdr:colOff>1200149</xdr:colOff>
          <xdr:row>46</xdr:row>
          <xdr:rowOff>133350</xdr:rowOff>
        </xdr:to>
        <xdr:pic>
          <xdr:nvPicPr>
            <xdr:cNvPr id="12" name="Picture 2"/>
            <xdr:cNvPicPr>
              <a:picLocks noChangeAspect="1" noChangeArrowheads="1"/>
              <a:extLst>
                <a:ext uri="{84589F7E-364E-4C9E-8A38-B11213B215E9}">
                  <a14:cameraTool cellRange="リンク資料②!$B$3:$D$5" spid="_x0000_s243719"/>
                </a:ext>
              </a:extLst>
            </xdr:cNvPicPr>
          </xdr:nvPicPr>
          <xdr:blipFill>
            <a:blip xmlns:r="http://schemas.openxmlformats.org/officeDocument/2006/relationships" r:embed="rId2"/>
            <a:srcRect/>
            <a:stretch>
              <a:fillRect/>
            </a:stretch>
          </xdr:blipFill>
          <xdr:spPr bwMode="auto">
            <a:xfrm>
              <a:off x="533399" y="8039100"/>
              <a:ext cx="2562225" cy="5143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xdr:col>
      <xdr:colOff>971549</xdr:colOff>
      <xdr:row>49</xdr:row>
      <xdr:rowOff>52597</xdr:rowOff>
    </xdr:from>
    <xdr:to>
      <xdr:col>6</xdr:col>
      <xdr:colOff>1257300</xdr:colOff>
      <xdr:row>50</xdr:row>
      <xdr:rowOff>1</xdr:rowOff>
    </xdr:to>
    <xdr:grpSp>
      <xdr:nvGrpSpPr>
        <xdr:cNvPr id="13" name="グループ化 12"/>
        <xdr:cNvGrpSpPr/>
      </xdr:nvGrpSpPr>
      <xdr:grpSpPr>
        <a:xfrm>
          <a:off x="1600199" y="8863222"/>
          <a:ext cx="4086226" cy="252204"/>
          <a:chOff x="1323975" y="6657975"/>
          <a:chExt cx="4914900" cy="466727"/>
        </a:xfrm>
      </xdr:grpSpPr>
      <xdr:cxnSp macro="">
        <xdr:nvCxnSpPr>
          <xdr:cNvPr id="14" name="直線コネクタ 13"/>
          <xdr:cNvCxnSpPr/>
        </xdr:nvCxnSpPr>
        <xdr:spPr bwMode="auto">
          <a:xfrm flipH="1" flipV="1">
            <a:off x="6210300" y="6657975"/>
            <a:ext cx="1" cy="466727"/>
          </a:xfrm>
          <a:prstGeom prst="line">
            <a:avLst/>
          </a:prstGeom>
          <a:ln w="15875">
            <a:prstDash val="dash"/>
            <a:headEnd type="arrow" w="med" len="med"/>
            <a:tailEnd type="none"/>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bwMode="auto">
          <a:xfrm flipV="1">
            <a:off x="1323975" y="6657975"/>
            <a:ext cx="4914900" cy="9526"/>
          </a:xfrm>
          <a:prstGeom prst="line">
            <a:avLst/>
          </a:prstGeom>
          <a:ln w="15875">
            <a:prstDash val="dash"/>
            <a:headEnd type="none" w="med" len="med"/>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647699</xdr:colOff>
      <xdr:row>46</xdr:row>
      <xdr:rowOff>57151</xdr:rowOff>
    </xdr:from>
    <xdr:ext cx="1047751" cy="242062"/>
    <xdr:sp macro="" textlink="">
      <xdr:nvSpPr>
        <xdr:cNvPr id="16" name="テキスト ボックス 15"/>
        <xdr:cNvSpPr txBox="1"/>
      </xdr:nvSpPr>
      <xdr:spPr>
        <a:xfrm>
          <a:off x="5076824" y="8477251"/>
          <a:ext cx="1047751" cy="24206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ctr"/>
          <a:r>
            <a:rPr kumimoji="1" lang="ja-JP" altLang="en-US" sz="800" b="1"/>
            <a:t>△</a:t>
          </a:r>
          <a:r>
            <a:rPr kumimoji="1" lang="en-US" altLang="ja-JP" sz="800" b="1"/>
            <a:t>402</a:t>
          </a:r>
          <a:r>
            <a:rPr kumimoji="1" lang="ja-JP" altLang="en-US" sz="800" b="1"/>
            <a:t>億円の減</a:t>
          </a:r>
        </a:p>
      </xdr:txBody>
    </xdr:sp>
    <xdr:clientData/>
  </xdr:oneCellAnchor>
  <xdr:twoCellAnchor>
    <xdr:from>
      <xdr:col>5</xdr:col>
      <xdr:colOff>200025</xdr:colOff>
      <xdr:row>55</xdr:row>
      <xdr:rowOff>38100</xdr:rowOff>
    </xdr:from>
    <xdr:to>
      <xdr:col>5</xdr:col>
      <xdr:colOff>304799</xdr:colOff>
      <xdr:row>57</xdr:row>
      <xdr:rowOff>4935</xdr:rowOff>
    </xdr:to>
    <xdr:sp macro="" textlink="">
      <xdr:nvSpPr>
        <xdr:cNvPr id="18" name="フリーフォーム 17"/>
        <xdr:cNvSpPr/>
      </xdr:nvSpPr>
      <xdr:spPr bwMode="auto">
        <a:xfrm>
          <a:off x="3362325" y="1022032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twoCellAnchor>
    <xdr:from>
      <xdr:col>5</xdr:col>
      <xdr:colOff>274569</xdr:colOff>
      <xdr:row>55</xdr:row>
      <xdr:rowOff>38100</xdr:rowOff>
    </xdr:from>
    <xdr:to>
      <xdr:col>5</xdr:col>
      <xdr:colOff>379343</xdr:colOff>
      <xdr:row>57</xdr:row>
      <xdr:rowOff>4935</xdr:rowOff>
    </xdr:to>
    <xdr:sp macro="" textlink="">
      <xdr:nvSpPr>
        <xdr:cNvPr id="19" name="フリーフォーム 18"/>
        <xdr:cNvSpPr/>
      </xdr:nvSpPr>
      <xdr:spPr bwMode="auto">
        <a:xfrm>
          <a:off x="3436869" y="10220325"/>
          <a:ext cx="104774" cy="309735"/>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twoCellAnchor>
    <xdr:from>
      <xdr:col>0</xdr:col>
      <xdr:colOff>152400</xdr:colOff>
      <xdr:row>0</xdr:row>
      <xdr:rowOff>19050</xdr:rowOff>
    </xdr:from>
    <xdr:to>
      <xdr:col>6</xdr:col>
      <xdr:colOff>175177</xdr:colOff>
      <xdr:row>2</xdr:row>
      <xdr:rowOff>74129</xdr:rowOff>
    </xdr:to>
    <xdr:sp macro="" textlink="">
      <xdr:nvSpPr>
        <xdr:cNvPr id="20" name="AutoShape 14"/>
        <xdr:cNvSpPr>
          <a:spLocks noChangeArrowheads="1"/>
        </xdr:cNvSpPr>
      </xdr:nvSpPr>
      <xdr:spPr bwMode="auto">
        <a:xfrm>
          <a:off x="152400" y="19050"/>
          <a:ext cx="4451902" cy="474179"/>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22860" rIns="0" bIns="22860" anchor="ctr" upright="1"/>
        <a:lstStyle/>
        <a:p>
          <a:pPr algn="l" rtl="0">
            <a:defRPr sz="1000"/>
          </a:pP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参考</a:t>
          </a: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平成</a:t>
          </a:r>
          <a:r>
            <a:rPr lang="en-US" altLang="ja-JP" sz="1600" b="0" i="0" u="none" strike="noStrike" baseline="0">
              <a:solidFill>
                <a:srgbClr val="000000"/>
              </a:solidFill>
              <a:latin typeface="HG創英角ﾎﾟｯﾌﾟ体"/>
              <a:ea typeface="HG創英角ﾎﾟｯﾌﾟ体"/>
            </a:rPr>
            <a:t>30</a:t>
          </a:r>
          <a:r>
            <a:rPr lang="ja-JP" altLang="en-US" sz="1600" b="0" i="0" u="none" strike="noStrike" baseline="0">
              <a:solidFill>
                <a:srgbClr val="000000"/>
              </a:solidFill>
              <a:latin typeface="HG創英角ﾎﾟｯﾌﾟ体"/>
              <a:ea typeface="HG創英角ﾎﾟｯﾌﾟ体"/>
            </a:rPr>
            <a:t>年度　市税決算見込の状況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2_&#27770;&#31639;&#12398;&#12362;&#12375;&#12372;&#12392;/03_&#27770;&#31639;&#32113;&#35336;/30&#24180;&#24230;/&#20107;&#21209;&#23616;&#20316;&#26989;/13%20&#25351;&#27161;&#12539;&#26908;&#21454;&#35519;&#26360;&#35500;&#26126;/02.&#35500;&#26126;&#36039;&#26009;/02%20.&#32207;&#25324;&#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8913;6&#12487;&#12540;&#12479;%20(&#12459;&#12513;&#1252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2_&#27770;&#31639;&#12398;&#12362;&#12375;&#12372;&#12392;/03_&#27770;&#31639;&#32113;&#35336;/30&#24180;&#24230;/&#20107;&#21209;&#23616;&#20316;&#26989;/18%20&#12503;&#12524;&#12473;&#36039;&#26009;/01&#12503;&#12524;&#12473;&#26412;&#20307;/02%20HP&#20844;&#34920;&#29992;/05&#29305;&#21029;&#32887;&#35500;&#26126;&#24460;&#65288;&#26368;&#32066;&#65289;/&#12456;&#12463;&#12475;&#12523;&#20316;&#26989;/&#12493;&#12479;/&#9733;&#12304;&#31246;2&#12305;%20&#24066;&#31246;&#12398;&#21454;&#32013;&#29366;&#27841;&#12395;&#12388;&#12356;&#12390;&#8592;&#21454;&#31246;&#35506;&#65288;&#28382;&#32013;&#65289;&#1242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決（百万円）"/>
      <sheetName val="カメラ"/>
      <sheetName val="30決（千円）計数のみ"/>
    </sheetNames>
    <sheetDataSet>
      <sheetData sheetId="0"/>
      <sheetData sheetId="1"/>
      <sheetData sheetId="2">
        <row r="6">
          <cell r="F6">
            <v>1761138232</v>
          </cell>
          <cell r="O6">
            <v>1758571784</v>
          </cell>
        </row>
        <row r="10">
          <cell r="F10">
            <v>737441209</v>
          </cell>
          <cell r="O10">
            <v>1147879683</v>
          </cell>
        </row>
        <row r="12">
          <cell r="O12">
            <v>302070692</v>
          </cell>
        </row>
        <row r="14">
          <cell r="F14">
            <v>95356385</v>
          </cell>
          <cell r="O14">
            <v>553538112</v>
          </cell>
        </row>
        <row r="16">
          <cell r="F16">
            <v>6489938</v>
          </cell>
          <cell r="O16">
            <v>276133462</v>
          </cell>
        </row>
        <row r="18">
          <cell r="F18">
            <v>43642114</v>
          </cell>
          <cell r="O18">
            <v>87462573</v>
          </cell>
        </row>
        <row r="20">
          <cell r="F20">
            <v>396685019</v>
          </cell>
          <cell r="O20">
            <v>68524210</v>
          </cell>
        </row>
        <row r="22">
          <cell r="F22">
            <v>103598589</v>
          </cell>
          <cell r="O22">
            <v>292270879</v>
          </cell>
        </row>
        <row r="24">
          <cell r="F24">
            <v>64076089</v>
          </cell>
          <cell r="O24">
            <v>124703519</v>
          </cell>
        </row>
        <row r="26">
          <cell r="F26">
            <v>384414916</v>
          </cell>
        </row>
        <row r="28">
          <cell r="F28">
            <v>62542881</v>
          </cell>
          <cell r="O28">
            <v>485988582</v>
          </cell>
        </row>
        <row r="40">
          <cell r="F40">
            <v>74303693</v>
          </cell>
          <cell r="O40">
            <v>6562433</v>
          </cell>
        </row>
        <row r="44">
          <cell r="F44">
            <v>139879993</v>
          </cell>
          <cell r="O44">
            <v>139506020</v>
          </cell>
        </row>
        <row r="48">
          <cell r="F48">
            <v>69471350</v>
          </cell>
          <cell r="I48">
            <v>3.2561791164266829</v>
          </cell>
          <cell r="O48">
            <v>123473455</v>
          </cell>
        </row>
        <row r="50">
          <cell r="I50">
            <v>2190776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頁6データ (カメラ)"/>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I22"/>
  <sheetViews>
    <sheetView tabSelected="1" view="pageBreakPreview" zoomScale="115" zoomScaleNormal="85" zoomScaleSheetLayoutView="115" workbookViewId="0">
      <selection activeCell="M7" sqref="M7"/>
    </sheetView>
  </sheetViews>
  <sheetFormatPr defaultRowHeight="13.5"/>
  <cols>
    <col min="1" max="1" width="9.140625" style="54"/>
    <col min="2" max="2" width="7.140625" style="54" customWidth="1"/>
    <col min="3" max="4" width="9.140625" style="54"/>
    <col min="5" max="5" width="17.140625" style="54" customWidth="1"/>
    <col min="6" max="7" width="9.140625" style="54"/>
    <col min="8" max="8" width="7.140625" style="54" customWidth="1"/>
    <col min="9" max="16384" width="9.140625" style="54"/>
  </cols>
  <sheetData>
    <row r="10" spans="1:9" ht="78" customHeight="1"/>
    <row r="11" spans="1:9" ht="25.5">
      <c r="A11" s="519" t="s">
        <v>265</v>
      </c>
      <c r="B11" s="519"/>
      <c r="C11" s="519"/>
      <c r="D11" s="519"/>
      <c r="E11" s="519"/>
      <c r="F11" s="519"/>
      <c r="G11" s="519"/>
      <c r="H11" s="519"/>
      <c r="I11" s="519"/>
    </row>
    <row r="12" spans="1:9" ht="25.5">
      <c r="A12" s="55"/>
      <c r="B12" s="55"/>
      <c r="C12" s="55"/>
      <c r="D12" s="55"/>
      <c r="E12" s="55"/>
      <c r="F12" s="55"/>
      <c r="G12" s="55"/>
      <c r="H12" s="55"/>
      <c r="I12" s="55"/>
    </row>
    <row r="13" spans="1:9" ht="25.5">
      <c r="B13" s="520" t="s">
        <v>146</v>
      </c>
      <c r="C13" s="520"/>
      <c r="D13" s="520"/>
      <c r="E13" s="520"/>
      <c r="F13" s="520"/>
      <c r="G13" s="520"/>
      <c r="H13" s="520"/>
      <c r="I13" s="55"/>
    </row>
    <row r="14" spans="1:9" ht="25.5">
      <c r="A14" s="55"/>
      <c r="B14" s="55"/>
      <c r="C14" s="55"/>
      <c r="D14" s="55"/>
      <c r="E14" s="55"/>
      <c r="F14" s="55"/>
      <c r="G14" s="55"/>
      <c r="H14" s="55"/>
      <c r="I14" s="55"/>
    </row>
    <row r="15" spans="1:9" ht="25.5">
      <c r="A15" s="55"/>
      <c r="B15" s="55"/>
      <c r="C15" s="55"/>
      <c r="D15" s="55"/>
      <c r="E15" s="55"/>
      <c r="F15" s="55"/>
      <c r="G15" s="55"/>
      <c r="H15" s="55"/>
      <c r="I15" s="55"/>
    </row>
    <row r="16" spans="1:9" ht="25.5">
      <c r="A16" s="55"/>
      <c r="B16" s="55"/>
      <c r="C16" s="55"/>
      <c r="D16" s="55"/>
      <c r="E16" s="55"/>
      <c r="F16" s="55"/>
      <c r="G16" s="55"/>
      <c r="H16" s="55"/>
      <c r="I16" s="55"/>
    </row>
    <row r="17" spans="1:9" ht="25.5">
      <c r="A17" s="55"/>
      <c r="B17" s="55"/>
      <c r="C17" s="55"/>
      <c r="D17" s="55"/>
      <c r="E17" s="55"/>
      <c r="F17" s="55"/>
      <c r="G17" s="55"/>
      <c r="H17" s="55"/>
      <c r="I17" s="55"/>
    </row>
    <row r="18" spans="1:9" ht="201" customHeight="1">
      <c r="A18" s="55"/>
      <c r="B18" s="55"/>
      <c r="C18" s="55"/>
      <c r="D18" s="55"/>
      <c r="E18" s="55"/>
      <c r="F18" s="55"/>
      <c r="G18" s="55"/>
      <c r="H18" s="55"/>
      <c r="I18" s="55"/>
    </row>
    <row r="19" spans="1:9" ht="25.5">
      <c r="A19" s="55"/>
      <c r="B19" s="55"/>
      <c r="C19" s="55"/>
      <c r="D19" s="55"/>
      <c r="E19" s="55"/>
      <c r="F19" s="55"/>
      <c r="G19" s="55"/>
      <c r="H19" s="55"/>
      <c r="I19" s="55"/>
    </row>
    <row r="20" spans="1:9" ht="25.5" customHeight="1">
      <c r="B20" s="55"/>
      <c r="D20" s="520" t="s">
        <v>289</v>
      </c>
      <c r="E20" s="520"/>
      <c r="F20" s="520"/>
      <c r="G20" s="56"/>
      <c r="H20" s="55"/>
      <c r="I20" s="55"/>
    </row>
    <row r="21" spans="1:9" ht="25.5">
      <c r="A21" s="55"/>
      <c r="B21" s="55"/>
      <c r="D21" s="519"/>
      <c r="E21" s="519"/>
      <c r="F21" s="519"/>
      <c r="G21" s="55"/>
      <c r="H21" s="55"/>
      <c r="I21" s="55"/>
    </row>
    <row r="22" spans="1:9" ht="25.5" customHeight="1">
      <c r="B22" s="55"/>
      <c r="D22" s="520" t="s">
        <v>147</v>
      </c>
      <c r="E22" s="520"/>
      <c r="F22" s="520"/>
      <c r="G22" s="56"/>
      <c r="H22" s="55"/>
      <c r="I22" s="55"/>
    </row>
  </sheetData>
  <mergeCells count="5">
    <mergeCell ref="A11:I11"/>
    <mergeCell ref="B13:H13"/>
    <mergeCell ref="D20:F20"/>
    <mergeCell ref="D21:F21"/>
    <mergeCell ref="D22:F22"/>
  </mergeCells>
  <phoneticPr fontId="9"/>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9"/>
  <sheetViews>
    <sheetView showOutlineSymbols="0" view="pageBreakPreview" topLeftCell="A34" zoomScaleNormal="100" zoomScaleSheetLayoutView="100" workbookViewId="0">
      <selection activeCell="U13" sqref="U13"/>
    </sheetView>
  </sheetViews>
  <sheetFormatPr defaultRowHeight="13.5"/>
  <cols>
    <col min="1" max="3" width="3.140625" style="266" customWidth="1"/>
    <col min="4" max="7" width="19" style="266" customWidth="1"/>
    <col min="8" max="8" width="16.7109375" style="266" customWidth="1"/>
    <col min="9" max="9" width="3.140625" style="266" customWidth="1"/>
    <col min="10" max="10" width="9.140625" style="266"/>
    <col min="11" max="12" width="0" style="266" hidden="1" customWidth="1"/>
    <col min="13" max="13" width="10.42578125" style="266" hidden="1" customWidth="1"/>
    <col min="14" max="15" width="0" style="266" hidden="1" customWidth="1"/>
    <col min="16" max="16" width="14.5703125" style="266" hidden="1" customWidth="1"/>
    <col min="17" max="17" width="0" style="266" hidden="1" customWidth="1"/>
    <col min="18" max="16384" width="9.140625" style="266"/>
  </cols>
  <sheetData>
    <row r="1" spans="1:17" s="264" customFormat="1" ht="19.5" customHeight="1">
      <c r="A1" s="731"/>
      <c r="B1" s="731"/>
      <c r="C1" s="731"/>
      <c r="D1" s="731"/>
      <c r="E1" s="731"/>
      <c r="F1" s="731"/>
      <c r="G1" s="731"/>
      <c r="H1" s="731"/>
      <c r="I1" s="263"/>
    </row>
    <row r="2" spans="1:17" ht="13.5" customHeight="1">
      <c r="A2" s="263"/>
      <c r="B2" s="265"/>
      <c r="C2" s="265"/>
      <c r="D2" s="265"/>
      <c r="E2" s="265"/>
      <c r="F2" s="265"/>
      <c r="G2" s="265"/>
      <c r="H2" s="265"/>
      <c r="I2" s="265"/>
    </row>
    <row r="3" spans="1:17" ht="15" thickBot="1">
      <c r="G3" s="267"/>
      <c r="H3" s="268" t="s">
        <v>222</v>
      </c>
      <c r="I3" s="269"/>
      <c r="K3" s="266" t="s">
        <v>314</v>
      </c>
      <c r="O3" s="266" t="s">
        <v>315</v>
      </c>
      <c r="P3" s="270">
        <v>43306401</v>
      </c>
    </row>
    <row r="4" spans="1:17" ht="17.25" customHeight="1" thickBot="1">
      <c r="B4" s="732" t="s">
        <v>223</v>
      </c>
      <c r="C4" s="733"/>
      <c r="D4" s="734"/>
      <c r="E4" s="271" t="s">
        <v>361</v>
      </c>
      <c r="F4" s="272" t="s">
        <v>258</v>
      </c>
      <c r="G4" s="273" t="s">
        <v>224</v>
      </c>
      <c r="H4" s="274" t="s">
        <v>225</v>
      </c>
      <c r="I4" s="275"/>
      <c r="K4" s="276"/>
      <c r="L4" s="272"/>
      <c r="M4" s="277"/>
    </row>
    <row r="5" spans="1:17" ht="17.25" customHeight="1" thickBot="1">
      <c r="B5" s="735" t="s">
        <v>226</v>
      </c>
      <c r="C5" s="736"/>
      <c r="D5" s="737"/>
      <c r="E5" s="278">
        <f>ROUND(K5/1000,0)</f>
        <v>737441</v>
      </c>
      <c r="F5" s="279">
        <f t="shared" ref="F5:G22" si="0">ROUND(L5/1000,0)</f>
        <v>675404</v>
      </c>
      <c r="G5" s="280">
        <f t="shared" si="0"/>
        <v>62037</v>
      </c>
      <c r="H5" s="281">
        <f>K5/L5*100-100</f>
        <v>9.1851475780822227</v>
      </c>
      <c r="I5" s="282"/>
      <c r="K5" s="283">
        <v>737441209</v>
      </c>
      <c r="L5" s="283">
        <v>675404325</v>
      </c>
      <c r="M5" s="284">
        <f t="shared" ref="M5:M22" si="1">K5-L5</f>
        <v>62036884</v>
      </c>
    </row>
    <row r="6" spans="1:17" ht="17.25" customHeight="1" thickTop="1" thickBot="1">
      <c r="B6" s="738"/>
      <c r="C6" s="739"/>
      <c r="D6" s="740"/>
      <c r="E6" s="285">
        <f>ROUND(K6/1000,0)</f>
        <v>694135</v>
      </c>
      <c r="F6" s="286">
        <f>ROUND(L6/1000,0)</f>
        <v>675404</v>
      </c>
      <c r="G6" s="287">
        <f>ROUND(M6/1000,0)</f>
        <v>18730</v>
      </c>
      <c r="H6" s="288">
        <f>K6/L5*100-100</f>
        <v>2.7732252084704925</v>
      </c>
      <c r="I6" s="282"/>
      <c r="K6" s="289">
        <f>K5-P3</f>
        <v>694134808</v>
      </c>
      <c r="L6" s="289">
        <f>L5</f>
        <v>675404325</v>
      </c>
      <c r="M6" s="290">
        <f>K6-L5</f>
        <v>18730483</v>
      </c>
    </row>
    <row r="7" spans="1:17" ht="17.25" customHeight="1" thickTop="1">
      <c r="B7" s="442"/>
      <c r="C7" s="741" t="s">
        <v>227</v>
      </c>
      <c r="D7" s="742"/>
      <c r="E7" s="291">
        <f t="shared" ref="E7:E22" si="2">ROUND(K7/1000,0)</f>
        <v>338080</v>
      </c>
      <c r="F7" s="292">
        <f t="shared" si="0"/>
        <v>281625</v>
      </c>
      <c r="G7" s="293">
        <f t="shared" si="0"/>
        <v>56455</v>
      </c>
      <c r="H7" s="294">
        <f t="shared" ref="H7:H22" si="3">K7/L7*100-100</f>
        <v>20.046213856968805</v>
      </c>
      <c r="I7" s="282"/>
      <c r="K7" s="295">
        <v>338079696</v>
      </c>
      <c r="L7" s="295">
        <v>281624622</v>
      </c>
      <c r="M7" s="296">
        <f t="shared" si="1"/>
        <v>56455074</v>
      </c>
      <c r="P7" s="266" t="s">
        <v>317</v>
      </c>
      <c r="Q7" s="266" t="s">
        <v>318</v>
      </c>
    </row>
    <row r="8" spans="1:17" ht="17.25" customHeight="1">
      <c r="B8" s="730"/>
      <c r="C8" s="743"/>
      <c r="D8" s="746" t="s">
        <v>228</v>
      </c>
      <c r="E8" s="297">
        <f t="shared" si="2"/>
        <v>199303</v>
      </c>
      <c r="F8" s="298">
        <f t="shared" si="0"/>
        <v>150519</v>
      </c>
      <c r="G8" s="299">
        <f t="shared" si="0"/>
        <v>48784</v>
      </c>
      <c r="H8" s="300">
        <f t="shared" si="3"/>
        <v>32.410620740897656</v>
      </c>
      <c r="I8" s="282"/>
      <c r="K8" s="301">
        <v>199303080</v>
      </c>
      <c r="L8" s="301">
        <v>150518953</v>
      </c>
      <c r="M8" s="302">
        <f t="shared" si="1"/>
        <v>48784127</v>
      </c>
      <c r="O8" s="303" t="s">
        <v>319</v>
      </c>
      <c r="P8" s="304">
        <f>K8</f>
        <v>199303080</v>
      </c>
      <c r="Q8" s="304">
        <f>ROUND(P8/100000,0)</f>
        <v>1993</v>
      </c>
    </row>
    <row r="9" spans="1:17" ht="17.25" customHeight="1">
      <c r="B9" s="730"/>
      <c r="C9" s="744"/>
      <c r="D9" s="747"/>
      <c r="E9" s="305">
        <f>ROUND(K9/1000,0)</f>
        <v>155997</v>
      </c>
      <c r="F9" s="306">
        <f>ROUND(L9/1000,0)</f>
        <v>150519</v>
      </c>
      <c r="G9" s="307">
        <f>ROUND(M9/1000,0)</f>
        <v>5478</v>
      </c>
      <c r="H9" s="308">
        <f>K9/L8*100-100</f>
        <v>3.6392267490726056</v>
      </c>
      <c r="I9" s="282"/>
      <c r="K9" s="301">
        <f>K8-P3</f>
        <v>155996679</v>
      </c>
      <c r="L9" s="301">
        <f>L8</f>
        <v>150518953</v>
      </c>
      <c r="M9" s="302">
        <f>K9-L8</f>
        <v>5477726</v>
      </c>
      <c r="O9" s="303"/>
      <c r="P9" s="304"/>
      <c r="Q9" s="304"/>
    </row>
    <row r="10" spans="1:17" ht="17.25" customHeight="1">
      <c r="B10" s="730"/>
      <c r="C10" s="745"/>
      <c r="D10" s="309" t="s">
        <v>229</v>
      </c>
      <c r="E10" s="310">
        <f t="shared" si="2"/>
        <v>138777</v>
      </c>
      <c r="F10" s="311">
        <f t="shared" si="0"/>
        <v>131106</v>
      </c>
      <c r="G10" s="293">
        <f t="shared" si="0"/>
        <v>7671</v>
      </c>
      <c r="H10" s="294">
        <f t="shared" si="3"/>
        <v>5.8509651478152307</v>
      </c>
      <c r="I10" s="282"/>
      <c r="K10" s="301">
        <v>138776616</v>
      </c>
      <c r="L10" s="301">
        <v>131105669</v>
      </c>
      <c r="M10" s="302">
        <f t="shared" si="1"/>
        <v>7670947</v>
      </c>
      <c r="O10" s="303" t="s">
        <v>320</v>
      </c>
      <c r="P10" s="304">
        <f>K10</f>
        <v>138776616</v>
      </c>
      <c r="Q10" s="304">
        <f t="shared" ref="Q10:Q13" si="4">ROUND(P10/100000,0)</f>
        <v>1388</v>
      </c>
    </row>
    <row r="11" spans="1:17" ht="17.25" customHeight="1">
      <c r="B11" s="442"/>
      <c r="C11" s="748" t="s">
        <v>230</v>
      </c>
      <c r="D11" s="749"/>
      <c r="E11" s="312">
        <f>ROUND(K11/1000,0)</f>
        <v>283108</v>
      </c>
      <c r="F11" s="313">
        <f t="shared" si="0"/>
        <v>277965</v>
      </c>
      <c r="G11" s="314">
        <f t="shared" si="0"/>
        <v>5143</v>
      </c>
      <c r="H11" s="315">
        <f t="shared" si="3"/>
        <v>1.8502117331640875</v>
      </c>
      <c r="I11" s="282"/>
      <c r="K11" s="301">
        <v>283108379</v>
      </c>
      <c r="L11" s="301">
        <v>277965430</v>
      </c>
      <c r="M11" s="302">
        <f t="shared" si="1"/>
        <v>5142949</v>
      </c>
      <c r="O11" s="303" t="s">
        <v>321</v>
      </c>
      <c r="P11" s="304">
        <f>K11+K16</f>
        <v>340822828</v>
      </c>
      <c r="Q11" s="304">
        <f t="shared" si="4"/>
        <v>3408</v>
      </c>
    </row>
    <row r="12" spans="1:17" ht="17.25" customHeight="1">
      <c r="B12" s="730"/>
      <c r="C12" s="750"/>
      <c r="D12" s="316" t="s">
        <v>231</v>
      </c>
      <c r="E12" s="317">
        <f t="shared" si="2"/>
        <v>109669</v>
      </c>
      <c r="F12" s="313">
        <f t="shared" si="0"/>
        <v>104796</v>
      </c>
      <c r="G12" s="314">
        <f t="shared" si="0"/>
        <v>4873</v>
      </c>
      <c r="H12" s="315">
        <f t="shared" si="3"/>
        <v>4.6500450260707993</v>
      </c>
      <c r="I12" s="282"/>
      <c r="K12" s="301">
        <v>109669012</v>
      </c>
      <c r="L12" s="301">
        <v>104795953</v>
      </c>
      <c r="M12" s="302">
        <f t="shared" si="1"/>
        <v>4873059</v>
      </c>
      <c r="O12" s="303" t="s">
        <v>91</v>
      </c>
      <c r="P12" s="304">
        <f>K19+K20+K22</f>
        <v>58454747</v>
      </c>
      <c r="Q12" s="304">
        <f t="shared" si="4"/>
        <v>585</v>
      </c>
    </row>
    <row r="13" spans="1:17" ht="17.25" customHeight="1">
      <c r="B13" s="730"/>
      <c r="C13" s="751"/>
      <c r="D13" s="443" t="s">
        <v>232</v>
      </c>
      <c r="E13" s="317">
        <f t="shared" si="2"/>
        <v>137165</v>
      </c>
      <c r="F13" s="313">
        <f t="shared" si="0"/>
        <v>137206</v>
      </c>
      <c r="G13" s="314">
        <f t="shared" si="0"/>
        <v>-41</v>
      </c>
      <c r="H13" s="315">
        <f t="shared" si="3"/>
        <v>-2.9930814754436597E-2</v>
      </c>
      <c r="I13" s="282"/>
      <c r="K13" s="301">
        <v>137165355</v>
      </c>
      <c r="L13" s="301">
        <v>137206422</v>
      </c>
      <c r="M13" s="302">
        <f t="shared" si="1"/>
        <v>-41067</v>
      </c>
      <c r="O13" s="303" t="s">
        <v>92</v>
      </c>
      <c r="P13" s="304">
        <f>SUM(P8:P12)</f>
        <v>737357271</v>
      </c>
      <c r="Q13" s="304">
        <f t="shared" si="4"/>
        <v>7374</v>
      </c>
    </row>
    <row r="14" spans="1:17" ht="17.25" customHeight="1">
      <c r="B14" s="730"/>
      <c r="C14" s="751"/>
      <c r="D14" s="309" t="s">
        <v>233</v>
      </c>
      <c r="E14" s="312">
        <f t="shared" si="2"/>
        <v>36004</v>
      </c>
      <c r="F14" s="313">
        <f t="shared" si="0"/>
        <v>35652</v>
      </c>
      <c r="G14" s="314">
        <f t="shared" si="0"/>
        <v>352</v>
      </c>
      <c r="H14" s="315">
        <f t="shared" si="3"/>
        <v>0.98728902994270129</v>
      </c>
      <c r="I14" s="282"/>
      <c r="K14" s="301">
        <v>36004266</v>
      </c>
      <c r="L14" s="301">
        <v>35652275</v>
      </c>
      <c r="M14" s="302">
        <f t="shared" si="1"/>
        <v>351991</v>
      </c>
    </row>
    <row r="15" spans="1:17" ht="17.25" customHeight="1">
      <c r="B15" s="730"/>
      <c r="C15" s="752"/>
      <c r="D15" s="309" t="s">
        <v>234</v>
      </c>
      <c r="E15" s="312">
        <f t="shared" si="2"/>
        <v>270</v>
      </c>
      <c r="F15" s="313">
        <f t="shared" si="0"/>
        <v>311</v>
      </c>
      <c r="G15" s="314">
        <f t="shared" si="0"/>
        <v>-41</v>
      </c>
      <c r="H15" s="315">
        <f t="shared" si="3"/>
        <v>-13.203552352146204</v>
      </c>
      <c r="I15" s="282"/>
      <c r="K15" s="301">
        <v>269746</v>
      </c>
      <c r="L15" s="301">
        <v>310780</v>
      </c>
      <c r="M15" s="302">
        <f t="shared" si="1"/>
        <v>-41034</v>
      </c>
    </row>
    <row r="16" spans="1:17" ht="17.25" customHeight="1">
      <c r="B16" s="442"/>
      <c r="C16" s="748" t="s">
        <v>235</v>
      </c>
      <c r="D16" s="749"/>
      <c r="E16" s="312">
        <f t="shared" si="2"/>
        <v>57714</v>
      </c>
      <c r="F16" s="313">
        <f t="shared" si="0"/>
        <v>56638</v>
      </c>
      <c r="G16" s="314">
        <f t="shared" si="0"/>
        <v>1077</v>
      </c>
      <c r="H16" s="315">
        <f t="shared" si="3"/>
        <v>1.9010361376498963</v>
      </c>
      <c r="I16" s="282"/>
      <c r="K16" s="301">
        <v>57714449</v>
      </c>
      <c r="L16" s="301">
        <v>56637745</v>
      </c>
      <c r="M16" s="302">
        <f t="shared" si="1"/>
        <v>1076704</v>
      </c>
    </row>
    <row r="17" spans="2:13" ht="17.25">
      <c r="B17" s="730"/>
      <c r="C17" s="318"/>
      <c r="D17" s="309" t="s">
        <v>231</v>
      </c>
      <c r="E17" s="312">
        <f t="shared" si="2"/>
        <v>27565</v>
      </c>
      <c r="F17" s="313">
        <f t="shared" si="0"/>
        <v>26426</v>
      </c>
      <c r="G17" s="314">
        <f t="shared" si="0"/>
        <v>1138</v>
      </c>
      <c r="H17" s="315">
        <f t="shared" si="3"/>
        <v>4.3068256227176249</v>
      </c>
      <c r="I17" s="282"/>
      <c r="K17" s="301">
        <v>27564564</v>
      </c>
      <c r="L17" s="301">
        <v>26426424</v>
      </c>
      <c r="M17" s="302">
        <f t="shared" si="1"/>
        <v>1138140</v>
      </c>
    </row>
    <row r="18" spans="2:13" ht="17.25">
      <c r="B18" s="730"/>
      <c r="C18" s="318"/>
      <c r="D18" s="443" t="s">
        <v>232</v>
      </c>
      <c r="E18" s="312">
        <f t="shared" si="2"/>
        <v>30150</v>
      </c>
      <c r="F18" s="313">
        <f t="shared" si="0"/>
        <v>30211</v>
      </c>
      <c r="G18" s="314">
        <f t="shared" si="0"/>
        <v>-61</v>
      </c>
      <c r="H18" s="315">
        <f t="shared" si="3"/>
        <v>-0.2033542326732487</v>
      </c>
      <c r="I18" s="282"/>
      <c r="K18" s="301">
        <v>30149885</v>
      </c>
      <c r="L18" s="301">
        <v>30211321</v>
      </c>
      <c r="M18" s="302">
        <f t="shared" si="1"/>
        <v>-61436</v>
      </c>
    </row>
    <row r="19" spans="2:13" ht="17.25" customHeight="1">
      <c r="B19" s="442"/>
      <c r="C19" s="754" t="s">
        <v>236</v>
      </c>
      <c r="D19" s="755"/>
      <c r="E19" s="297">
        <f t="shared" si="2"/>
        <v>1772</v>
      </c>
      <c r="F19" s="298">
        <f t="shared" si="0"/>
        <v>1713</v>
      </c>
      <c r="G19" s="299">
        <f t="shared" si="0"/>
        <v>59</v>
      </c>
      <c r="H19" s="300">
        <f t="shared" si="3"/>
        <v>3.4166470626350218</v>
      </c>
      <c r="I19" s="282"/>
      <c r="K19" s="319">
        <v>1771613</v>
      </c>
      <c r="L19" s="319">
        <v>1713083</v>
      </c>
      <c r="M19" s="320">
        <f t="shared" si="1"/>
        <v>58530</v>
      </c>
    </row>
    <row r="20" spans="2:13" ht="17.25" customHeight="1">
      <c r="B20" s="442"/>
      <c r="C20" s="754" t="s">
        <v>237</v>
      </c>
      <c r="D20" s="755"/>
      <c r="E20" s="297">
        <f t="shared" si="2"/>
        <v>28875</v>
      </c>
      <c r="F20" s="298">
        <f t="shared" si="0"/>
        <v>30010</v>
      </c>
      <c r="G20" s="299">
        <f t="shared" si="0"/>
        <v>-1135</v>
      </c>
      <c r="H20" s="300">
        <f t="shared" si="3"/>
        <v>-3.7827269797634528</v>
      </c>
      <c r="I20" s="282"/>
      <c r="K20" s="319">
        <v>28874718</v>
      </c>
      <c r="L20" s="319">
        <v>30009911</v>
      </c>
      <c r="M20" s="320">
        <f t="shared" si="1"/>
        <v>-1135193</v>
      </c>
    </row>
    <row r="21" spans="2:13" ht="17.25" customHeight="1">
      <c r="B21" s="442"/>
      <c r="C21" s="754" t="s">
        <v>322</v>
      </c>
      <c r="D21" s="755"/>
      <c r="E21" s="297">
        <f t="shared" si="2"/>
        <v>84</v>
      </c>
      <c r="F21" s="321" t="s">
        <v>410</v>
      </c>
      <c r="G21" s="299">
        <f t="shared" si="0"/>
        <v>84</v>
      </c>
      <c r="H21" s="322" t="s">
        <v>323</v>
      </c>
      <c r="I21" s="282"/>
      <c r="K21" s="319">
        <v>83936</v>
      </c>
      <c r="L21" s="319"/>
      <c r="M21" s="320">
        <f t="shared" si="1"/>
        <v>83936</v>
      </c>
    </row>
    <row r="22" spans="2:13" ht="17.25" customHeight="1" thickBot="1">
      <c r="B22" s="323"/>
      <c r="C22" s="756" t="s">
        <v>238</v>
      </c>
      <c r="D22" s="757"/>
      <c r="E22" s="324">
        <f t="shared" si="2"/>
        <v>27808</v>
      </c>
      <c r="F22" s="325">
        <f t="shared" si="0"/>
        <v>27454</v>
      </c>
      <c r="G22" s="326">
        <f t="shared" si="0"/>
        <v>355</v>
      </c>
      <c r="H22" s="327">
        <f t="shared" si="3"/>
        <v>1.2926641794094706</v>
      </c>
      <c r="I22" s="282"/>
      <c r="K22" s="328">
        <v>27808416</v>
      </c>
      <c r="L22" s="328">
        <v>27453534</v>
      </c>
      <c r="M22" s="329">
        <f t="shared" si="1"/>
        <v>354882</v>
      </c>
    </row>
    <row r="23" spans="2:13" ht="16.5" customHeight="1">
      <c r="B23" s="330" t="s">
        <v>411</v>
      </c>
      <c r="C23" s="331"/>
      <c r="D23" s="331"/>
      <c r="E23" s="331"/>
      <c r="F23" s="331"/>
      <c r="G23" s="331"/>
      <c r="H23" s="332"/>
      <c r="I23" s="282"/>
    </row>
    <row r="24" spans="2:13" ht="16.5" customHeight="1">
      <c r="B24" s="330" t="s">
        <v>412</v>
      </c>
      <c r="C24" s="331"/>
      <c r="D24" s="331"/>
      <c r="E24" s="331"/>
      <c r="F24" s="331"/>
      <c r="G24" s="331"/>
      <c r="H24" s="332"/>
      <c r="I24" s="282"/>
    </row>
    <row r="25" spans="2:13" ht="3.75" customHeight="1">
      <c r="B25" s="333"/>
      <c r="C25" s="334"/>
      <c r="D25" s="334"/>
      <c r="E25" s="331"/>
      <c r="F25" s="331"/>
      <c r="G25" s="331"/>
      <c r="H25" s="332"/>
      <c r="I25" s="282"/>
    </row>
    <row r="26" spans="2:13" ht="6" customHeight="1">
      <c r="B26" s="334"/>
      <c r="C26" s="334"/>
      <c r="D26" s="334"/>
      <c r="E26" s="331"/>
      <c r="F26" s="331"/>
      <c r="G26" s="331"/>
      <c r="H26" s="282"/>
      <c r="I26" s="282"/>
    </row>
    <row r="27" spans="2:13" s="337" customFormat="1" ht="16.5" customHeight="1" collapsed="1">
      <c r="B27" s="335" t="s">
        <v>413</v>
      </c>
      <c r="C27" s="336" t="s">
        <v>362</v>
      </c>
    </row>
    <row r="28" spans="2:13" ht="16.5" customHeight="1">
      <c r="B28" s="336"/>
      <c r="C28" s="336"/>
      <c r="D28" s="336"/>
      <c r="E28" s="336"/>
      <c r="F28" s="336"/>
      <c r="G28" s="336"/>
      <c r="H28" s="336"/>
      <c r="I28" s="338"/>
    </row>
    <row r="29" spans="2:13" ht="14.25">
      <c r="B29" s="339" t="s">
        <v>239</v>
      </c>
    </row>
    <row r="30" spans="2:13" ht="9.9499999999999993" customHeight="1">
      <c r="B30" s="340"/>
      <c r="C30" s="337"/>
      <c r="D30" s="337"/>
      <c r="E30" s="337"/>
      <c r="F30" s="337"/>
      <c r="G30" s="337"/>
      <c r="H30" s="341"/>
      <c r="I30" s="337"/>
    </row>
    <row r="31" spans="2:13" ht="14.25">
      <c r="B31" s="342" t="s">
        <v>414</v>
      </c>
      <c r="C31" s="343" t="s">
        <v>240</v>
      </c>
      <c r="D31" s="343"/>
      <c r="E31" s="343"/>
      <c r="F31" s="343"/>
      <c r="G31" s="343"/>
      <c r="H31" s="341"/>
      <c r="I31" s="341"/>
    </row>
    <row r="32" spans="2:13" ht="6" customHeight="1">
      <c r="B32" s="340"/>
      <c r="C32" s="337"/>
      <c r="D32" s="337"/>
      <c r="E32" s="337"/>
      <c r="F32" s="337"/>
      <c r="G32" s="337"/>
      <c r="H32" s="337"/>
      <c r="I32" s="337"/>
    </row>
    <row r="33" spans="2:11">
      <c r="B33" s="344"/>
      <c r="C33" s="345"/>
      <c r="D33" s="753" t="s">
        <v>324</v>
      </c>
      <c r="E33" s="753"/>
      <c r="F33" s="753"/>
      <c r="G33" s="753"/>
      <c r="H33" s="753"/>
    </row>
    <row r="34" spans="2:11">
      <c r="B34" s="344"/>
      <c r="C34" s="345"/>
      <c r="D34" s="758" t="s">
        <v>325</v>
      </c>
      <c r="E34" s="758"/>
      <c r="F34" s="758"/>
      <c r="G34" s="758"/>
      <c r="H34" s="758"/>
    </row>
    <row r="35" spans="2:11" ht="6" customHeight="1">
      <c r="B35" s="340"/>
      <c r="C35" s="346"/>
      <c r="D35" s="347"/>
      <c r="E35" s="347"/>
      <c r="F35" s="347"/>
      <c r="G35" s="347"/>
      <c r="H35" s="347"/>
      <c r="I35" s="337"/>
    </row>
    <row r="36" spans="2:11" ht="14.25">
      <c r="B36" s="342" t="s">
        <v>415</v>
      </c>
      <c r="C36" s="343" t="s">
        <v>241</v>
      </c>
      <c r="D36" s="343"/>
      <c r="E36" s="343"/>
      <c r="F36" s="343"/>
      <c r="G36" s="343"/>
      <c r="H36" s="343"/>
      <c r="I36" s="341"/>
    </row>
    <row r="37" spans="2:11" ht="6" customHeight="1">
      <c r="B37" s="340"/>
      <c r="C37" s="337"/>
      <c r="D37" s="337"/>
      <c r="E37" s="337"/>
      <c r="F37" s="337"/>
      <c r="G37" s="337"/>
      <c r="H37" s="337"/>
      <c r="I37" s="337"/>
    </row>
    <row r="38" spans="2:11" ht="13.5" customHeight="1">
      <c r="B38" s="344"/>
      <c r="C38" s="345"/>
      <c r="D38" s="753" t="s">
        <v>326</v>
      </c>
      <c r="E38" s="753"/>
      <c r="F38" s="753"/>
      <c r="G38" s="753"/>
      <c r="H38" s="753"/>
    </row>
    <row r="39" spans="2:11" ht="6" customHeight="1">
      <c r="B39" s="340"/>
      <c r="C39" s="346"/>
      <c r="D39" s="347"/>
      <c r="E39" s="347"/>
      <c r="F39" s="347"/>
      <c r="G39" s="347"/>
      <c r="H39" s="347"/>
      <c r="I39" s="337"/>
    </row>
    <row r="40" spans="2:11" ht="14.25">
      <c r="B40" s="342" t="s">
        <v>416</v>
      </c>
      <c r="C40" s="343" t="s">
        <v>230</v>
      </c>
      <c r="D40" s="343"/>
      <c r="E40" s="343"/>
      <c r="F40" s="343"/>
      <c r="G40" s="343"/>
      <c r="H40" s="343"/>
      <c r="I40" s="341"/>
    </row>
    <row r="41" spans="2:11" ht="6" customHeight="1">
      <c r="B41" s="340"/>
      <c r="C41" s="337"/>
      <c r="D41" s="337"/>
      <c r="E41" s="337"/>
      <c r="F41" s="337"/>
      <c r="G41" s="337"/>
      <c r="H41" s="337"/>
      <c r="I41" s="337"/>
    </row>
    <row r="42" spans="2:11">
      <c r="C42" s="345"/>
      <c r="D42" s="343" t="s">
        <v>327</v>
      </c>
      <c r="E42" s="343"/>
      <c r="F42" s="343"/>
      <c r="G42" s="343"/>
      <c r="H42" s="343"/>
      <c r="I42" s="348"/>
    </row>
    <row r="43" spans="2:11" ht="11.25" customHeight="1">
      <c r="B43" s="340"/>
      <c r="C43" s="337"/>
      <c r="D43" s="337"/>
      <c r="E43" s="337"/>
      <c r="F43" s="337"/>
      <c r="G43" s="337"/>
      <c r="H43" s="337"/>
      <c r="I43" s="337"/>
    </row>
    <row r="44" spans="2:11" ht="16.5" customHeight="1">
      <c r="B44" s="349" t="s">
        <v>242</v>
      </c>
      <c r="C44" s="337"/>
      <c r="D44" s="337"/>
      <c r="E44" s="337"/>
      <c r="F44" s="337"/>
      <c r="G44" s="337"/>
      <c r="H44" s="337"/>
      <c r="I44" s="337"/>
      <c r="K44" s="337"/>
    </row>
    <row r="45" spans="2:11" s="263" customFormat="1" ht="16.5" customHeight="1">
      <c r="B45" s="350"/>
    </row>
    <row r="46" spans="2:11" s="263" customFormat="1" ht="16.5" customHeight="1">
      <c r="B46" s="350"/>
    </row>
    <row r="47" spans="2:11" ht="11.25" customHeight="1">
      <c r="B47" s="340"/>
      <c r="C47" s="337"/>
      <c r="D47" s="337"/>
      <c r="E47" s="337"/>
      <c r="F47" s="337"/>
      <c r="G47" s="337"/>
      <c r="H47" s="337"/>
      <c r="I47" s="337"/>
    </row>
    <row r="48" spans="2:11" s="263" customFormat="1" ht="16.5" customHeight="1">
      <c r="B48" s="339" t="s">
        <v>243</v>
      </c>
    </row>
    <row r="49" spans="2:9" s="263" customFormat="1" ht="3" customHeight="1">
      <c r="B49" s="339"/>
    </row>
    <row r="50" spans="2:9" ht="24" customHeight="1">
      <c r="B50" s="340"/>
      <c r="C50" s="337"/>
      <c r="D50" s="337"/>
      <c r="E50" s="337"/>
      <c r="F50" s="337"/>
      <c r="G50" s="337"/>
      <c r="H50" s="337"/>
      <c r="I50" s="337"/>
    </row>
    <row r="51" spans="2:9" ht="21.75" customHeight="1"/>
    <row r="52" spans="2:9" ht="21.75" customHeight="1"/>
    <row r="58" spans="2:9" ht="6" customHeight="1"/>
    <row r="59" spans="2:9">
      <c r="D59" s="351"/>
    </row>
  </sheetData>
  <mergeCells count="20">
    <mergeCell ref="D38:H38"/>
    <mergeCell ref="C19:D19"/>
    <mergeCell ref="C20:D20"/>
    <mergeCell ref="C21:D21"/>
    <mergeCell ref="C22:D22"/>
    <mergeCell ref="D33:H33"/>
    <mergeCell ref="D34:H34"/>
    <mergeCell ref="B17:B18"/>
    <mergeCell ref="A1:H1"/>
    <mergeCell ref="B4:D4"/>
    <mergeCell ref="B5:D6"/>
    <mergeCell ref="C7:D7"/>
    <mergeCell ref="B8:B10"/>
    <mergeCell ref="C8:C10"/>
    <mergeCell ref="D8:D9"/>
    <mergeCell ref="C11:D11"/>
    <mergeCell ref="B12:B13"/>
    <mergeCell ref="C12:C15"/>
    <mergeCell ref="B14:B15"/>
    <mergeCell ref="C16:D16"/>
  </mergeCells>
  <phoneticPr fontId="9"/>
  <printOptions horizontalCentered="1" verticalCentered="1"/>
  <pageMargins left="0.39370078740157483" right="0.39370078740157483" top="0.39370078740157483" bottom="0.19685039370078741" header="0.39370078740157483" footer="0.19685039370078741"/>
  <pageSetup paperSize="9" scale="96"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OutlineSymbols="0" workbookViewId="0">
      <selection activeCell="K5" sqref="K5"/>
    </sheetView>
  </sheetViews>
  <sheetFormatPr defaultRowHeight="15" customHeight="1"/>
  <cols>
    <col min="1" max="1" width="18.7109375" style="500" customWidth="1"/>
    <col min="2" max="2" width="9.140625" style="500"/>
    <col min="3" max="3" width="9.140625" style="500" collapsed="1"/>
    <col min="4" max="6" width="9.140625" style="500"/>
    <col min="7" max="10" width="9.140625" style="500" collapsed="1"/>
    <col min="11" max="11" width="10.85546875" style="500" customWidth="1"/>
    <col min="12" max="12" width="10.28515625" style="500" customWidth="1"/>
    <col min="13" max="16384" width="9.140625" style="500"/>
  </cols>
  <sheetData>
    <row r="1" spans="1:11" ht="46.5" customHeight="1">
      <c r="A1" s="497" t="s">
        <v>223</v>
      </c>
      <c r="B1" s="498" t="s">
        <v>417</v>
      </c>
      <c r="C1" s="499" t="s">
        <v>418</v>
      </c>
      <c r="D1" s="499" t="s">
        <v>419</v>
      </c>
      <c r="E1" s="499" t="s">
        <v>420</v>
      </c>
      <c r="F1" s="499"/>
      <c r="G1" s="499" t="s">
        <v>421</v>
      </c>
      <c r="H1" s="499" t="s">
        <v>422</v>
      </c>
      <c r="I1" s="499" t="s">
        <v>423</v>
      </c>
      <c r="J1" s="499" t="s">
        <v>424</v>
      </c>
    </row>
    <row r="2" spans="1:11" ht="27.75" customHeight="1">
      <c r="A2" s="497" t="s">
        <v>228</v>
      </c>
      <c r="B2" s="313">
        <v>1294</v>
      </c>
      <c r="C2" s="313">
        <v>1400</v>
      </c>
      <c r="D2" s="506">
        <v>1389</v>
      </c>
      <c r="E2" s="506">
        <v>1306</v>
      </c>
      <c r="F2" s="506"/>
      <c r="G2" s="313">
        <v>1422</v>
      </c>
      <c r="H2" s="313">
        <v>1465</v>
      </c>
      <c r="I2" s="313">
        <v>1505</v>
      </c>
      <c r="J2" s="313">
        <v>1993</v>
      </c>
    </row>
    <row r="3" spans="1:11" ht="27.75" customHeight="1">
      <c r="A3" s="497" t="s">
        <v>229</v>
      </c>
      <c r="B3" s="313">
        <v>1643</v>
      </c>
      <c r="C3" s="313">
        <v>1544</v>
      </c>
      <c r="D3" s="506">
        <v>1034</v>
      </c>
      <c r="E3" s="506">
        <v>1081</v>
      </c>
      <c r="F3" s="506"/>
      <c r="G3" s="313">
        <v>1319</v>
      </c>
      <c r="H3" s="313">
        <v>1224</v>
      </c>
      <c r="I3" s="313">
        <v>1311</v>
      </c>
      <c r="J3" s="313">
        <v>1388</v>
      </c>
    </row>
    <row r="4" spans="1:11" ht="27.75" customHeight="1">
      <c r="A4" s="501" t="s">
        <v>425</v>
      </c>
      <c r="B4" s="313">
        <v>4296</v>
      </c>
      <c r="C4" s="313">
        <v>3242</v>
      </c>
      <c r="D4" s="506">
        <v>3302</v>
      </c>
      <c r="E4" s="506">
        <v>3363</v>
      </c>
      <c r="F4" s="506"/>
      <c r="G4" s="313">
        <v>3266</v>
      </c>
      <c r="H4" s="313">
        <v>3317</v>
      </c>
      <c r="I4" s="313">
        <v>3346</v>
      </c>
      <c r="J4" s="313">
        <v>3408</v>
      </c>
    </row>
    <row r="5" spans="1:11" ht="27.75" customHeight="1">
      <c r="A5" s="497" t="s">
        <v>426</v>
      </c>
      <c r="B5" s="313">
        <v>543</v>
      </c>
      <c r="C5" s="313">
        <v>522</v>
      </c>
      <c r="D5" s="506">
        <v>511</v>
      </c>
      <c r="E5" s="506">
        <v>510</v>
      </c>
      <c r="F5" s="506"/>
      <c r="G5" s="313">
        <v>594</v>
      </c>
      <c r="H5" s="313">
        <v>590</v>
      </c>
      <c r="I5" s="313">
        <v>592</v>
      </c>
      <c r="J5" s="313">
        <v>585</v>
      </c>
    </row>
    <row r="6" spans="1:11" ht="27.75" customHeight="1">
      <c r="A6" s="497" t="s">
        <v>226</v>
      </c>
      <c r="B6" s="313">
        <f t="shared" ref="B6" si="0">SUM(B2:B5)</f>
        <v>7776</v>
      </c>
      <c r="C6" s="313">
        <f>SUM(C2:C5)</f>
        <v>6708</v>
      </c>
      <c r="D6" s="313">
        <f>SUM(D2:D5)</f>
        <v>6236</v>
      </c>
      <c r="E6" s="313">
        <f>SUM(E2:E5)</f>
        <v>6260</v>
      </c>
      <c r="F6" s="313"/>
      <c r="G6" s="313">
        <v>6601</v>
      </c>
      <c r="H6" s="313">
        <v>6595</v>
      </c>
      <c r="I6" s="313">
        <v>6754</v>
      </c>
      <c r="J6" s="313">
        <v>7374</v>
      </c>
    </row>
    <row r="7" spans="1:11" ht="15" customHeight="1">
      <c r="A7" s="266"/>
      <c r="B7" s="266"/>
      <c r="C7" s="266"/>
      <c r="D7" s="266"/>
      <c r="E7" s="266"/>
      <c r="F7" s="266"/>
      <c r="G7" s="266"/>
      <c r="H7" s="266"/>
      <c r="I7" s="266"/>
      <c r="J7" s="266"/>
      <c r="K7" s="266"/>
    </row>
    <row r="8" spans="1:11" ht="15" customHeight="1">
      <c r="A8" s="266"/>
      <c r="B8" s="266"/>
      <c r="C8" s="266"/>
      <c r="D8" s="266"/>
      <c r="E8" s="266"/>
      <c r="F8" s="266"/>
      <c r="G8" s="266"/>
      <c r="H8" s="266"/>
      <c r="I8" s="266"/>
      <c r="J8" s="266"/>
      <c r="K8" s="266"/>
    </row>
    <row r="9" spans="1:11" ht="15" customHeight="1">
      <c r="A9" s="266" t="s">
        <v>427</v>
      </c>
      <c r="B9" s="266"/>
      <c r="C9" s="266"/>
      <c r="D9" s="266"/>
      <c r="E9" s="266"/>
      <c r="F9" s="266"/>
      <c r="G9" s="266"/>
      <c r="H9" s="266"/>
      <c r="I9" s="266"/>
      <c r="J9" s="266"/>
      <c r="K9" s="266"/>
    </row>
    <row r="10" spans="1:11" ht="15" customHeight="1">
      <c r="A10" s="502"/>
      <c r="B10" s="502"/>
      <c r="C10" s="502"/>
      <c r="D10" s="502"/>
      <c r="E10" s="502"/>
      <c r="F10" s="502"/>
      <c r="G10" s="502"/>
      <c r="H10" s="502"/>
      <c r="I10" s="502"/>
      <c r="J10" s="502"/>
    </row>
    <row r="11" spans="1:11" ht="15" customHeight="1">
      <c r="A11" s="502"/>
      <c r="B11" s="502"/>
      <c r="C11" s="502"/>
      <c r="D11" s="502"/>
      <c r="E11" s="502"/>
      <c r="F11" s="502"/>
      <c r="G11" s="502"/>
      <c r="H11" s="502"/>
      <c r="I11" s="502"/>
      <c r="J11" s="502"/>
    </row>
    <row r="12" spans="1:11" ht="15" customHeight="1">
      <c r="A12" s="502"/>
      <c r="B12" s="502"/>
      <c r="C12" s="502"/>
      <c r="D12" s="502"/>
      <c r="E12" s="502"/>
      <c r="F12" s="502"/>
      <c r="G12" s="502"/>
      <c r="H12" s="502"/>
      <c r="I12" s="502"/>
      <c r="J12" s="502"/>
    </row>
    <row r="13" spans="1:11" ht="15" customHeight="1">
      <c r="A13" s="502"/>
      <c r="B13" s="502"/>
      <c r="C13" s="502"/>
      <c r="D13" s="502"/>
      <c r="E13" s="502"/>
      <c r="F13" s="502"/>
      <c r="G13" s="502"/>
      <c r="H13" s="502"/>
      <c r="I13" s="502"/>
      <c r="J13" s="502"/>
    </row>
    <row r="14" spans="1:11" ht="15" customHeight="1">
      <c r="A14" s="502"/>
      <c r="B14" s="502"/>
      <c r="C14" s="502"/>
      <c r="D14" s="502"/>
      <c r="E14" s="502"/>
      <c r="F14" s="502"/>
      <c r="G14" s="502"/>
      <c r="H14" s="502"/>
      <c r="I14" s="502"/>
      <c r="J14" s="502"/>
    </row>
    <row r="15" spans="1:11" ht="15" customHeight="1">
      <c r="A15" s="502"/>
      <c r="B15" s="502"/>
      <c r="C15" s="502"/>
      <c r="D15" s="502"/>
      <c r="E15" s="502"/>
      <c r="F15" s="502"/>
      <c r="G15" s="502"/>
      <c r="H15" s="502"/>
      <c r="I15" s="502"/>
      <c r="J15" s="502"/>
    </row>
    <row r="16" spans="1:11" ht="15" customHeight="1">
      <c r="A16" s="502"/>
      <c r="B16" s="502"/>
      <c r="C16" s="502"/>
      <c r="D16" s="502"/>
      <c r="E16" s="502"/>
      <c r="F16" s="502"/>
      <c r="G16" s="502"/>
      <c r="H16" s="502"/>
      <c r="I16" s="502"/>
      <c r="J16" s="502"/>
    </row>
    <row r="17" spans="1:10" ht="15" customHeight="1">
      <c r="A17" s="502"/>
      <c r="B17" s="502"/>
      <c r="C17" s="502"/>
      <c r="D17" s="502"/>
      <c r="E17" s="502"/>
      <c r="F17" s="502"/>
      <c r="G17" s="502"/>
      <c r="H17" s="502"/>
      <c r="I17" s="502"/>
      <c r="J17" s="502"/>
    </row>
    <row r="18" spans="1:10" ht="15" customHeight="1">
      <c r="A18" s="502"/>
      <c r="B18" s="502"/>
      <c r="C18" s="502"/>
      <c r="D18" s="502"/>
      <c r="E18" s="502"/>
      <c r="F18" s="502"/>
      <c r="G18" s="502"/>
      <c r="H18" s="502"/>
      <c r="I18" s="502"/>
      <c r="J18" s="502"/>
    </row>
    <row r="19" spans="1:10" ht="15" customHeight="1">
      <c r="A19" s="502"/>
      <c r="B19" s="502"/>
      <c r="C19" s="502"/>
      <c r="D19" s="502"/>
      <c r="E19" s="502"/>
      <c r="F19" s="502"/>
      <c r="G19" s="502"/>
      <c r="H19" s="502"/>
      <c r="I19" s="502"/>
      <c r="J19" s="502"/>
    </row>
    <row r="20" spans="1:10" ht="15" customHeight="1">
      <c r="A20" s="502"/>
      <c r="B20" s="502"/>
      <c r="C20" s="502"/>
      <c r="D20" s="502"/>
      <c r="E20" s="502"/>
      <c r="F20" s="502"/>
      <c r="G20" s="502"/>
      <c r="H20" s="502"/>
      <c r="I20" s="502"/>
      <c r="J20" s="502"/>
    </row>
    <row r="21" spans="1:10" ht="15" customHeight="1">
      <c r="A21" s="502"/>
      <c r="B21" s="502"/>
      <c r="C21" s="502"/>
      <c r="D21" s="502"/>
      <c r="E21" s="502"/>
      <c r="F21" s="502"/>
      <c r="G21" s="502"/>
      <c r="H21" s="502"/>
      <c r="I21" s="502"/>
      <c r="J21" s="502"/>
    </row>
    <row r="22" spans="1:10" ht="15" customHeight="1">
      <c r="A22" s="502"/>
      <c r="B22" s="502"/>
      <c r="C22" s="502"/>
      <c r="D22" s="502"/>
      <c r="E22" s="502"/>
      <c r="F22" s="502"/>
      <c r="G22" s="502"/>
      <c r="H22" s="502"/>
      <c r="I22" s="502"/>
      <c r="J22" s="502"/>
    </row>
    <row r="23" spans="1:10" ht="15" customHeight="1">
      <c r="A23" s="502"/>
      <c r="B23" s="502"/>
      <c r="C23" s="502"/>
      <c r="D23" s="502"/>
      <c r="E23" s="502"/>
      <c r="F23" s="502"/>
      <c r="G23" s="502"/>
      <c r="H23" s="502"/>
      <c r="I23" s="502"/>
      <c r="J23" s="502"/>
    </row>
    <row r="24" spans="1:10" ht="15" customHeight="1">
      <c r="A24" s="502"/>
      <c r="B24" s="502"/>
      <c r="C24" s="502"/>
      <c r="D24" s="502"/>
      <c r="E24" s="502"/>
      <c r="F24" s="502"/>
      <c r="G24" s="502"/>
      <c r="H24" s="502"/>
      <c r="I24" s="502"/>
      <c r="J24" s="502"/>
    </row>
    <row r="25" spans="1:10" ht="15" customHeight="1">
      <c r="A25" s="502"/>
      <c r="B25" s="502"/>
      <c r="C25" s="502"/>
      <c r="D25" s="502"/>
      <c r="E25" s="502"/>
      <c r="F25" s="502"/>
      <c r="G25" s="502"/>
      <c r="H25" s="502"/>
      <c r="I25" s="502"/>
      <c r="J25" s="502"/>
    </row>
    <row r="26" spans="1:10" ht="15" customHeight="1">
      <c r="A26" s="502"/>
      <c r="B26" s="502"/>
      <c r="C26" s="502"/>
      <c r="D26" s="502"/>
      <c r="E26" s="502"/>
      <c r="F26" s="502"/>
      <c r="G26" s="502"/>
      <c r="H26" s="502"/>
      <c r="I26" s="502"/>
      <c r="J26" s="502"/>
    </row>
    <row r="27" spans="1:10" ht="15" customHeight="1">
      <c r="A27" s="502"/>
      <c r="B27" s="502"/>
      <c r="C27" s="502"/>
      <c r="D27" s="502"/>
      <c r="E27" s="502"/>
      <c r="F27" s="502"/>
      <c r="G27" s="502"/>
      <c r="H27" s="502"/>
      <c r="I27" s="502"/>
      <c r="J27" s="502"/>
    </row>
    <row r="28" spans="1:10" ht="15" customHeight="1">
      <c r="A28" s="502"/>
      <c r="B28" s="502"/>
      <c r="C28" s="502"/>
      <c r="D28" s="502"/>
      <c r="E28" s="502"/>
      <c r="F28" s="502"/>
      <c r="G28" s="502"/>
      <c r="H28" s="502"/>
      <c r="I28" s="502"/>
      <c r="J28" s="502"/>
    </row>
    <row r="29" spans="1:10" ht="15" customHeight="1">
      <c r="A29" s="502"/>
      <c r="B29" s="502"/>
      <c r="C29" s="502"/>
      <c r="D29" s="502"/>
      <c r="E29" s="502"/>
      <c r="F29" s="502"/>
      <c r="G29" s="502"/>
      <c r="H29" s="502"/>
      <c r="I29" s="502"/>
      <c r="J29" s="502"/>
    </row>
    <row r="30" spans="1:10" ht="15" customHeight="1">
      <c r="A30" s="502"/>
      <c r="B30" s="502"/>
      <c r="C30" s="502"/>
      <c r="D30" s="502"/>
      <c r="E30" s="502"/>
      <c r="F30" s="502"/>
      <c r="G30" s="502"/>
      <c r="H30" s="502"/>
      <c r="I30" s="502"/>
      <c r="J30" s="502"/>
    </row>
    <row r="31" spans="1:10" ht="15" customHeight="1">
      <c r="A31" s="502"/>
      <c r="B31" s="502"/>
      <c r="C31" s="502"/>
      <c r="D31" s="502"/>
      <c r="E31" s="502"/>
      <c r="F31" s="502"/>
      <c r="G31" s="502"/>
      <c r="H31" s="502"/>
      <c r="I31" s="502"/>
      <c r="J31" s="502"/>
    </row>
    <row r="32" spans="1:10" ht="15" customHeight="1">
      <c r="A32" s="502"/>
      <c r="B32" s="502"/>
      <c r="C32" s="502"/>
      <c r="D32" s="502"/>
      <c r="E32" s="502"/>
      <c r="F32" s="502"/>
      <c r="G32" s="502"/>
      <c r="H32" s="502"/>
      <c r="I32" s="502"/>
      <c r="J32" s="502"/>
    </row>
  </sheetData>
  <phoneticPr fontId="9"/>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5"/>
  <sheetViews>
    <sheetView workbookViewId="0">
      <selection activeCell="K5" sqref="K5"/>
    </sheetView>
  </sheetViews>
  <sheetFormatPr defaultRowHeight="13.5"/>
  <cols>
    <col min="1" max="1" width="9.140625" style="266"/>
    <col min="2" max="2" width="13" style="266" bestFit="1" customWidth="1"/>
    <col min="3" max="3" width="12.7109375" style="266" bestFit="1" customWidth="1"/>
    <col min="4" max="6" width="12.7109375" style="266" customWidth="1"/>
    <col min="7" max="7" width="3" style="266" customWidth="1"/>
    <col min="8" max="8" width="12.7109375" style="266" customWidth="1"/>
    <col min="9" max="16384" width="9.140625" style="266"/>
  </cols>
  <sheetData>
    <row r="3" spans="2:4">
      <c r="B3" s="303"/>
      <c r="C3" s="503" t="s">
        <v>361</v>
      </c>
      <c r="D3" s="503" t="s">
        <v>258</v>
      </c>
    </row>
    <row r="4" spans="2:4">
      <c r="B4" s="503" t="s">
        <v>428</v>
      </c>
      <c r="C4" s="504">
        <v>0.98499999999999999</v>
      </c>
      <c r="D4" s="504">
        <v>0.98199999999999998</v>
      </c>
    </row>
    <row r="5" spans="2:4">
      <c r="B5" s="505" t="s">
        <v>429</v>
      </c>
      <c r="C5" s="504">
        <v>0.99399999999999999</v>
      </c>
      <c r="D5" s="504">
        <v>0.99399999999999999</v>
      </c>
    </row>
  </sheetData>
  <phoneticPr fontId="9"/>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70" zoomScaleSheetLayoutView="100" workbookViewId="0">
      <selection activeCell="AE12" sqref="AE12"/>
    </sheetView>
  </sheetViews>
  <sheetFormatPr defaultRowHeight="13.5"/>
  <cols>
    <col min="1" max="41" width="3.42578125" style="502" customWidth="1"/>
    <col min="42" max="16384" width="9.140625" style="502"/>
  </cols>
  <sheetData/>
  <phoneticPr fontId="9"/>
  <pageMargins left="0.78740157480314965" right="0.31496062992125984" top="1.0236220472440944" bottom="0.43307086614173229" header="0.51181102362204722" footer="0.23622047244094491"/>
  <pageSetup paperSize="9" scale="86" orientation="portrait" horizontalDpi="300" verticalDpi="300" r:id="rId1"/>
  <headerFooter alignWithMargins="0">
    <oddHeader>&amp;L&amp;"HGP創英角ﾎﾟｯﾌﾟ体,標準"&amp;18○参考：市税の収納状況について</oddHead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41"/>
  <sheetViews>
    <sheetView workbookViewId="0">
      <selection activeCell="V40" sqref="V40"/>
    </sheetView>
  </sheetViews>
  <sheetFormatPr defaultRowHeight="13.5" outlineLevelRow="1"/>
  <cols>
    <col min="1" max="1" width="13.5703125" style="502" customWidth="1"/>
    <col min="2" max="2" width="9.140625" style="502"/>
    <col min="3" max="7" width="11.140625" style="502" customWidth="1"/>
    <col min="8" max="8" width="11.140625" style="502" hidden="1" customWidth="1"/>
    <col min="9" max="15" width="9.140625" style="502" hidden="1" customWidth="1"/>
    <col min="16" max="16" width="1.42578125" style="502" customWidth="1"/>
    <col min="17" max="16384" width="9.140625" style="502"/>
  </cols>
  <sheetData>
    <row r="3" spans="1:15">
      <c r="A3" s="759"/>
      <c r="B3" s="759"/>
      <c r="C3" s="507" t="s">
        <v>430</v>
      </c>
      <c r="D3" s="507" t="s">
        <v>431</v>
      </c>
      <c r="E3" s="507" t="s">
        <v>432</v>
      </c>
      <c r="F3" s="507" t="s">
        <v>252</v>
      </c>
      <c r="G3" s="507" t="s">
        <v>433</v>
      </c>
      <c r="H3" s="507"/>
      <c r="I3" s="507" t="s">
        <v>434</v>
      </c>
      <c r="J3" s="507" t="s">
        <v>435</v>
      </c>
      <c r="K3" s="507" t="s">
        <v>430</v>
      </c>
      <c r="L3" s="507" t="s">
        <v>431</v>
      </c>
      <c r="M3" s="507" t="s">
        <v>432</v>
      </c>
      <c r="N3" s="507" t="s">
        <v>252</v>
      </c>
      <c r="O3" s="507" t="s">
        <v>302</v>
      </c>
    </row>
    <row r="4" spans="1:15">
      <c r="A4" s="508" t="s">
        <v>436</v>
      </c>
      <c r="B4" s="508"/>
      <c r="C4" s="508">
        <v>163</v>
      </c>
      <c r="D4" s="508">
        <v>140</v>
      </c>
      <c r="E4" s="508">
        <v>119</v>
      </c>
      <c r="F4" s="508">
        <v>101</v>
      </c>
      <c r="G4" s="508">
        <v>96</v>
      </c>
      <c r="H4" s="508"/>
      <c r="I4" s="508"/>
      <c r="J4" s="508"/>
      <c r="K4" s="508"/>
      <c r="L4" s="508"/>
      <c r="M4" s="508"/>
      <c r="N4" s="508"/>
      <c r="O4" s="508"/>
    </row>
    <row r="5" spans="1:15">
      <c r="A5" s="508" t="s">
        <v>437</v>
      </c>
      <c r="B5" s="508"/>
      <c r="C5" s="509">
        <v>48</v>
      </c>
      <c r="D5" s="509">
        <v>43</v>
      </c>
      <c r="E5" s="509">
        <v>40</v>
      </c>
      <c r="F5" s="509">
        <v>38</v>
      </c>
      <c r="G5" s="509">
        <v>44</v>
      </c>
      <c r="H5" s="509"/>
      <c r="I5" s="509"/>
      <c r="J5" s="509"/>
      <c r="K5" s="509"/>
      <c r="L5" s="509"/>
      <c r="M5" s="509"/>
      <c r="N5" s="509"/>
      <c r="O5" s="508"/>
    </row>
    <row r="6" spans="1:15">
      <c r="A6" s="508" t="s">
        <v>438</v>
      </c>
      <c r="B6" s="508"/>
      <c r="C6" s="510">
        <v>115</v>
      </c>
      <c r="D6" s="510">
        <v>97</v>
      </c>
      <c r="E6" s="510">
        <v>79</v>
      </c>
      <c r="F6" s="510">
        <v>63</v>
      </c>
      <c r="G6" s="510">
        <v>52</v>
      </c>
      <c r="H6" s="510"/>
      <c r="I6" s="510"/>
      <c r="J6" s="510"/>
      <c r="K6" s="510"/>
      <c r="L6" s="510"/>
      <c r="M6" s="510"/>
      <c r="N6" s="510"/>
      <c r="O6" s="508"/>
    </row>
    <row r="7" spans="1:15">
      <c r="A7" s="508" t="s">
        <v>439</v>
      </c>
      <c r="B7" s="508"/>
      <c r="C7" s="511">
        <v>0.99299999999999999</v>
      </c>
      <c r="D7" s="511">
        <v>0.99299999999999999</v>
      </c>
      <c r="E7" s="511">
        <v>0.99399999999999999</v>
      </c>
      <c r="F7" s="511">
        <v>0.99399999999999999</v>
      </c>
      <c r="G7" s="511">
        <v>0.99399999999999999</v>
      </c>
      <c r="H7" s="511"/>
      <c r="I7" s="511"/>
      <c r="J7" s="511"/>
      <c r="K7" s="511"/>
      <c r="L7" s="511"/>
      <c r="M7" s="511"/>
      <c r="N7" s="511"/>
      <c r="O7" s="511"/>
    </row>
    <row r="8" spans="1:15">
      <c r="A8" s="508" t="s">
        <v>440</v>
      </c>
      <c r="B8" s="508"/>
      <c r="C8" s="511">
        <v>0.97199999999999998</v>
      </c>
      <c r="D8" s="511">
        <v>0.97599999999999998</v>
      </c>
      <c r="E8" s="511">
        <v>0.97899999999999998</v>
      </c>
      <c r="F8" s="511">
        <v>0.98199999999999998</v>
      </c>
      <c r="G8" s="511">
        <v>0.98499999999999999</v>
      </c>
      <c r="H8" s="511"/>
      <c r="I8" s="511"/>
      <c r="J8" s="511"/>
      <c r="K8" s="511"/>
      <c r="L8" s="511"/>
      <c r="M8" s="511"/>
      <c r="N8" s="511"/>
      <c r="O8" s="511"/>
    </row>
    <row r="9" spans="1:15">
      <c r="A9" s="502" t="s">
        <v>441</v>
      </c>
    </row>
    <row r="11" spans="1:15">
      <c r="A11" s="512"/>
      <c r="B11" s="512" t="s">
        <v>442</v>
      </c>
      <c r="C11" s="512" t="s">
        <v>443</v>
      </c>
      <c r="D11" s="512" t="s">
        <v>444</v>
      </c>
      <c r="E11" s="512" t="s">
        <v>445</v>
      </c>
      <c r="F11" s="512" t="s">
        <v>446</v>
      </c>
      <c r="G11" s="512" t="s">
        <v>447</v>
      </c>
    </row>
    <row r="12" spans="1:15" hidden="1" outlineLevel="1">
      <c r="A12" s="512" t="s">
        <v>448</v>
      </c>
      <c r="B12" s="513">
        <f>ROUND(98.9%,3)</f>
        <v>0.98899999999999999</v>
      </c>
      <c r="C12" s="513">
        <f>ROUND(0.41%,3)</f>
        <v>4.0000000000000001E-3</v>
      </c>
      <c r="D12" s="513">
        <f>ROUND(0.1%,3)</f>
        <v>1E-3</v>
      </c>
      <c r="E12" s="513">
        <f>ROUND(0.05%,3)</f>
        <v>1E-3</v>
      </c>
      <c r="F12" s="513">
        <f>ROUND(0.04%,3)</f>
        <v>0</v>
      </c>
      <c r="G12" s="513">
        <f t="shared" ref="G12:G23" si="0">SUM(B12:F12)</f>
        <v>0.995</v>
      </c>
    </row>
    <row r="13" spans="1:15" hidden="1" outlineLevel="1">
      <c r="A13" s="512" t="s">
        <v>449</v>
      </c>
      <c r="B13" s="513">
        <f>ROUND(98.38%,3)</f>
        <v>0.98399999999999999</v>
      </c>
      <c r="C13" s="513">
        <f>ROUND(0.62%,3)</f>
        <v>6.0000000000000001E-3</v>
      </c>
      <c r="D13" s="513">
        <f>ROUND(0.14%,3)</f>
        <v>1E-3</v>
      </c>
      <c r="E13" s="513">
        <f>ROUND(0.07%,3)</f>
        <v>1E-3</v>
      </c>
      <c r="F13" s="513">
        <f>ROUND(0.06%,3)</f>
        <v>1E-3</v>
      </c>
      <c r="G13" s="513">
        <f t="shared" si="0"/>
        <v>0.99299999999999999</v>
      </c>
    </row>
    <row r="14" spans="1:15" hidden="1" outlineLevel="1">
      <c r="A14" s="512" t="s">
        <v>450</v>
      </c>
      <c r="B14" s="513">
        <f>ROUND(98.1%,3)</f>
        <v>0.98099999999999998</v>
      </c>
      <c r="C14" s="513">
        <f>ROUND(0.75%,3)</f>
        <v>8.0000000000000002E-3</v>
      </c>
      <c r="D14" s="513">
        <f>ROUND(0.19%,3)</f>
        <v>2E-3</v>
      </c>
      <c r="E14" s="513">
        <f>ROUND(0.09%,3)</f>
        <v>1E-3</v>
      </c>
      <c r="F14" s="513">
        <f>ROUND(0.06%,3)</f>
        <v>1E-3</v>
      </c>
      <c r="G14" s="513">
        <f t="shared" si="0"/>
        <v>0.99299999999999999</v>
      </c>
    </row>
    <row r="15" spans="1:15" hidden="1" outlineLevel="1">
      <c r="A15" s="512" t="s">
        <v>451</v>
      </c>
      <c r="B15" s="513">
        <f>ROUND(97.91%,3)</f>
        <v>0.97899999999999998</v>
      </c>
      <c r="C15" s="513">
        <f>ROUND(0.78%,3)</f>
        <v>8.0000000000000002E-3</v>
      </c>
      <c r="D15" s="513">
        <f>ROUND(0.21%,3)</f>
        <v>2E-3</v>
      </c>
      <c r="E15" s="513">
        <f>ROUND(0.13%,3)</f>
        <v>1E-3</v>
      </c>
      <c r="F15" s="513">
        <f>ROUND(0.05%,3)</f>
        <v>1E-3</v>
      </c>
      <c r="G15" s="513">
        <f t="shared" si="0"/>
        <v>0.99099999999999999</v>
      </c>
    </row>
    <row r="16" spans="1:15" hidden="1" outlineLevel="1">
      <c r="A16" s="512" t="s">
        <v>452</v>
      </c>
      <c r="B16" s="513">
        <f>ROUND(97.83%,3)</f>
        <v>0.97799999999999998</v>
      </c>
      <c r="C16" s="513">
        <f>ROUND(0.8%,3)</f>
        <v>8.0000000000000002E-3</v>
      </c>
      <c r="D16" s="513">
        <f>ROUND(0.24%,3)</f>
        <v>2E-3</v>
      </c>
      <c r="E16" s="513">
        <f>ROUND(0.1%,3)</f>
        <v>1E-3</v>
      </c>
      <c r="F16" s="513">
        <f>ROUND(0.06%,3)</f>
        <v>1E-3</v>
      </c>
      <c r="G16" s="513">
        <f t="shared" si="0"/>
        <v>0.99</v>
      </c>
    </row>
    <row r="17" spans="1:7" hidden="1" outlineLevel="1">
      <c r="A17" s="512" t="s">
        <v>453</v>
      </c>
      <c r="B17" s="513">
        <f>ROUND(97.94%,3)</f>
        <v>0.97899999999999998</v>
      </c>
      <c r="C17" s="513">
        <f>ROUND(0.74%,3)</f>
        <v>7.0000000000000001E-3</v>
      </c>
      <c r="D17" s="513">
        <f>ROUND(0.21%,3)</f>
        <v>2E-3</v>
      </c>
      <c r="E17" s="513">
        <f>ROUND(0.09%,3)</f>
        <v>1E-3</v>
      </c>
      <c r="F17" s="513">
        <f>ROUND(0.04%,3)</f>
        <v>0</v>
      </c>
      <c r="G17" s="513">
        <f t="shared" si="0"/>
        <v>0.98899999999999999</v>
      </c>
    </row>
    <row r="18" spans="1:7" hidden="1" outlineLevel="1">
      <c r="A18" s="512" t="s">
        <v>454</v>
      </c>
      <c r="B18" s="513">
        <f>ROUND(97.84%,3)</f>
        <v>0.97799999999999998</v>
      </c>
      <c r="C18" s="513">
        <f>ROUND(0.74%,3)</f>
        <v>7.0000000000000001E-3</v>
      </c>
      <c r="D18" s="513">
        <f>ROUND(0.22%,3)</f>
        <v>2E-3</v>
      </c>
      <c r="E18" s="513">
        <f>ROUND(0.1%,3)</f>
        <v>1E-3</v>
      </c>
      <c r="F18" s="513">
        <f>ROUND(0.06%,3)</f>
        <v>1E-3</v>
      </c>
      <c r="G18" s="513">
        <f t="shared" si="0"/>
        <v>0.98899999999999999</v>
      </c>
    </row>
    <row r="19" spans="1:7" hidden="1" outlineLevel="1">
      <c r="A19" s="512" t="s">
        <v>455</v>
      </c>
      <c r="B19" s="513">
        <f>ROUND(97.69%,3)</f>
        <v>0.97699999999999998</v>
      </c>
      <c r="C19" s="513">
        <f>ROUND(0.85%,3)</f>
        <v>8.9999999999999993E-3</v>
      </c>
      <c r="D19" s="513">
        <f>ROUND(0.23%,3)</f>
        <v>2E-3</v>
      </c>
      <c r="E19" s="513">
        <f>ROUND(0.11%,3)</f>
        <v>1E-3</v>
      </c>
      <c r="F19" s="513">
        <f>ROUND(0.06%,3)</f>
        <v>1E-3</v>
      </c>
      <c r="G19" s="513">
        <f t="shared" si="0"/>
        <v>0.99</v>
      </c>
    </row>
    <row r="20" spans="1:7" hidden="1" outlineLevel="1">
      <c r="A20" s="512" t="s">
        <v>456</v>
      </c>
      <c r="B20" s="513">
        <f>ROUND(97.76%,3)</f>
        <v>0.97799999999999998</v>
      </c>
      <c r="C20" s="513">
        <f>ROUND(0.73%,3)</f>
        <v>7.0000000000000001E-3</v>
      </c>
      <c r="D20" s="513">
        <f>ROUND(0.21%,3)</f>
        <v>2E-3</v>
      </c>
      <c r="E20" s="513">
        <f>ROUND(0.11%,3)</f>
        <v>1E-3</v>
      </c>
      <c r="F20" s="513">
        <f>ROUND(0.09%,3)</f>
        <v>1E-3</v>
      </c>
      <c r="G20" s="513">
        <f t="shared" si="0"/>
        <v>0.98899999999999999</v>
      </c>
    </row>
    <row r="21" spans="1:7" hidden="1" outlineLevel="1">
      <c r="A21" s="512" t="s">
        <v>457</v>
      </c>
      <c r="B21" s="513">
        <f>ROUND(97.91%,3)</f>
        <v>0.97899999999999998</v>
      </c>
      <c r="C21" s="513">
        <f>ROUND(0.69%,3)</f>
        <v>7.0000000000000001E-3</v>
      </c>
      <c r="D21" s="513">
        <f>ROUND(0.23%,3)</f>
        <v>2E-3</v>
      </c>
      <c r="E21" s="513">
        <f>ROUND(0.14%,3)</f>
        <v>1E-3</v>
      </c>
      <c r="F21" s="513">
        <f>ROUND(0.08%,3)</f>
        <v>1E-3</v>
      </c>
      <c r="G21" s="513">
        <f t="shared" si="0"/>
        <v>0.99</v>
      </c>
    </row>
    <row r="22" spans="1:7" hidden="1" outlineLevel="1">
      <c r="A22" s="512" t="s">
        <v>458</v>
      </c>
      <c r="B22" s="513">
        <f>ROUND(98%,3)</f>
        <v>0.98</v>
      </c>
      <c r="C22" s="513">
        <f>ROUND(0.7%,3)</f>
        <v>7.0000000000000001E-3</v>
      </c>
      <c r="D22" s="513">
        <f>ROUND(0.25%,3)</f>
        <v>3.0000000000000001E-3</v>
      </c>
      <c r="E22" s="513">
        <f>ROUND(0.13%,3)</f>
        <v>1E-3</v>
      </c>
      <c r="F22" s="513">
        <v>1E-3</v>
      </c>
      <c r="G22" s="513">
        <f t="shared" si="0"/>
        <v>0.99199999999999999</v>
      </c>
    </row>
    <row r="23" spans="1:7" hidden="1" outlineLevel="1">
      <c r="A23" s="512" t="s">
        <v>459</v>
      </c>
      <c r="B23" s="513">
        <f>ROUND(98.01%,3)</f>
        <v>0.98</v>
      </c>
      <c r="C23" s="513">
        <f>ROUND(0.75%,3)</f>
        <v>8.0000000000000002E-3</v>
      </c>
      <c r="D23" s="513">
        <f>ROUND(0.24%,3)</f>
        <v>2E-3</v>
      </c>
      <c r="E23" s="513">
        <v>1E-3</v>
      </c>
      <c r="F23" s="513">
        <v>1E-3</v>
      </c>
      <c r="G23" s="513">
        <f t="shared" si="0"/>
        <v>0.99199999999999999</v>
      </c>
    </row>
    <row r="24" spans="1:7" hidden="1">
      <c r="A24" s="512" t="s">
        <v>460</v>
      </c>
      <c r="B24" s="513">
        <v>0.98699999999999999</v>
      </c>
      <c r="C24" s="513">
        <v>6.0000000000000001E-3</v>
      </c>
      <c r="D24" s="513">
        <v>1E-3</v>
      </c>
      <c r="E24" s="513">
        <v>1E-3</v>
      </c>
      <c r="F24" s="513">
        <v>1E-3</v>
      </c>
      <c r="G24" s="513">
        <v>0.99539999999999995</v>
      </c>
    </row>
    <row r="25" spans="1:7" hidden="1">
      <c r="A25" s="512" t="s">
        <v>461</v>
      </c>
      <c r="B25" s="513">
        <v>0.98799999999999999</v>
      </c>
      <c r="C25" s="513">
        <v>5.0000000000000001E-3</v>
      </c>
      <c r="D25" s="513">
        <v>1E-3</v>
      </c>
      <c r="E25" s="513">
        <v>1E-3</v>
      </c>
      <c r="F25" s="513">
        <f>[3]課税年度別収入歩合!F82</f>
        <v>1E-3</v>
      </c>
      <c r="G25" s="514">
        <f t="shared" ref="G25:G27" si="1">SUM(B25:F25)</f>
        <v>0.996</v>
      </c>
    </row>
    <row r="26" spans="1:7" hidden="1">
      <c r="A26" s="515" t="s">
        <v>462</v>
      </c>
      <c r="B26" s="513">
        <f>[4]【没】課税年度別収入歩合!B83</f>
        <v>0.98599999999999999</v>
      </c>
      <c r="C26" s="513">
        <f>[4]【没】課税年度別収入歩合!C83</f>
        <v>5.0000000000000001E-3</v>
      </c>
      <c r="D26" s="513">
        <f>[4]【没】課税年度別収入歩合!D83</f>
        <v>2E-3</v>
      </c>
      <c r="E26" s="513">
        <f>[4]【没】課税年度別収入歩合!E83</f>
        <v>1E-3</v>
      </c>
      <c r="F26" s="513">
        <f>[4]【没】課税年度別収入歩合!F83</f>
        <v>1E-3</v>
      </c>
      <c r="G26" s="514">
        <f t="shared" si="1"/>
        <v>0.995</v>
      </c>
    </row>
    <row r="27" spans="1:7" hidden="1">
      <c r="A27" s="515" t="s">
        <v>167</v>
      </c>
      <c r="B27" s="513">
        <f>[4]【没】課税年度別収入歩合!B84</f>
        <v>0.98599999999999999</v>
      </c>
      <c r="C27" s="513">
        <f>[4]【没】課税年度別収入歩合!C84</f>
        <v>5.0000000000000001E-3</v>
      </c>
      <c r="D27" s="513">
        <f>[4]【没】課税年度別収入歩合!D84</f>
        <v>2E-3</v>
      </c>
      <c r="E27" s="513">
        <f>[4]【没】課税年度別収入歩合!E84</f>
        <v>1E-3</v>
      </c>
      <c r="F27" s="516">
        <f>[4]【没】課税年度別収入歩合!F84</f>
        <v>1E-3</v>
      </c>
      <c r="G27" s="514">
        <f t="shared" si="1"/>
        <v>0.995</v>
      </c>
    </row>
    <row r="28" spans="1:7" hidden="1">
      <c r="A28" s="515" t="s">
        <v>463</v>
      </c>
      <c r="B28" s="513">
        <f>[4]【没】課税年度別収入歩合!B85</f>
        <v>0.98499999999999999</v>
      </c>
      <c r="C28" s="513">
        <f>[4]【没】課税年度別収入歩合!C85</f>
        <v>6.0000000000000001E-3</v>
      </c>
      <c r="D28" s="513">
        <f>[4]【没】課税年度別収入歩合!D85</f>
        <v>2E-3</v>
      </c>
      <c r="E28" s="513">
        <f>[4]【没】課税年度別収入歩合!E85</f>
        <v>1E-3</v>
      </c>
      <c r="F28" s="513">
        <f>[4]【没】課税年度別収入歩合!F85</f>
        <v>1E-3</v>
      </c>
      <c r="G28" s="514">
        <f>SUM(B28:F28)</f>
        <v>0.995</v>
      </c>
    </row>
    <row r="29" spans="1:7" hidden="1">
      <c r="A29" s="515" t="s">
        <v>464</v>
      </c>
      <c r="B29" s="513">
        <f>[4]【没】課税年度別収入歩合!B86</f>
        <v>0.98699999999999999</v>
      </c>
      <c r="C29" s="513">
        <f>[4]【没】課税年度別収入歩合!C86</f>
        <v>5.0000000000000001E-3</v>
      </c>
      <c r="D29" s="513">
        <f>[4]【没】課税年度別収入歩合!D86</f>
        <v>2E-3</v>
      </c>
      <c r="E29" s="513">
        <f>[4]【没】課税年度別収入歩合!E86</f>
        <v>1E-3</v>
      </c>
      <c r="F29" s="513">
        <f>[4]【没】課税年度別収入歩合!F86</f>
        <v>0</v>
      </c>
      <c r="G29" s="514">
        <f>SUM(B29:F29)</f>
        <v>0.995</v>
      </c>
    </row>
    <row r="30" spans="1:7" hidden="1">
      <c r="A30" s="515" t="s">
        <v>465</v>
      </c>
      <c r="B30" s="513">
        <f>[4]【没】課税年度別収入歩合!B87</f>
        <v>0.98899999999999999</v>
      </c>
      <c r="C30" s="513">
        <f>[4]【没】課税年度別収入歩合!C87</f>
        <v>5.0000000000000001E-3</v>
      </c>
      <c r="D30" s="513">
        <f>[4]【没】課税年度別収入歩合!D87</f>
        <v>1E-3</v>
      </c>
      <c r="E30" s="513">
        <f>[4]【没】課税年度別収入歩合!E87</f>
        <v>1E-3</v>
      </c>
      <c r="F30" s="513">
        <v>0</v>
      </c>
      <c r="G30" s="514">
        <f>SUM(B30:F30)</f>
        <v>0.996</v>
      </c>
    </row>
    <row r="31" spans="1:7" hidden="1">
      <c r="A31" s="515" t="s">
        <v>434</v>
      </c>
      <c r="B31" s="513">
        <f>[4]【没】課税年度別収入歩合!B88</f>
        <v>0.99099999999999999</v>
      </c>
      <c r="C31" s="513">
        <f>[4]【没】課税年度別収入歩合!C88</f>
        <v>4.0000000000000001E-3</v>
      </c>
      <c r="D31" s="513">
        <f>[4]【没】課税年度別収入歩合!D88</f>
        <v>1E-3</v>
      </c>
      <c r="E31" s="513">
        <f>[4]【没】課税年度別収入歩合!E88</f>
        <v>1E-3</v>
      </c>
      <c r="F31" s="513">
        <f>[4]【没】課税年度別収入歩合!F88</f>
        <v>0</v>
      </c>
      <c r="G31" s="514">
        <f>SUM(B31:F31)</f>
        <v>0.997</v>
      </c>
    </row>
    <row r="32" spans="1:7" ht="13.5" hidden="1" customHeight="1">
      <c r="A32" s="515" t="s">
        <v>435</v>
      </c>
      <c r="B32" s="513">
        <v>0.99180000000000001</v>
      </c>
      <c r="C32" s="513">
        <v>3.0000000000000001E-3</v>
      </c>
      <c r="D32" s="513">
        <v>1E-3</v>
      </c>
      <c r="E32" s="513">
        <v>1E-3</v>
      </c>
      <c r="F32" s="517">
        <v>2.9999999999999997E-4</v>
      </c>
      <c r="G32" s="514">
        <f>SUM(B32:F32)</f>
        <v>0.99709999999999999</v>
      </c>
    </row>
    <row r="33" spans="1:7" ht="13.5" customHeight="1">
      <c r="A33" s="515" t="s">
        <v>430</v>
      </c>
      <c r="B33" s="513">
        <v>0.99299999999999999</v>
      </c>
      <c r="C33" s="513">
        <v>3.0000000000000001E-3</v>
      </c>
      <c r="D33" s="513">
        <v>1E-3</v>
      </c>
      <c r="E33" s="513">
        <v>1E-3</v>
      </c>
      <c r="F33" s="517">
        <v>2.9999999999999997E-4</v>
      </c>
      <c r="G33" s="514">
        <f t="shared" ref="G33:G37" si="2">SUM(B33:F33)</f>
        <v>0.99829999999999997</v>
      </c>
    </row>
    <row r="34" spans="1:7" ht="13.5" customHeight="1">
      <c r="A34" s="515" t="s">
        <v>431</v>
      </c>
      <c r="B34" s="513">
        <v>0.99299999999999999</v>
      </c>
      <c r="C34" s="513">
        <v>3.0000000000000001E-3</v>
      </c>
      <c r="D34" s="513">
        <v>1E-3</v>
      </c>
      <c r="E34" s="517">
        <v>4.0000000000000002E-4</v>
      </c>
      <c r="F34" s="513"/>
      <c r="G34" s="514">
        <f t="shared" si="2"/>
        <v>0.99739999999999995</v>
      </c>
    </row>
    <row r="35" spans="1:7" ht="13.5" customHeight="1">
      <c r="A35" s="515" t="s">
        <v>432</v>
      </c>
      <c r="B35" s="513">
        <v>0.99399999999999999</v>
      </c>
      <c r="C35" s="513">
        <v>3.0000000000000001E-3</v>
      </c>
      <c r="D35" s="513">
        <v>8.0000000000000004E-4</v>
      </c>
      <c r="E35" s="518"/>
      <c r="F35" s="518"/>
      <c r="G35" s="514">
        <f t="shared" si="2"/>
        <v>0.99780000000000002</v>
      </c>
    </row>
    <row r="36" spans="1:7" ht="14.25" customHeight="1">
      <c r="A36" s="515" t="s">
        <v>252</v>
      </c>
      <c r="B36" s="513">
        <v>0.99399999999999999</v>
      </c>
      <c r="C36" s="513">
        <v>2.8E-3</v>
      </c>
      <c r="D36" s="513"/>
      <c r="E36" s="513"/>
      <c r="F36" s="513"/>
      <c r="G36" s="514">
        <f t="shared" si="2"/>
        <v>0.99680000000000002</v>
      </c>
    </row>
    <row r="37" spans="1:7" ht="15" customHeight="1">
      <c r="A37" s="515" t="s">
        <v>466</v>
      </c>
      <c r="B37" s="513">
        <v>0.99399999999999999</v>
      </c>
      <c r="C37" s="513"/>
      <c r="D37" s="513"/>
      <c r="E37" s="513"/>
      <c r="F37" s="513"/>
      <c r="G37" s="514">
        <f t="shared" si="2"/>
        <v>0.99399999999999999</v>
      </c>
    </row>
    <row r="38" spans="1:7">
      <c r="A38" s="502" t="s">
        <v>467</v>
      </c>
    </row>
    <row r="40" spans="1:7">
      <c r="A40" s="502" t="s">
        <v>468</v>
      </c>
    </row>
    <row r="41" spans="1:7">
      <c r="A41" s="502" t="s">
        <v>469</v>
      </c>
    </row>
  </sheetData>
  <mergeCells count="1">
    <mergeCell ref="A3:B3"/>
  </mergeCells>
  <phoneticPr fontId="9"/>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N69"/>
  <sheetViews>
    <sheetView view="pageBreakPreview" zoomScaleNormal="100" zoomScaleSheetLayoutView="100" workbookViewId="0">
      <pane ySplit="8" topLeftCell="A9" activePane="bottomLeft" state="frozen"/>
      <selection activeCell="E43" sqref="E43 K43"/>
      <selection pane="bottomLeft" activeCell="J40" sqref="J40"/>
    </sheetView>
  </sheetViews>
  <sheetFormatPr defaultColWidth="9.85546875" defaultRowHeight="12.75"/>
  <cols>
    <col min="1" max="1" width="4.28515625" style="3" customWidth="1"/>
    <col min="2" max="2" width="11.85546875" style="3" customWidth="1"/>
    <col min="3" max="4" width="14.28515625" style="3" customWidth="1"/>
    <col min="5" max="5" width="10" style="3" customWidth="1"/>
    <col min="6" max="6" width="14.28515625" style="3" customWidth="1"/>
    <col min="7" max="7" width="2.85546875" style="3" customWidth="1"/>
    <col min="8" max="8" width="7.140625" style="4" customWidth="1"/>
    <col min="9" max="9" width="14.28515625" style="4" customWidth="1"/>
    <col min="10" max="10" width="14.28515625" style="3" customWidth="1"/>
    <col min="11" max="11" width="2.85546875" style="3" customWidth="1"/>
    <col min="12" max="12" width="7.85546875" style="4" customWidth="1"/>
    <col min="13" max="13" width="10" style="3" customWidth="1"/>
    <col min="14" max="14" width="14.28515625" style="4" customWidth="1"/>
    <col min="15" max="253" width="9.85546875" style="4" customWidth="1"/>
    <col min="254" max="16384" width="9.85546875" style="4"/>
  </cols>
  <sheetData>
    <row r="1" spans="1:14" ht="10.7" customHeight="1"/>
    <row r="2" spans="1:14" ht="10.7" customHeight="1"/>
    <row r="3" spans="1:14">
      <c r="A3" s="5" t="s">
        <v>13</v>
      </c>
    </row>
    <row r="4" spans="1:14">
      <c r="B4" s="77"/>
      <c r="C4" s="77"/>
      <c r="D4" s="77"/>
      <c r="E4" s="77"/>
      <c r="F4" s="77"/>
      <c r="G4" s="77"/>
      <c r="H4" s="77"/>
      <c r="I4" s="77"/>
      <c r="J4" s="77"/>
      <c r="K4" s="77"/>
      <c r="L4" s="77"/>
      <c r="N4" s="77" t="s">
        <v>33</v>
      </c>
    </row>
    <row r="5" spans="1:14">
      <c r="A5" s="5" t="s">
        <v>0</v>
      </c>
      <c r="B5" s="767" t="s">
        <v>120</v>
      </c>
      <c r="C5" s="6"/>
      <c r="D5" s="7"/>
      <c r="E5" s="8"/>
      <c r="F5" s="6"/>
      <c r="G5" s="9"/>
      <c r="H5" s="10"/>
      <c r="I5" s="6"/>
      <c r="J5" s="39" t="s">
        <v>14</v>
      </c>
      <c r="K5" s="11"/>
      <c r="L5" s="10"/>
      <c r="M5" s="81"/>
      <c r="N5" s="87"/>
    </row>
    <row r="6" spans="1:14">
      <c r="B6" s="768"/>
      <c r="C6" s="13" t="s">
        <v>34</v>
      </c>
      <c r="D6" s="13"/>
      <c r="E6" s="13"/>
      <c r="F6" s="13" t="s">
        <v>35</v>
      </c>
      <c r="G6" s="763" t="s">
        <v>15</v>
      </c>
      <c r="H6" s="764"/>
      <c r="I6" s="37" t="s">
        <v>123</v>
      </c>
      <c r="J6" s="37" t="s">
        <v>16</v>
      </c>
      <c r="K6" s="763" t="s">
        <v>17</v>
      </c>
      <c r="L6" s="764"/>
      <c r="M6" s="82" t="s">
        <v>121</v>
      </c>
      <c r="N6" s="88" t="s">
        <v>12</v>
      </c>
    </row>
    <row r="7" spans="1:14">
      <c r="B7" s="768"/>
      <c r="C7" s="12"/>
      <c r="D7" s="13" t="s">
        <v>36</v>
      </c>
      <c r="E7" s="13" t="s">
        <v>37</v>
      </c>
      <c r="F7" s="12"/>
      <c r="G7" s="763" t="s">
        <v>18</v>
      </c>
      <c r="H7" s="764"/>
      <c r="I7" s="37" t="s">
        <v>124</v>
      </c>
      <c r="J7" s="37" t="s">
        <v>19</v>
      </c>
      <c r="K7" s="763" t="s">
        <v>20</v>
      </c>
      <c r="L7" s="764"/>
      <c r="M7" s="82" t="s">
        <v>122</v>
      </c>
      <c r="N7" s="88" t="s">
        <v>175</v>
      </c>
    </row>
    <row r="8" spans="1:14">
      <c r="A8" s="5" t="s">
        <v>0</v>
      </c>
      <c r="B8" s="769"/>
      <c r="C8" s="15"/>
      <c r="D8" s="15"/>
      <c r="E8" s="15"/>
      <c r="F8" s="15"/>
      <c r="G8" s="765" t="s">
        <v>21</v>
      </c>
      <c r="H8" s="766"/>
      <c r="I8" s="38" t="s">
        <v>22</v>
      </c>
      <c r="J8" s="38" t="s">
        <v>23</v>
      </c>
      <c r="K8" s="765" t="s">
        <v>24</v>
      </c>
      <c r="L8" s="766"/>
      <c r="M8" s="83"/>
      <c r="N8" s="91"/>
    </row>
    <row r="9" spans="1:14" ht="16.5" hidden="1" customHeight="1">
      <c r="A9" s="5" t="s">
        <v>0</v>
      </c>
      <c r="B9" s="16" t="s">
        <v>25</v>
      </c>
      <c r="C9" s="17">
        <v>1220774</v>
      </c>
      <c r="D9" s="17">
        <v>620983</v>
      </c>
      <c r="E9" s="18">
        <v>50.9</v>
      </c>
      <c r="F9" s="17">
        <v>1219740</v>
      </c>
      <c r="G9" s="19"/>
      <c r="H9" s="20">
        <v>10.6</v>
      </c>
      <c r="I9" s="17">
        <v>1034</v>
      </c>
      <c r="J9" s="17">
        <v>1438</v>
      </c>
      <c r="K9" s="19" t="s">
        <v>38</v>
      </c>
      <c r="L9" s="21">
        <v>404</v>
      </c>
      <c r="M9" s="84">
        <v>84.9</v>
      </c>
      <c r="N9" s="89">
        <v>876239</v>
      </c>
    </row>
    <row r="10" spans="1:14" ht="16.5" hidden="1" customHeight="1">
      <c r="A10" s="5" t="s">
        <v>0</v>
      </c>
      <c r="B10" s="16" t="s">
        <v>26</v>
      </c>
      <c r="C10" s="17">
        <v>1265525</v>
      </c>
      <c r="D10" s="17">
        <v>679786</v>
      </c>
      <c r="E10" s="18">
        <v>53.7</v>
      </c>
      <c r="F10" s="17">
        <v>1264163</v>
      </c>
      <c r="G10" s="19"/>
      <c r="H10" s="20">
        <v>3.6</v>
      </c>
      <c r="I10" s="17">
        <v>1362</v>
      </c>
      <c r="J10" s="17">
        <v>1710</v>
      </c>
      <c r="K10" s="19" t="s">
        <v>38</v>
      </c>
      <c r="L10" s="21">
        <v>348</v>
      </c>
      <c r="M10" s="84">
        <v>77.3</v>
      </c>
      <c r="N10" s="89">
        <v>879291</v>
      </c>
    </row>
    <row r="11" spans="1:14" ht="16.5" customHeight="1">
      <c r="A11" s="5" t="s">
        <v>0</v>
      </c>
      <c r="B11" s="16" t="s">
        <v>27</v>
      </c>
      <c r="C11" s="17">
        <v>1382248</v>
      </c>
      <c r="D11" s="17">
        <v>724201</v>
      </c>
      <c r="E11" s="18">
        <v>52.4</v>
      </c>
      <c r="F11" s="17">
        <v>1379368</v>
      </c>
      <c r="G11" s="19"/>
      <c r="H11" s="20">
        <v>9.1</v>
      </c>
      <c r="I11" s="17">
        <v>2880</v>
      </c>
      <c r="J11" s="17">
        <v>1651</v>
      </c>
      <c r="K11" s="19"/>
      <c r="L11" s="22">
        <v>1229</v>
      </c>
      <c r="M11" s="84">
        <v>72</v>
      </c>
      <c r="N11" s="89">
        <v>870719</v>
      </c>
    </row>
    <row r="12" spans="1:14" ht="16.5" customHeight="1">
      <c r="A12" s="5" t="s">
        <v>0</v>
      </c>
      <c r="B12" s="16" t="s">
        <v>39</v>
      </c>
      <c r="C12" s="17">
        <v>1488594</v>
      </c>
      <c r="D12" s="17">
        <v>736281</v>
      </c>
      <c r="E12" s="18">
        <v>49.5</v>
      </c>
      <c r="F12" s="17">
        <v>1486053</v>
      </c>
      <c r="G12" s="19"/>
      <c r="H12" s="20">
        <v>7.7</v>
      </c>
      <c r="I12" s="17">
        <v>2541</v>
      </c>
      <c r="J12" s="17">
        <v>1358</v>
      </c>
      <c r="K12" s="19"/>
      <c r="L12" s="22">
        <v>1183</v>
      </c>
      <c r="M12" s="84">
        <v>71.5</v>
      </c>
      <c r="N12" s="89">
        <v>895350</v>
      </c>
    </row>
    <row r="13" spans="1:14" ht="16.5" customHeight="1">
      <c r="A13" s="5" t="s">
        <v>0</v>
      </c>
      <c r="B13" s="16" t="s">
        <v>28</v>
      </c>
      <c r="C13" s="17">
        <v>1531260</v>
      </c>
      <c r="D13" s="17">
        <v>767474</v>
      </c>
      <c r="E13" s="18">
        <v>50.1</v>
      </c>
      <c r="F13" s="17">
        <v>1528288</v>
      </c>
      <c r="G13" s="19"/>
      <c r="H13" s="20">
        <v>2.8</v>
      </c>
      <c r="I13" s="17">
        <v>2972</v>
      </c>
      <c r="J13" s="17">
        <v>1464</v>
      </c>
      <c r="K13" s="19"/>
      <c r="L13" s="22">
        <v>1508</v>
      </c>
      <c r="M13" s="84">
        <v>71.400000000000006</v>
      </c>
      <c r="N13" s="89">
        <v>893649</v>
      </c>
    </row>
    <row r="14" spans="1:14" ht="16.5" customHeight="1">
      <c r="A14" s="5" t="s">
        <v>0</v>
      </c>
      <c r="B14" s="16" t="s">
        <v>29</v>
      </c>
      <c r="C14" s="17">
        <v>1683780</v>
      </c>
      <c r="D14" s="17">
        <v>759701</v>
      </c>
      <c r="E14" s="18">
        <v>45.1</v>
      </c>
      <c r="F14" s="17">
        <v>1680665</v>
      </c>
      <c r="G14" s="19"/>
      <c r="H14" s="20">
        <v>10</v>
      </c>
      <c r="I14" s="17">
        <v>3115</v>
      </c>
      <c r="J14" s="17">
        <v>2280</v>
      </c>
      <c r="K14" s="19"/>
      <c r="L14" s="21">
        <v>835</v>
      </c>
      <c r="M14" s="84">
        <v>78.3</v>
      </c>
      <c r="N14" s="89">
        <v>1003877</v>
      </c>
    </row>
    <row r="15" spans="1:14" ht="16.5" customHeight="1">
      <c r="A15" s="5" t="s">
        <v>0</v>
      </c>
      <c r="B15" s="16" t="s">
        <v>30</v>
      </c>
      <c r="C15" s="17">
        <v>1782630</v>
      </c>
      <c r="D15" s="17">
        <v>727123</v>
      </c>
      <c r="E15" s="18">
        <v>40.799999999999997</v>
      </c>
      <c r="F15" s="17">
        <v>1775550</v>
      </c>
      <c r="G15" s="19"/>
      <c r="H15" s="20">
        <v>5.6</v>
      </c>
      <c r="I15" s="17">
        <v>7080</v>
      </c>
      <c r="J15" s="17">
        <v>6443</v>
      </c>
      <c r="K15" s="19"/>
      <c r="L15" s="21">
        <v>637</v>
      </c>
      <c r="M15" s="84">
        <v>87.9</v>
      </c>
      <c r="N15" s="89">
        <v>1108380</v>
      </c>
    </row>
    <row r="16" spans="1:14" ht="16.5" customHeight="1">
      <c r="A16" s="5" t="s">
        <v>0</v>
      </c>
      <c r="B16" s="14" t="s">
        <v>40</v>
      </c>
      <c r="C16" s="23">
        <v>1821553</v>
      </c>
      <c r="D16" s="23">
        <v>704115</v>
      </c>
      <c r="E16" s="24">
        <v>38.700000000000003</v>
      </c>
      <c r="F16" s="23">
        <v>1808682</v>
      </c>
      <c r="G16" s="25"/>
      <c r="H16" s="26">
        <v>1.9</v>
      </c>
      <c r="I16" s="23">
        <v>12871</v>
      </c>
      <c r="J16" s="23">
        <v>12441</v>
      </c>
      <c r="K16" s="25"/>
      <c r="L16" s="27">
        <v>430</v>
      </c>
      <c r="M16" s="85">
        <v>92.7</v>
      </c>
      <c r="N16" s="89">
        <v>1286618</v>
      </c>
    </row>
    <row r="17" spans="1:14" ht="16.5" customHeight="1">
      <c r="A17" s="5" t="s">
        <v>0</v>
      </c>
      <c r="B17" s="14" t="s">
        <v>41</v>
      </c>
      <c r="C17" s="23">
        <v>1911868</v>
      </c>
      <c r="D17" s="23">
        <v>735307</v>
      </c>
      <c r="E17" s="24">
        <v>38.5</v>
      </c>
      <c r="F17" s="23">
        <v>1902861</v>
      </c>
      <c r="G17" s="25"/>
      <c r="H17" s="26">
        <v>5.2</v>
      </c>
      <c r="I17" s="23">
        <v>9007</v>
      </c>
      <c r="J17" s="23">
        <v>8282</v>
      </c>
      <c r="K17" s="25"/>
      <c r="L17" s="27">
        <v>725</v>
      </c>
      <c r="M17" s="85">
        <v>90.9</v>
      </c>
      <c r="N17" s="89">
        <v>1526173</v>
      </c>
    </row>
    <row r="18" spans="1:14" ht="16.5" customHeight="1">
      <c r="A18" s="5" t="s">
        <v>0</v>
      </c>
      <c r="B18" s="14" t="s">
        <v>42</v>
      </c>
      <c r="C18" s="23">
        <v>1857783</v>
      </c>
      <c r="D18" s="23">
        <v>777637</v>
      </c>
      <c r="E18" s="24">
        <v>41.9</v>
      </c>
      <c r="F18" s="23">
        <v>1844325</v>
      </c>
      <c r="G18" s="25" t="s">
        <v>38</v>
      </c>
      <c r="H18" s="26">
        <v>3.1</v>
      </c>
      <c r="I18" s="23">
        <v>13458</v>
      </c>
      <c r="J18" s="23">
        <v>12541</v>
      </c>
      <c r="K18" s="25"/>
      <c r="L18" s="27">
        <v>917</v>
      </c>
      <c r="M18" s="85">
        <v>90.2</v>
      </c>
      <c r="N18" s="89">
        <v>1738255</v>
      </c>
    </row>
    <row r="19" spans="1:14" ht="16.5" customHeight="1">
      <c r="A19" s="5" t="s">
        <v>0</v>
      </c>
      <c r="B19" s="14" t="s">
        <v>43</v>
      </c>
      <c r="C19" s="23">
        <v>1860889</v>
      </c>
      <c r="D19" s="23">
        <v>775187</v>
      </c>
      <c r="E19" s="24">
        <v>41.7</v>
      </c>
      <c r="F19" s="23">
        <v>1852409</v>
      </c>
      <c r="G19" s="25"/>
      <c r="H19" s="26">
        <v>0.4</v>
      </c>
      <c r="I19" s="23">
        <v>8480</v>
      </c>
      <c r="J19" s="23">
        <v>7690</v>
      </c>
      <c r="K19" s="25"/>
      <c r="L19" s="27">
        <v>790</v>
      </c>
      <c r="M19" s="85">
        <v>95.4</v>
      </c>
      <c r="N19" s="89">
        <v>1962349</v>
      </c>
    </row>
    <row r="20" spans="1:14" ht="16.5" customHeight="1">
      <c r="A20" s="5" t="s">
        <v>0</v>
      </c>
      <c r="B20" s="14" t="s">
        <v>31</v>
      </c>
      <c r="C20" s="23">
        <v>1985575</v>
      </c>
      <c r="D20" s="23">
        <v>738656</v>
      </c>
      <c r="E20" s="24">
        <v>37.200000000000003</v>
      </c>
      <c r="F20" s="23">
        <v>1971451</v>
      </c>
      <c r="G20" s="25"/>
      <c r="H20" s="26">
        <v>6.4</v>
      </c>
      <c r="I20" s="23">
        <v>14124</v>
      </c>
      <c r="J20" s="23">
        <v>13602</v>
      </c>
      <c r="K20" s="25"/>
      <c r="L20" s="27">
        <v>522</v>
      </c>
      <c r="M20" s="85">
        <v>97.8</v>
      </c>
      <c r="N20" s="89">
        <v>2279721</v>
      </c>
    </row>
    <row r="21" spans="1:14" ht="16.5" customHeight="1">
      <c r="A21" s="5" t="s">
        <v>0</v>
      </c>
      <c r="B21" s="14" t="s">
        <v>32</v>
      </c>
      <c r="C21" s="23">
        <v>1910330</v>
      </c>
      <c r="D21" s="23">
        <v>712955</v>
      </c>
      <c r="E21" s="24">
        <v>37.299999999999997</v>
      </c>
      <c r="F21" s="23">
        <v>1906029</v>
      </c>
      <c r="G21" s="25" t="s">
        <v>38</v>
      </c>
      <c r="H21" s="26">
        <v>3.3</v>
      </c>
      <c r="I21" s="23">
        <v>4301</v>
      </c>
      <c r="J21" s="23">
        <v>3939</v>
      </c>
      <c r="K21" s="25"/>
      <c r="L21" s="27">
        <v>362</v>
      </c>
      <c r="M21" s="85">
        <v>99.4</v>
      </c>
      <c r="N21" s="89">
        <v>2431273</v>
      </c>
    </row>
    <row r="22" spans="1:14" ht="16.5" customHeight="1">
      <c r="A22" s="5" t="s">
        <v>0</v>
      </c>
      <c r="B22" s="14" t="s">
        <v>44</v>
      </c>
      <c r="C22" s="23">
        <v>1869632</v>
      </c>
      <c r="D22" s="23">
        <v>686522</v>
      </c>
      <c r="E22" s="24">
        <v>36.700000000000003</v>
      </c>
      <c r="F22" s="23">
        <v>1860866</v>
      </c>
      <c r="G22" s="25" t="s">
        <v>38</v>
      </c>
      <c r="H22" s="26">
        <v>2.4</v>
      </c>
      <c r="I22" s="23">
        <v>8766</v>
      </c>
      <c r="J22" s="23">
        <v>8390</v>
      </c>
      <c r="K22" s="25"/>
      <c r="L22" s="27">
        <v>376</v>
      </c>
      <c r="M22" s="85">
        <v>99.8</v>
      </c>
      <c r="N22" s="89">
        <v>2532886</v>
      </c>
    </row>
    <row r="23" spans="1:14" ht="16.5" customHeight="1">
      <c r="B23" s="28" t="s">
        <v>45</v>
      </c>
      <c r="C23" s="23">
        <v>1862127</v>
      </c>
      <c r="D23" s="23">
        <v>665501</v>
      </c>
      <c r="E23" s="24">
        <v>35.700000000000003</v>
      </c>
      <c r="F23" s="23">
        <v>1857703</v>
      </c>
      <c r="G23" s="25" t="s">
        <v>38</v>
      </c>
      <c r="H23" s="26">
        <v>0.2</v>
      </c>
      <c r="I23" s="23">
        <v>4424</v>
      </c>
      <c r="J23" s="23">
        <v>4114</v>
      </c>
      <c r="K23" s="25"/>
      <c r="L23" s="27">
        <v>310</v>
      </c>
      <c r="M23" s="85">
        <v>99.8</v>
      </c>
      <c r="N23" s="89">
        <v>2628930</v>
      </c>
    </row>
    <row r="24" spans="1:14" ht="16.5" customHeight="1">
      <c r="B24" s="28" t="s">
        <v>46</v>
      </c>
      <c r="C24" s="23">
        <v>1790706</v>
      </c>
      <c r="D24" s="23">
        <v>635039</v>
      </c>
      <c r="E24" s="24">
        <v>35.5</v>
      </c>
      <c r="F24" s="23">
        <v>1787971</v>
      </c>
      <c r="G24" s="25" t="s">
        <v>38</v>
      </c>
      <c r="H24" s="26">
        <v>3.8</v>
      </c>
      <c r="I24" s="23">
        <v>2735</v>
      </c>
      <c r="J24" s="23">
        <v>2489</v>
      </c>
      <c r="K24" s="25"/>
      <c r="L24" s="27">
        <v>246</v>
      </c>
      <c r="M24" s="85">
        <v>103.1</v>
      </c>
      <c r="N24" s="89">
        <v>2716248</v>
      </c>
    </row>
    <row r="25" spans="1:14" ht="16.5" customHeight="1">
      <c r="B25" s="28" t="s">
        <v>47</v>
      </c>
      <c r="C25" s="23">
        <v>1722657</v>
      </c>
      <c r="D25" s="23">
        <v>613049</v>
      </c>
      <c r="E25" s="24">
        <v>35.6</v>
      </c>
      <c r="F25" s="23">
        <v>1719987</v>
      </c>
      <c r="G25" s="25" t="s">
        <v>38</v>
      </c>
      <c r="H25" s="26">
        <v>3.8</v>
      </c>
      <c r="I25" s="23">
        <v>2670</v>
      </c>
      <c r="J25" s="23">
        <v>2478</v>
      </c>
      <c r="K25" s="25"/>
      <c r="L25" s="27">
        <v>192</v>
      </c>
      <c r="M25" s="85">
        <v>102.5</v>
      </c>
      <c r="N25" s="89">
        <v>2809765</v>
      </c>
    </row>
    <row r="26" spans="1:14" ht="16.5" customHeight="1">
      <c r="B26" s="28" t="s">
        <v>48</v>
      </c>
      <c r="C26" s="23">
        <v>1703865</v>
      </c>
      <c r="D26" s="23">
        <v>618500</v>
      </c>
      <c r="E26" s="24">
        <v>36.299999999999997</v>
      </c>
      <c r="F26" s="23">
        <v>1701951</v>
      </c>
      <c r="G26" s="25" t="s">
        <v>38</v>
      </c>
      <c r="H26" s="26">
        <v>1</v>
      </c>
      <c r="I26" s="23">
        <v>1914</v>
      </c>
      <c r="J26" s="23">
        <v>1685</v>
      </c>
      <c r="K26" s="25"/>
      <c r="L26" s="27">
        <v>229</v>
      </c>
      <c r="M26" s="85">
        <v>103.6</v>
      </c>
      <c r="N26" s="89">
        <v>2868808</v>
      </c>
    </row>
    <row r="27" spans="1:14" ht="16.5" customHeight="1">
      <c r="B27" s="28" t="s">
        <v>61</v>
      </c>
      <c r="C27" s="23">
        <v>1666375</v>
      </c>
      <c r="D27" s="23">
        <v>628573</v>
      </c>
      <c r="E27" s="24">
        <v>37.700000000000003</v>
      </c>
      <c r="F27" s="23">
        <v>1664689</v>
      </c>
      <c r="G27" s="25" t="s">
        <v>38</v>
      </c>
      <c r="H27" s="26">
        <v>2.2000000000000002</v>
      </c>
      <c r="I27" s="23">
        <v>1686</v>
      </c>
      <c r="J27" s="23">
        <v>1432</v>
      </c>
      <c r="K27" s="25"/>
      <c r="L27" s="27">
        <v>254</v>
      </c>
      <c r="M27" s="85">
        <v>101.7</v>
      </c>
      <c r="N27" s="89">
        <v>2916377</v>
      </c>
    </row>
    <row r="28" spans="1:14" ht="16.5" customHeight="1">
      <c r="B28" s="28" t="s">
        <v>63</v>
      </c>
      <c r="C28" s="23">
        <v>1590506</v>
      </c>
      <c r="D28" s="23">
        <v>652624</v>
      </c>
      <c r="E28" s="24">
        <v>41</v>
      </c>
      <c r="F28" s="23">
        <v>1587643</v>
      </c>
      <c r="G28" s="25" t="s">
        <v>38</v>
      </c>
      <c r="H28" s="26">
        <v>4.5999999999999996</v>
      </c>
      <c r="I28" s="23">
        <v>2863</v>
      </c>
      <c r="J28" s="23">
        <v>2497</v>
      </c>
      <c r="K28" s="25"/>
      <c r="L28" s="27">
        <v>366</v>
      </c>
      <c r="M28" s="85">
        <v>99.7</v>
      </c>
      <c r="N28" s="89">
        <v>2849274</v>
      </c>
    </row>
    <row r="29" spans="1:14" ht="16.5" customHeight="1">
      <c r="B29" s="28" t="s">
        <v>107</v>
      </c>
      <c r="C29" s="23">
        <v>1577285</v>
      </c>
      <c r="D29" s="23">
        <v>678485</v>
      </c>
      <c r="E29" s="24">
        <v>43</v>
      </c>
      <c r="F29" s="23">
        <v>1573282</v>
      </c>
      <c r="G29" s="25" t="s">
        <v>38</v>
      </c>
      <c r="H29" s="26">
        <v>0.9</v>
      </c>
      <c r="I29" s="23">
        <v>4003</v>
      </c>
      <c r="J29" s="23">
        <v>3569</v>
      </c>
      <c r="K29" s="25"/>
      <c r="L29" s="27">
        <v>434</v>
      </c>
      <c r="M29" s="85">
        <v>99.9</v>
      </c>
      <c r="N29" s="89">
        <v>2833410</v>
      </c>
    </row>
    <row r="30" spans="1:14" ht="16.5" customHeight="1">
      <c r="B30" s="28" t="s">
        <v>125</v>
      </c>
      <c r="C30" s="23">
        <v>1555121</v>
      </c>
      <c r="D30" s="23">
        <v>670787</v>
      </c>
      <c r="E30" s="24">
        <v>43.1</v>
      </c>
      <c r="F30" s="23">
        <v>1552859</v>
      </c>
      <c r="G30" s="25" t="s">
        <v>38</v>
      </c>
      <c r="H30" s="26">
        <v>1.3</v>
      </c>
      <c r="I30" s="23">
        <v>2262</v>
      </c>
      <c r="J30" s="23">
        <v>1813</v>
      </c>
      <c r="K30" s="25"/>
      <c r="L30" s="27">
        <v>449</v>
      </c>
      <c r="M30" s="85">
        <v>99.2</v>
      </c>
      <c r="N30" s="89">
        <v>2814500</v>
      </c>
    </row>
    <row r="31" spans="1:14" ht="16.5" customHeight="1">
      <c r="B31" s="28" t="s">
        <v>129</v>
      </c>
      <c r="C31" s="23">
        <v>1671647</v>
      </c>
      <c r="D31" s="23">
        <v>623613</v>
      </c>
      <c r="E31" s="24">
        <v>37.299999999999997</v>
      </c>
      <c r="F31" s="23">
        <v>1669763</v>
      </c>
      <c r="G31" s="25"/>
      <c r="H31" s="26">
        <v>7.5</v>
      </c>
      <c r="I31" s="23">
        <v>1884</v>
      </c>
      <c r="J31" s="23">
        <v>1495</v>
      </c>
      <c r="K31" s="25"/>
      <c r="L31" s="27">
        <v>389</v>
      </c>
      <c r="M31" s="85">
        <v>100.2</v>
      </c>
      <c r="N31" s="89">
        <v>2797041</v>
      </c>
    </row>
    <row r="32" spans="1:14" ht="16.5" customHeight="1">
      <c r="A32" s="43"/>
      <c r="B32" s="44" t="s">
        <v>135</v>
      </c>
      <c r="C32" s="45">
        <v>1642643</v>
      </c>
      <c r="D32" s="45">
        <v>626018</v>
      </c>
      <c r="E32" s="46">
        <v>38.1</v>
      </c>
      <c r="F32" s="45">
        <v>1641235</v>
      </c>
      <c r="G32" s="47" t="s">
        <v>38</v>
      </c>
      <c r="H32" s="48">
        <v>1.7</v>
      </c>
      <c r="I32" s="45">
        <f>C32-F32</f>
        <v>1408</v>
      </c>
      <c r="J32" s="45">
        <v>1000</v>
      </c>
      <c r="K32" s="47"/>
      <c r="L32" s="49">
        <f>I32-J32</f>
        <v>408</v>
      </c>
      <c r="M32" s="86">
        <v>99.4</v>
      </c>
      <c r="N32" s="90">
        <v>2770468</v>
      </c>
    </row>
    <row r="33" spans="1:14" ht="16.5" customHeight="1">
      <c r="A33" s="5"/>
      <c r="B33" s="44" t="s">
        <v>173</v>
      </c>
      <c r="C33" s="45">
        <v>1651156</v>
      </c>
      <c r="D33" s="45">
        <v>636066</v>
      </c>
      <c r="E33" s="46">
        <v>38.5</v>
      </c>
      <c r="F33" s="45">
        <v>1649897</v>
      </c>
      <c r="G33" s="47"/>
      <c r="H33" s="48">
        <v>0.5</v>
      </c>
      <c r="I33" s="45">
        <f>C33-F33</f>
        <v>1259</v>
      </c>
      <c r="J33" s="45">
        <v>806</v>
      </c>
      <c r="K33" s="47"/>
      <c r="L33" s="49">
        <f>I33-J33</f>
        <v>453</v>
      </c>
      <c r="M33" s="86">
        <v>99.5</v>
      </c>
      <c r="N33" s="89">
        <v>2745021</v>
      </c>
    </row>
    <row r="34" spans="1:14" ht="15" hidden="1" customHeight="1">
      <c r="A34" s="5"/>
      <c r="B34" s="772" t="s">
        <v>180</v>
      </c>
      <c r="C34" s="114">
        <v>1582165</v>
      </c>
      <c r="D34" s="771">
        <v>627006</v>
      </c>
      <c r="E34" s="770">
        <v>36.9</v>
      </c>
      <c r="F34" s="114">
        <v>1580639</v>
      </c>
      <c r="G34" s="115" t="s">
        <v>181</v>
      </c>
      <c r="H34" s="116" t="s">
        <v>182</v>
      </c>
      <c r="I34" s="771">
        <f>C34-F34</f>
        <v>1526</v>
      </c>
      <c r="J34" s="771">
        <v>1115</v>
      </c>
      <c r="K34" s="106"/>
      <c r="L34" s="776">
        <f>I34-J34</f>
        <v>411</v>
      </c>
      <c r="M34" s="775">
        <v>101.9</v>
      </c>
      <c r="N34" s="773">
        <v>2660209</v>
      </c>
    </row>
    <row r="35" spans="1:14" ht="16.5" customHeight="1">
      <c r="B35" s="772"/>
      <c r="C35" s="117">
        <v>1700781</v>
      </c>
      <c r="D35" s="771"/>
      <c r="E35" s="770"/>
      <c r="F35" s="117">
        <v>1699255</v>
      </c>
      <c r="G35" s="47"/>
      <c r="H35" s="108">
        <v>3</v>
      </c>
      <c r="I35" s="771"/>
      <c r="J35" s="771"/>
      <c r="K35" s="107"/>
      <c r="L35" s="776"/>
      <c r="M35" s="775"/>
      <c r="N35" s="774"/>
    </row>
    <row r="36" spans="1:14" ht="16.5" customHeight="1">
      <c r="A36" s="5"/>
      <c r="B36" s="44" t="s">
        <v>196</v>
      </c>
      <c r="C36" s="45">
        <v>1675766</v>
      </c>
      <c r="D36" s="45">
        <v>641870</v>
      </c>
      <c r="E36" s="46">
        <v>38.299999999999997</v>
      </c>
      <c r="F36" s="45">
        <v>1650402</v>
      </c>
      <c r="G36" s="47" t="s">
        <v>38</v>
      </c>
      <c r="H36" s="48">
        <v>2.9</v>
      </c>
      <c r="I36" s="45">
        <f t="shared" ref="I36:I41" si="0">C36-F36</f>
        <v>25364</v>
      </c>
      <c r="J36" s="45">
        <v>1141</v>
      </c>
      <c r="K36" s="47"/>
      <c r="L36" s="119">
        <f t="shared" ref="L36:L41" si="1">I36-J36</f>
        <v>24223</v>
      </c>
      <c r="M36" s="86">
        <v>98.3</v>
      </c>
      <c r="N36" s="89">
        <v>2578573</v>
      </c>
    </row>
    <row r="37" spans="1:14" ht="16.5" customHeight="1">
      <c r="A37" s="5"/>
      <c r="B37" s="44" t="s">
        <v>210</v>
      </c>
      <c r="C37" s="162">
        <v>1641158</v>
      </c>
      <c r="D37" s="162">
        <v>659256</v>
      </c>
      <c r="E37" s="163">
        <v>40.170172524522322</v>
      </c>
      <c r="F37" s="162">
        <v>1635843</v>
      </c>
      <c r="G37" s="47" t="s">
        <v>38</v>
      </c>
      <c r="H37" s="165">
        <v>0.88214871285904894</v>
      </c>
      <c r="I37" s="162">
        <f t="shared" si="0"/>
        <v>5315</v>
      </c>
      <c r="J37" s="162">
        <v>4881</v>
      </c>
      <c r="K37" s="164"/>
      <c r="L37" s="166">
        <f t="shared" si="1"/>
        <v>434</v>
      </c>
      <c r="M37" s="86">
        <v>98.8</v>
      </c>
      <c r="N37" s="167">
        <v>2473326</v>
      </c>
    </row>
    <row r="38" spans="1:14" ht="16.5" customHeight="1">
      <c r="A38" s="5"/>
      <c r="B38" s="44" t="s">
        <v>220</v>
      </c>
      <c r="C38" s="162">
        <v>1631983</v>
      </c>
      <c r="D38" s="162">
        <v>660088</v>
      </c>
      <c r="E38" s="163">
        <v>40.4</v>
      </c>
      <c r="F38" s="162">
        <v>1630073</v>
      </c>
      <c r="G38" s="47" t="s">
        <v>38</v>
      </c>
      <c r="H38" s="165">
        <v>0.4</v>
      </c>
      <c r="I38" s="162">
        <f t="shared" si="0"/>
        <v>1910</v>
      </c>
      <c r="J38" s="162">
        <v>1509</v>
      </c>
      <c r="K38" s="164"/>
      <c r="L38" s="166">
        <f t="shared" si="1"/>
        <v>401</v>
      </c>
      <c r="M38" s="86">
        <v>97.6</v>
      </c>
      <c r="N38" s="167">
        <v>2327170</v>
      </c>
    </row>
    <row r="39" spans="1:14" ht="16.5" customHeight="1">
      <c r="A39" s="5"/>
      <c r="B39" s="44" t="s">
        <v>249</v>
      </c>
      <c r="C39" s="162">
        <v>1574838</v>
      </c>
      <c r="D39" s="162">
        <v>659473</v>
      </c>
      <c r="E39" s="163">
        <v>41.9</v>
      </c>
      <c r="F39" s="162">
        <v>1572848</v>
      </c>
      <c r="G39" s="47" t="s">
        <v>38</v>
      </c>
      <c r="H39" s="165">
        <v>3.5</v>
      </c>
      <c r="I39" s="162">
        <f t="shared" si="0"/>
        <v>1990</v>
      </c>
      <c r="J39" s="162">
        <v>1590</v>
      </c>
      <c r="K39" s="164"/>
      <c r="L39" s="166">
        <f t="shared" si="1"/>
        <v>400</v>
      </c>
      <c r="M39" s="86">
        <v>100.1</v>
      </c>
      <c r="N39" s="167">
        <v>2185864</v>
      </c>
    </row>
    <row r="40" spans="1:14" ht="16.5" customHeight="1">
      <c r="A40" s="5"/>
      <c r="B40" s="44" t="s">
        <v>260</v>
      </c>
      <c r="C40" s="162">
        <v>1742817</v>
      </c>
      <c r="D40" s="162">
        <v>675404</v>
      </c>
      <c r="E40" s="163">
        <v>38.799999999999997</v>
      </c>
      <c r="F40" s="162">
        <v>1740813</v>
      </c>
      <c r="G40" s="47"/>
      <c r="H40" s="165">
        <v>10.7</v>
      </c>
      <c r="I40" s="162">
        <f t="shared" si="0"/>
        <v>2004</v>
      </c>
      <c r="J40" s="162">
        <v>1584</v>
      </c>
      <c r="K40" s="164"/>
      <c r="L40" s="166">
        <f t="shared" si="1"/>
        <v>420</v>
      </c>
      <c r="M40" s="86">
        <v>98.3</v>
      </c>
      <c r="N40" s="167">
        <v>2069777</v>
      </c>
    </row>
    <row r="41" spans="1:14" ht="16.5" customHeight="1">
      <c r="A41" s="5"/>
      <c r="B41" s="44" t="s">
        <v>312</v>
      </c>
      <c r="C41" s="162">
        <v>1761138</v>
      </c>
      <c r="D41" s="162">
        <v>737441</v>
      </c>
      <c r="E41" s="163">
        <v>41.9</v>
      </c>
      <c r="F41" s="162">
        <v>1758572</v>
      </c>
      <c r="G41" s="47"/>
      <c r="H41" s="165">
        <v>1</v>
      </c>
      <c r="I41" s="162">
        <f t="shared" si="0"/>
        <v>2566</v>
      </c>
      <c r="J41" s="162">
        <v>2137</v>
      </c>
      <c r="K41" s="164"/>
      <c r="L41" s="166">
        <f t="shared" si="1"/>
        <v>429</v>
      </c>
      <c r="M41" s="86">
        <v>96.9</v>
      </c>
      <c r="N41" s="167">
        <v>1906256</v>
      </c>
    </row>
    <row r="42" spans="1:14" hidden="1">
      <c r="A42" s="5"/>
      <c r="B42" s="109" t="s">
        <v>195</v>
      </c>
      <c r="C42" s="30"/>
      <c r="D42" s="30"/>
      <c r="E42" s="30"/>
    </row>
    <row r="43" spans="1:14" ht="14.25" customHeight="1">
      <c r="A43" s="5"/>
      <c r="B43" s="29"/>
      <c r="C43" s="31"/>
      <c r="D43" s="31"/>
      <c r="E43" s="31"/>
      <c r="G43" s="760"/>
      <c r="H43" s="760"/>
    </row>
    <row r="44" spans="1:14" ht="14.25" customHeight="1">
      <c r="A44" s="5"/>
      <c r="B44" s="29"/>
      <c r="C44" s="31"/>
      <c r="D44" s="31"/>
      <c r="E44" s="31"/>
      <c r="G44" s="32"/>
      <c r="H44" s="33"/>
    </row>
    <row r="45" spans="1:14" ht="14.25" customHeight="1">
      <c r="B45" s="29"/>
      <c r="C45" s="31"/>
      <c r="D45" s="31"/>
      <c r="E45" s="31"/>
      <c r="G45" s="762"/>
      <c r="H45" s="762"/>
    </row>
    <row r="46" spans="1:14" ht="14.25" customHeight="1">
      <c r="B46" s="29"/>
      <c r="C46" s="31"/>
      <c r="D46" s="31"/>
      <c r="E46" s="31"/>
      <c r="G46" s="32"/>
      <c r="H46" s="33"/>
    </row>
    <row r="47" spans="1:14" ht="14.25" customHeight="1">
      <c r="A47" s="5"/>
      <c r="B47" s="29"/>
      <c r="C47" s="31"/>
      <c r="D47" s="31"/>
      <c r="E47" s="31"/>
      <c r="G47" s="760"/>
      <c r="H47" s="760"/>
    </row>
    <row r="48" spans="1:14" ht="14.25" customHeight="1">
      <c r="A48" s="5"/>
      <c r="B48" s="29"/>
      <c r="C48" s="31"/>
      <c r="D48" s="31"/>
      <c r="E48" s="31"/>
      <c r="G48" s="32"/>
      <c r="H48" s="33"/>
    </row>
    <row r="49" spans="1:8" ht="14.25" customHeight="1">
      <c r="B49" s="29"/>
      <c r="C49" s="31"/>
      <c r="D49" s="31"/>
      <c r="E49" s="31"/>
      <c r="G49" s="760"/>
      <c r="H49" s="760"/>
    </row>
    <row r="50" spans="1:8" ht="14.25" customHeight="1">
      <c r="B50" s="29"/>
      <c r="C50" s="31"/>
      <c r="D50" s="31"/>
      <c r="E50" s="31"/>
      <c r="G50" s="32"/>
      <c r="H50" s="33"/>
    </row>
    <row r="51" spans="1:8" ht="14.25" customHeight="1">
      <c r="A51" s="5"/>
      <c r="B51" s="29"/>
      <c r="C51" s="31"/>
      <c r="D51" s="31"/>
      <c r="E51" s="31"/>
      <c r="G51" s="760"/>
      <c r="H51" s="760"/>
    </row>
    <row r="52" spans="1:8" ht="14.25" customHeight="1">
      <c r="A52" s="5"/>
      <c r="B52" s="29"/>
      <c r="C52" s="31"/>
      <c r="D52" s="31"/>
      <c r="E52" s="31"/>
      <c r="G52" s="32"/>
      <c r="H52" s="33"/>
    </row>
    <row r="53" spans="1:8" ht="14.25" customHeight="1">
      <c r="B53" s="29"/>
      <c r="C53" s="31"/>
      <c r="D53" s="31"/>
      <c r="E53" s="31"/>
      <c r="G53" s="760"/>
      <c r="H53" s="760"/>
    </row>
    <row r="54" spans="1:8" ht="14.25" customHeight="1">
      <c r="B54" s="29"/>
      <c r="C54" s="31"/>
      <c r="D54" s="31"/>
      <c r="E54" s="31"/>
      <c r="G54" s="32"/>
      <c r="H54" s="33"/>
    </row>
    <row r="55" spans="1:8" ht="14.25" customHeight="1">
      <c r="A55" s="5"/>
      <c r="B55" s="29"/>
      <c r="C55" s="31"/>
      <c r="D55" s="31"/>
      <c r="E55" s="31"/>
      <c r="G55" s="760"/>
      <c r="H55" s="760"/>
    </row>
    <row r="56" spans="1:8" ht="14.25" customHeight="1">
      <c r="A56" s="5"/>
      <c r="B56" s="29"/>
      <c r="C56" s="31"/>
      <c r="D56" s="31"/>
      <c r="E56" s="31"/>
      <c r="G56" s="32"/>
      <c r="H56" s="33"/>
    </row>
    <row r="57" spans="1:8" ht="14.25" customHeight="1">
      <c r="B57" s="29"/>
      <c r="C57" s="31"/>
      <c r="D57" s="31"/>
      <c r="E57" s="31"/>
      <c r="G57" s="760"/>
      <c r="H57" s="760"/>
    </row>
    <row r="58" spans="1:8" ht="14.25" customHeight="1">
      <c r="B58" s="29"/>
      <c r="C58" s="31"/>
      <c r="D58" s="31"/>
      <c r="E58" s="31"/>
      <c r="G58" s="32"/>
      <c r="H58" s="33"/>
    </row>
    <row r="59" spans="1:8" ht="14.25" customHeight="1">
      <c r="A59" s="5"/>
      <c r="B59" s="29"/>
      <c r="C59" s="31"/>
      <c r="D59" s="31"/>
      <c r="E59" s="31"/>
      <c r="G59" s="760"/>
      <c r="H59" s="761"/>
    </row>
    <row r="60" spans="1:8" ht="14.25" customHeight="1">
      <c r="A60" s="5"/>
      <c r="B60" s="29"/>
      <c r="C60" s="31"/>
      <c r="D60" s="31"/>
      <c r="E60" s="31"/>
      <c r="G60" s="32"/>
      <c r="H60" s="33"/>
    </row>
    <row r="61" spans="1:8" ht="14.25" customHeight="1">
      <c r="C61" s="31"/>
      <c r="D61" s="31"/>
      <c r="E61" s="31"/>
      <c r="G61" s="760"/>
      <c r="H61" s="761"/>
    </row>
    <row r="62" spans="1:8" ht="10.7" customHeight="1"/>
    <row r="63" spans="1:8">
      <c r="A63" s="5"/>
    </row>
    <row r="64" spans="1:8" ht="10.7" customHeight="1"/>
    <row r="65" spans="1:1">
      <c r="A65" s="5"/>
    </row>
    <row r="66" spans="1:1">
      <c r="A66" s="5"/>
    </row>
    <row r="67" spans="1:1">
      <c r="A67" s="5"/>
    </row>
    <row r="68" spans="1:1">
      <c r="A68" s="5"/>
    </row>
    <row r="69" spans="1:1">
      <c r="A69" s="5"/>
    </row>
  </sheetData>
  <mergeCells count="25">
    <mergeCell ref="N34:N35"/>
    <mergeCell ref="M34:M35"/>
    <mergeCell ref="L34:L35"/>
    <mergeCell ref="J34:J35"/>
    <mergeCell ref="I34:I35"/>
    <mergeCell ref="K6:L6"/>
    <mergeCell ref="K7:L7"/>
    <mergeCell ref="K8:L8"/>
    <mergeCell ref="B5:B8"/>
    <mergeCell ref="G43:H43"/>
    <mergeCell ref="E34:E35"/>
    <mergeCell ref="D34:D35"/>
    <mergeCell ref="B34:B35"/>
    <mergeCell ref="G45:H45"/>
    <mergeCell ref="G47:H47"/>
    <mergeCell ref="G6:H6"/>
    <mergeCell ref="G7:H7"/>
    <mergeCell ref="G8:H8"/>
    <mergeCell ref="G57:H57"/>
    <mergeCell ref="G59:H59"/>
    <mergeCell ref="G61:H61"/>
    <mergeCell ref="G49:H49"/>
    <mergeCell ref="G51:H51"/>
    <mergeCell ref="G53:H53"/>
    <mergeCell ref="G55:H55"/>
  </mergeCells>
  <phoneticPr fontId="9"/>
  <printOptions verticalCentered="1"/>
  <pageMargins left="0.62992125984251968" right="0.31496062992125984" top="0.19685039370078741" bottom="0.59055118110236227" header="0" footer="0"/>
  <pageSetup paperSize="9" scale="9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0"/>
  <sheetViews>
    <sheetView view="pageBreakPreview" topLeftCell="B1" zoomScale="85" zoomScaleNormal="100" zoomScaleSheetLayoutView="85" workbookViewId="0">
      <pane xSplit="1" topLeftCell="I1" activePane="topRight" state="frozen"/>
      <selection activeCell="B1" sqref="B1"/>
      <selection pane="topRight" activeCell="O11" sqref="O11"/>
    </sheetView>
  </sheetViews>
  <sheetFormatPr defaultRowHeight="12.75"/>
  <cols>
    <col min="1" max="1" width="9.140625" style="1"/>
    <col min="2" max="2" width="13.140625" style="1" customWidth="1"/>
    <col min="3" max="25" width="11.85546875" style="1" customWidth="1"/>
    <col min="26" max="16384" width="9.140625" style="1"/>
  </cols>
  <sheetData>
    <row r="1" spans="2:25">
      <c r="X1" s="243"/>
      <c r="Y1" s="243" t="s">
        <v>264</v>
      </c>
    </row>
    <row r="2" spans="2:25">
      <c r="C2" s="36" t="s">
        <v>49</v>
      </c>
      <c r="D2" s="36" t="s">
        <v>110</v>
      </c>
      <c r="E2" s="36" t="s">
        <v>50</v>
      </c>
      <c r="F2" s="36" t="s">
        <v>111</v>
      </c>
      <c r="G2" s="36" t="s">
        <v>51</v>
      </c>
      <c r="H2" s="36" t="s">
        <v>112</v>
      </c>
      <c r="I2" s="36" t="s">
        <v>52</v>
      </c>
      <c r="J2" s="36" t="s">
        <v>113</v>
      </c>
      <c r="K2" s="36" t="s">
        <v>53</v>
      </c>
      <c r="L2" s="36" t="s">
        <v>62</v>
      </c>
      <c r="M2" s="36" t="s">
        <v>64</v>
      </c>
      <c r="N2" s="36" t="s">
        <v>108</v>
      </c>
      <c r="O2" s="36" t="s">
        <v>126</v>
      </c>
      <c r="P2" s="36" t="s">
        <v>130</v>
      </c>
      <c r="Q2" s="36" t="s">
        <v>134</v>
      </c>
      <c r="R2" s="36" t="s">
        <v>171</v>
      </c>
      <c r="S2" s="36" t="s">
        <v>183</v>
      </c>
      <c r="T2" s="36" t="s">
        <v>204</v>
      </c>
      <c r="U2" s="36" t="s">
        <v>211</v>
      </c>
      <c r="V2" s="36" t="s">
        <v>219</v>
      </c>
      <c r="W2" s="36" t="s">
        <v>250</v>
      </c>
      <c r="X2" s="36" t="s">
        <v>259</v>
      </c>
      <c r="Y2" s="36" t="s">
        <v>313</v>
      </c>
    </row>
    <row r="3" spans="2:25">
      <c r="B3" s="1" t="s">
        <v>54</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42">
        <v>626018</v>
      </c>
      <c r="R3" s="42">
        <v>636066</v>
      </c>
      <c r="S3" s="42">
        <v>627006</v>
      </c>
      <c r="T3" s="42">
        <v>641870</v>
      </c>
      <c r="U3" s="42">
        <v>659256</v>
      </c>
      <c r="V3" s="42">
        <v>660088</v>
      </c>
      <c r="W3" s="42">
        <v>659473</v>
      </c>
      <c r="X3" s="42">
        <v>675404</v>
      </c>
      <c r="Y3" s="42">
        <v>737441</v>
      </c>
    </row>
    <row r="4" spans="2:25">
      <c r="B4" s="1" t="s">
        <v>55</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42">
        <v>239462</v>
      </c>
      <c r="R4" s="42">
        <v>241497</v>
      </c>
      <c r="S4" s="42">
        <v>232278</v>
      </c>
      <c r="T4" s="42">
        <v>209070</v>
      </c>
      <c r="U4" s="42">
        <v>207535</v>
      </c>
      <c r="V4" s="42">
        <v>203645</v>
      </c>
      <c r="W4" s="42">
        <v>196519</v>
      </c>
      <c r="X4" s="42">
        <v>300874</v>
      </c>
      <c r="Y4" s="42">
        <v>302071</v>
      </c>
    </row>
    <row r="5" spans="2:25">
      <c r="B5" s="1" t="s">
        <v>56</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42">
        <v>481221</v>
      </c>
      <c r="R5" s="42">
        <v>496850</v>
      </c>
      <c r="S5" s="42">
        <v>498403</v>
      </c>
      <c r="T5" s="42">
        <v>501060</v>
      </c>
      <c r="U5" s="42">
        <v>517169</v>
      </c>
      <c r="V5" s="42">
        <v>528188</v>
      </c>
      <c r="W5" s="42">
        <v>541680</v>
      </c>
      <c r="X5" s="42">
        <v>552538</v>
      </c>
      <c r="Y5" s="42">
        <v>553538</v>
      </c>
    </row>
    <row r="6" spans="2:25">
      <c r="B6" s="1" t="s">
        <v>1</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42">
        <v>2770468</v>
      </c>
      <c r="R6" s="42">
        <v>2745021</v>
      </c>
      <c r="S6" s="42">
        <v>2660209</v>
      </c>
      <c r="T6" s="42">
        <v>2578573</v>
      </c>
      <c r="U6" s="42">
        <v>2473326</v>
      </c>
      <c r="V6" s="42">
        <v>2327260</v>
      </c>
      <c r="W6" s="42">
        <v>2185864</v>
      </c>
      <c r="X6" s="42">
        <v>2069777</v>
      </c>
      <c r="Y6" s="42">
        <v>1906256</v>
      </c>
    </row>
    <row r="7" spans="2:25">
      <c r="B7" s="1" t="s">
        <v>59</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42">
        <v>222238</v>
      </c>
      <c r="R7" s="42">
        <v>237153</v>
      </c>
      <c r="S7" s="42">
        <v>260026</v>
      </c>
      <c r="T7" s="42">
        <v>279755</v>
      </c>
      <c r="U7" s="42">
        <v>265954</v>
      </c>
      <c r="V7" s="42">
        <v>278423</v>
      </c>
      <c r="W7" s="42">
        <v>265961</v>
      </c>
      <c r="X7" s="42">
        <v>262980</v>
      </c>
      <c r="Y7" s="42">
        <v>292271</v>
      </c>
    </row>
    <row r="8" spans="2:25">
      <c r="B8" s="1" t="s">
        <v>57</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42">
        <v>95376</v>
      </c>
      <c r="R8" s="42">
        <v>90088</v>
      </c>
      <c r="S8" s="42">
        <v>76715</v>
      </c>
      <c r="T8" s="42">
        <v>83723</v>
      </c>
      <c r="U8" s="42">
        <v>101864</v>
      </c>
      <c r="V8" s="42">
        <v>100879</v>
      </c>
      <c r="W8" s="42">
        <v>100112</v>
      </c>
      <c r="X8" s="42">
        <v>115757</v>
      </c>
      <c r="Y8" s="42">
        <v>124704</v>
      </c>
    </row>
    <row r="9" spans="2:25" ht="38.25">
      <c r="B9" s="35" t="s">
        <v>60</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42">
        <v>138152</v>
      </c>
      <c r="R9" s="42">
        <v>135459</v>
      </c>
      <c r="S9" s="42">
        <v>132093</v>
      </c>
      <c r="T9" s="42">
        <v>130665</v>
      </c>
      <c r="U9" s="42">
        <v>129916</v>
      </c>
      <c r="V9" s="42">
        <v>130341</v>
      </c>
      <c r="W9" s="42">
        <v>130977</v>
      </c>
      <c r="X9" s="42">
        <v>131222</v>
      </c>
      <c r="Y9" s="42">
        <v>137234</v>
      </c>
    </row>
    <row r="10" spans="2:25">
      <c r="D10" s="34"/>
      <c r="E10" s="34"/>
    </row>
    <row r="12" spans="2:25">
      <c r="B12" s="1" t="s">
        <v>58</v>
      </c>
    </row>
    <row r="13" spans="2:25">
      <c r="C13" s="2" t="s">
        <v>49</v>
      </c>
      <c r="D13" s="2" t="s">
        <v>110</v>
      </c>
      <c r="E13" s="2" t="s">
        <v>50</v>
      </c>
      <c r="F13" s="2" t="s">
        <v>111</v>
      </c>
      <c r="G13" s="2" t="s">
        <v>51</v>
      </c>
      <c r="H13" s="2" t="s">
        <v>112</v>
      </c>
      <c r="I13" s="2" t="s">
        <v>52</v>
      </c>
      <c r="J13" s="2" t="s">
        <v>113</v>
      </c>
      <c r="K13" s="2" t="s">
        <v>53</v>
      </c>
      <c r="L13" s="2" t="s">
        <v>62</v>
      </c>
      <c r="M13" s="2" t="s">
        <v>64</v>
      </c>
      <c r="N13" s="2" t="s">
        <v>108</v>
      </c>
      <c r="O13" s="2" t="s">
        <v>126</v>
      </c>
      <c r="P13" s="2" t="s">
        <v>130</v>
      </c>
      <c r="Q13" s="2" t="s">
        <v>134</v>
      </c>
      <c r="R13" s="2" t="s">
        <v>171</v>
      </c>
      <c r="S13" s="36" t="s">
        <v>183</v>
      </c>
      <c r="T13" s="2" t="s">
        <v>204</v>
      </c>
      <c r="U13" s="2" t="s">
        <v>211</v>
      </c>
      <c r="V13" s="2" t="s">
        <v>219</v>
      </c>
      <c r="W13" s="2" t="s">
        <v>250</v>
      </c>
      <c r="X13" s="2" t="s">
        <v>259</v>
      </c>
      <c r="Y13" s="2" t="s">
        <v>313</v>
      </c>
    </row>
    <row r="14" spans="2:25">
      <c r="B14" s="1" t="s">
        <v>54</v>
      </c>
      <c r="C14" s="34">
        <f t="shared" ref="C14:O14" si="0">C3/$C$3*100</f>
        <v>100</v>
      </c>
      <c r="D14" s="34">
        <f t="shared" si="0"/>
        <v>99.684942974678421</v>
      </c>
      <c r="E14" s="34">
        <f t="shared" si="0"/>
        <v>94.987249835077293</v>
      </c>
      <c r="F14" s="34">
        <f t="shared" si="0"/>
        <v>91.682237342101786</v>
      </c>
      <c r="G14" s="34">
        <f t="shared" si="0"/>
        <v>88.283093525642428</v>
      </c>
      <c r="H14" s="34">
        <f t="shared" si="0"/>
        <v>85.579904248383244</v>
      </c>
      <c r="I14" s="34">
        <f t="shared" si="0"/>
        <v>81.662652368650157</v>
      </c>
      <c r="J14" s="34">
        <f t="shared" si="0"/>
        <v>78.834854823008683</v>
      </c>
      <c r="K14" s="34">
        <f>K3/$C$3*100</f>
        <v>79.535824555673145</v>
      </c>
      <c r="L14" s="34">
        <f t="shared" si="0"/>
        <v>80.831159011209593</v>
      </c>
      <c r="M14" s="34">
        <f t="shared" si="0"/>
        <v>83.923990242233842</v>
      </c>
      <c r="N14" s="34">
        <f>N3/$C$3*100</f>
        <v>87.249577887883419</v>
      </c>
      <c r="O14" s="34">
        <f t="shared" si="0"/>
        <v>86.259655854852596</v>
      </c>
      <c r="P14" s="34">
        <f t="shared" ref="P14:U14" si="1">P3/$C$3*100</f>
        <v>80.193329278313669</v>
      </c>
      <c r="Q14" s="34">
        <f t="shared" si="1"/>
        <v>80.502599541945656</v>
      </c>
      <c r="R14" s="34">
        <f t="shared" si="1"/>
        <v>81.794719129876796</v>
      </c>
      <c r="S14" s="34">
        <f t="shared" si="1"/>
        <v>80.629651109708007</v>
      </c>
      <c r="T14" s="34">
        <f t="shared" si="1"/>
        <v>82.541082793128425</v>
      </c>
      <c r="U14" s="34">
        <f t="shared" si="1"/>
        <v>84.776830320573737</v>
      </c>
      <c r="V14" s="34">
        <f>V3/$C$3*100</f>
        <v>84.883821114478863</v>
      </c>
      <c r="W14" s="34">
        <f>W3/$C$3*100</f>
        <v>84.804735371387935</v>
      </c>
      <c r="X14" s="34">
        <f>X3/$C$3*100</f>
        <v>86.853377604203502</v>
      </c>
      <c r="Y14" s="34">
        <f>Y3/$C$3*100</f>
        <v>94.831007269458638</v>
      </c>
    </row>
    <row r="15" spans="2:25">
      <c r="B15" s="1" t="s">
        <v>55</v>
      </c>
      <c r="C15" s="34">
        <f t="shared" ref="C15:O15" si="2">C4/$C$4*100</f>
        <v>100</v>
      </c>
      <c r="D15" s="34">
        <f t="shared" si="2"/>
        <v>101.88069350573024</v>
      </c>
      <c r="E15" s="34">
        <f t="shared" si="2"/>
        <v>103.15837766196694</v>
      </c>
      <c r="F15" s="34">
        <f t="shared" si="2"/>
        <v>103.33739137735611</v>
      </c>
      <c r="G15" s="34">
        <f t="shared" si="2"/>
        <v>103.03633648581383</v>
      </c>
      <c r="H15" s="34">
        <f t="shared" si="2"/>
        <v>102.58565371490943</v>
      </c>
      <c r="I15" s="34">
        <f t="shared" si="2"/>
        <v>98.532507331466235</v>
      </c>
      <c r="J15" s="34">
        <f t="shared" si="2"/>
        <v>97.223938061854184</v>
      </c>
      <c r="K15" s="34">
        <f t="shared" si="2"/>
        <v>93.589090058591765</v>
      </c>
      <c r="L15" s="34">
        <f t="shared" si="2"/>
        <v>88.703844746832033</v>
      </c>
      <c r="M15" s="34">
        <f t="shared" si="2"/>
        <v>83.524441219332274</v>
      </c>
      <c r="N15" s="34">
        <f t="shared" si="2"/>
        <v>82.631171775204351</v>
      </c>
      <c r="O15" s="34">
        <f t="shared" si="2"/>
        <v>76.919524789051678</v>
      </c>
      <c r="P15" s="34">
        <f t="shared" ref="P15:U15" si="3">P4/$C$4*100</f>
        <v>73.135948472836091</v>
      </c>
      <c r="Q15" s="34">
        <f t="shared" si="3"/>
        <v>71.803990476590286</v>
      </c>
      <c r="R15" s="34">
        <f t="shared" si="3"/>
        <v>72.414196357355749</v>
      </c>
      <c r="S15" s="34">
        <f t="shared" si="3"/>
        <v>69.649828782526825</v>
      </c>
      <c r="T15" s="34">
        <f t="shared" si="3"/>
        <v>62.690783042573486</v>
      </c>
      <c r="U15" s="34">
        <f t="shared" si="3"/>
        <v>62.230504896639815</v>
      </c>
      <c r="V15" s="34">
        <f>V4/$C$4*100</f>
        <v>61.064067119648321</v>
      </c>
      <c r="W15" s="34">
        <f>W4/$C$4*100</f>
        <v>58.927297042825359</v>
      </c>
      <c r="X15" s="34">
        <f>X4/$C$4*100</f>
        <v>90.218714579572648</v>
      </c>
      <c r="Y15" s="34">
        <f>Y4/$C$4*100</f>
        <v>90.577641576760001</v>
      </c>
    </row>
    <row r="16" spans="2:25">
      <c r="B16" s="1" t="s">
        <v>56</v>
      </c>
      <c r="C16" s="34">
        <f t="shared" ref="C16:O16" si="4">C5/$C$5*100</f>
        <v>100</v>
      </c>
      <c r="D16" s="34">
        <f t="shared" si="4"/>
        <v>106.73001265385942</v>
      </c>
      <c r="E16" s="34">
        <f t="shared" si="4"/>
        <v>113.61049119981594</v>
      </c>
      <c r="F16" s="34">
        <f t="shared" si="4"/>
        <v>121.83503968710457</v>
      </c>
      <c r="G16" s="34">
        <f t="shared" si="4"/>
        <v>117.51064074542737</v>
      </c>
      <c r="H16" s="34">
        <f t="shared" si="4"/>
        <v>126.71896928563211</v>
      </c>
      <c r="I16" s="34">
        <f t="shared" si="4"/>
        <v>136.35798918670196</v>
      </c>
      <c r="J16" s="34">
        <f t="shared" si="4"/>
        <v>150.85609110778788</v>
      </c>
      <c r="K16" s="34">
        <f>K5/$C$5*100</f>
        <v>159.54538134130908</v>
      </c>
      <c r="L16" s="34">
        <f t="shared" si="4"/>
        <v>163.95398596571954</v>
      </c>
      <c r="M16" s="34">
        <f t="shared" si="4"/>
        <v>167.0995053491315</v>
      </c>
      <c r="N16" s="34">
        <f t="shared" si="4"/>
        <v>172.35430806395951</v>
      </c>
      <c r="O16" s="34">
        <f t="shared" si="4"/>
        <v>177.09099275278962</v>
      </c>
      <c r="P16" s="34">
        <f t="shared" ref="P16:U16" si="5">P5/$C$5*100</f>
        <v>196.13436098009893</v>
      </c>
      <c r="Q16" s="34">
        <f t="shared" si="5"/>
        <v>221.42919590475097</v>
      </c>
      <c r="R16" s="34">
        <f t="shared" si="5"/>
        <v>228.62072932244334</v>
      </c>
      <c r="S16" s="34">
        <f t="shared" si="5"/>
        <v>229.33532727481884</v>
      </c>
      <c r="T16" s="34">
        <f t="shared" si="5"/>
        <v>230.5579201656505</v>
      </c>
      <c r="U16" s="34">
        <f t="shared" si="5"/>
        <v>237.97032094788912</v>
      </c>
      <c r="V16" s="34">
        <f>V5/$C$5*100</f>
        <v>243.04060738525251</v>
      </c>
      <c r="W16" s="34">
        <f>W5/$C$5*100</f>
        <v>249.24882089037155</v>
      </c>
      <c r="X16" s="34">
        <f>X5/$C$5*100</f>
        <v>254.24502473254344</v>
      </c>
      <c r="Y16" s="34">
        <f>Y5/$C$5*100</f>
        <v>254.70516507534796</v>
      </c>
    </row>
    <row r="17" spans="2:25" hidden="1">
      <c r="B17" s="1" t="s">
        <v>1</v>
      </c>
      <c r="C17" s="34">
        <f t="shared" ref="C17:O17" si="6">C6/$C$6*100</f>
        <v>100</v>
      </c>
      <c r="D17" s="34">
        <f t="shared" si="6"/>
        <v>112.89189445737249</v>
      </c>
      <c r="E17" s="34">
        <f t="shared" si="6"/>
        <v>131.14997511872539</v>
      </c>
      <c r="F17" s="34">
        <f t="shared" si="6"/>
        <v>139.86860385846725</v>
      </c>
      <c r="G17" s="34">
        <f t="shared" si="6"/>
        <v>145.71429393270839</v>
      </c>
      <c r="H17" s="34">
        <f t="shared" si="6"/>
        <v>151.23960523628583</v>
      </c>
      <c r="I17" s="34">
        <f t="shared" si="6"/>
        <v>156.26291884677451</v>
      </c>
      <c r="J17" s="34">
        <f t="shared" si="6"/>
        <v>161.64285447186978</v>
      </c>
      <c r="K17" s="34">
        <f t="shared" si="6"/>
        <v>164.13903598724008</v>
      </c>
      <c r="L17" s="34">
        <f t="shared" si="6"/>
        <v>167.77613181035002</v>
      </c>
      <c r="M17" s="34">
        <f t="shared" si="6"/>
        <v>163.91576609875997</v>
      </c>
      <c r="N17" s="34">
        <f t="shared" si="6"/>
        <v>163.00312669890207</v>
      </c>
      <c r="O17" s="34">
        <f t="shared" si="6"/>
        <v>161.91525409102806</v>
      </c>
      <c r="P17" s="34">
        <f t="shared" ref="P17:U17" si="7">P6/$C$6*100</f>
        <v>160.91085600214006</v>
      </c>
      <c r="Q17" s="34">
        <f t="shared" si="7"/>
        <v>159.3821389842112</v>
      </c>
      <c r="R17" s="34">
        <f t="shared" si="7"/>
        <v>157.91819957371044</v>
      </c>
      <c r="S17" s="34">
        <f t="shared" si="7"/>
        <v>153.03905353357246</v>
      </c>
      <c r="T17" s="34">
        <f t="shared" si="7"/>
        <v>148.34261946607376</v>
      </c>
      <c r="U17" s="34">
        <f t="shared" si="7"/>
        <v>142.28786915613648</v>
      </c>
      <c r="V17" s="34">
        <f>V6/$C$6*100</f>
        <v>133.88484428349122</v>
      </c>
      <c r="W17" s="34">
        <f>W6/$C$6*100</f>
        <v>125.75047964769266</v>
      </c>
      <c r="X17" s="34">
        <f>X6/$C$6*100</f>
        <v>119.07211542610261</v>
      </c>
      <c r="Y17" s="34">
        <f>Y6/$C$6*100</f>
        <v>109.6649225804039</v>
      </c>
    </row>
    <row r="18" spans="2:25">
      <c r="B18" s="1" t="s">
        <v>59</v>
      </c>
      <c r="C18" s="34">
        <f t="shared" ref="C18:O18" si="8">C7/$C$7*100</f>
        <v>100</v>
      </c>
      <c r="D18" s="34">
        <f t="shared" si="8"/>
        <v>110.07380631683115</v>
      </c>
      <c r="E18" s="34">
        <f t="shared" si="8"/>
        <v>114.39566783034168</v>
      </c>
      <c r="F18" s="34">
        <f t="shared" si="8"/>
        <v>130.16025729129444</v>
      </c>
      <c r="G18" s="34">
        <f t="shared" si="8"/>
        <v>136.86879793287338</v>
      </c>
      <c r="H18" s="34">
        <f t="shared" si="8"/>
        <v>144.30921685587839</v>
      </c>
      <c r="I18" s="34">
        <f t="shared" si="8"/>
        <v>160.67855081228183</v>
      </c>
      <c r="J18" s="34">
        <f t="shared" si="8"/>
        <v>150.3951455510047</v>
      </c>
      <c r="K18" s="34">
        <f t="shared" si="8"/>
        <v>149.51139393606201</v>
      </c>
      <c r="L18" s="34">
        <f t="shared" si="8"/>
        <v>144.58891118502433</v>
      </c>
      <c r="M18" s="34">
        <f t="shared" si="8"/>
        <v>142.60081365623026</v>
      </c>
      <c r="N18" s="34">
        <f t="shared" si="8"/>
        <v>142.51834849775972</v>
      </c>
      <c r="O18" s="34">
        <f t="shared" si="8"/>
        <v>146.92679842766432</v>
      </c>
      <c r="P18" s="34">
        <f t="shared" ref="P18:U18" si="9">P7/$C$7*100</f>
        <v>152.22381044008907</v>
      </c>
      <c r="Q18" s="34">
        <f t="shared" si="9"/>
        <v>152.72409906814372</v>
      </c>
      <c r="R18" s="34">
        <f t="shared" si="9"/>
        <v>162.97383105637869</v>
      </c>
      <c r="S18" s="34">
        <f t="shared" si="9"/>
        <v>178.69237747051872</v>
      </c>
      <c r="T18" s="34">
        <f t="shared" si="9"/>
        <v>192.25033673273043</v>
      </c>
      <c r="U18" s="34">
        <f t="shared" si="9"/>
        <v>182.76615629896369</v>
      </c>
      <c r="V18" s="34">
        <f>V7/$C$7*100</f>
        <v>191.33497347370735</v>
      </c>
      <c r="W18" s="34">
        <f>W7/$C$7*100</f>
        <v>182.77096676654114</v>
      </c>
      <c r="X18" s="34">
        <f>X7/$C$7*100</f>
        <v>180.72239478820197</v>
      </c>
      <c r="Y18" s="34">
        <f>Y7/$C$7*100</f>
        <v>200.85145276120838</v>
      </c>
    </row>
    <row r="19" spans="2:25">
      <c r="B19" s="1" t="s">
        <v>57</v>
      </c>
      <c r="C19" s="34">
        <f t="shared" ref="C19:O19" si="10">C8/$C$8*100</f>
        <v>100</v>
      </c>
      <c r="D19" s="34">
        <f t="shared" si="10"/>
        <v>96.467714342225733</v>
      </c>
      <c r="E19" s="34">
        <f t="shared" si="10"/>
        <v>113.28924858131518</v>
      </c>
      <c r="F19" s="34">
        <f t="shared" si="10"/>
        <v>83.156035961086332</v>
      </c>
      <c r="G19" s="34">
        <f t="shared" si="10"/>
        <v>79.566044545582443</v>
      </c>
      <c r="H19" s="34">
        <f t="shared" si="10"/>
        <v>72.85647578907016</v>
      </c>
      <c r="I19" s="34">
        <f t="shared" si="10"/>
        <v>58.708165874486916</v>
      </c>
      <c r="J19" s="34">
        <f t="shared" si="10"/>
        <v>44.799039188938437</v>
      </c>
      <c r="K19" s="34">
        <f t="shared" si="10"/>
        <v>37.72692330435811</v>
      </c>
      <c r="L19" s="34">
        <f t="shared" si="10"/>
        <v>34.006431235331419</v>
      </c>
      <c r="M19" s="34">
        <f t="shared" si="10"/>
        <v>30.697220132172692</v>
      </c>
      <c r="N19" s="34">
        <f t="shared" si="10"/>
        <v>33.059281960935444</v>
      </c>
      <c r="O19" s="34">
        <f t="shared" si="10"/>
        <v>25.326710425167047</v>
      </c>
      <c r="P19" s="34">
        <f t="shared" ref="P19:U19" si="11">P8/$C$8*100</f>
        <v>25.656632389854391</v>
      </c>
      <c r="Q19" s="34">
        <f t="shared" si="11"/>
        <v>19.447859891235861</v>
      </c>
      <c r="R19" s="34">
        <f t="shared" si="11"/>
        <v>18.369598241503692</v>
      </c>
      <c r="S19" s="34">
        <f t="shared" si="11"/>
        <v>15.64274630469048</v>
      </c>
      <c r="T19" s="34">
        <f t="shared" si="11"/>
        <v>17.071728460765183</v>
      </c>
      <c r="U19" s="34">
        <f t="shared" si="11"/>
        <v>20.770810266323288</v>
      </c>
      <c r="V19" s="34">
        <f>V8/$C$8*100</f>
        <v>20.569961604260847</v>
      </c>
      <c r="W19" s="34">
        <f>W8/$C$8*100</f>
        <v>20.41356472730461</v>
      </c>
      <c r="X19" s="34">
        <f>X8/$C$8*100</f>
        <v>23.60369398412378</v>
      </c>
      <c r="Y19" s="34">
        <f>Y8/$C$8*100</f>
        <v>25.428052338918356</v>
      </c>
    </row>
    <row r="20" spans="2:25" ht="38.25">
      <c r="B20" s="35" t="s">
        <v>60</v>
      </c>
      <c r="C20" s="34">
        <f t="shared" ref="C20:O20" si="12">C9/$C$9*100</f>
        <v>100</v>
      </c>
      <c r="D20" s="34">
        <f t="shared" si="12"/>
        <v>95.70975657513759</v>
      </c>
      <c r="E20" s="34">
        <f t="shared" si="12"/>
        <v>91.601571450592218</v>
      </c>
      <c r="F20" s="34">
        <f t="shared" si="12"/>
        <v>90.077197718647014</v>
      </c>
      <c r="G20" s="34">
        <f t="shared" si="12"/>
        <v>82.509488278695002</v>
      </c>
      <c r="H20" s="34">
        <f t="shared" si="12"/>
        <v>74.5889106914466</v>
      </c>
      <c r="I20" s="34">
        <f t="shared" si="12"/>
        <v>66.870805264276171</v>
      </c>
      <c r="J20" s="34">
        <f t="shared" si="12"/>
        <v>63.192144413476484</v>
      </c>
      <c r="K20" s="34">
        <f t="shared" si="12"/>
        <v>59.057296288427011</v>
      </c>
      <c r="L20" s="34">
        <f t="shared" si="12"/>
        <v>55.976886511438003</v>
      </c>
      <c r="M20" s="34">
        <f t="shared" si="12"/>
        <v>54.307116104868911</v>
      </c>
      <c r="N20" s="34">
        <f t="shared" si="12"/>
        <v>54.240041994225798</v>
      </c>
      <c r="O20" s="34">
        <f t="shared" si="12"/>
        <v>54.274203963621673</v>
      </c>
      <c r="P20" s="34">
        <f t="shared" ref="P20:U20" si="13">P9/$C$9*100</f>
        <v>56.629296805022648</v>
      </c>
      <c r="Q20" s="34">
        <f t="shared" si="13"/>
        <v>57.555419463157151</v>
      </c>
      <c r="R20" s="34">
        <f t="shared" si="13"/>
        <v>56.43349039507067</v>
      </c>
      <c r="S20" s="34">
        <f t="shared" si="13"/>
        <v>55.031183212308306</v>
      </c>
      <c r="T20" s="34">
        <f t="shared" si="13"/>
        <v>54.436265013560636</v>
      </c>
      <c r="U20" s="34">
        <f t="shared" si="13"/>
        <v>54.124224585786116</v>
      </c>
      <c r="V20" s="34">
        <f>V9/$C$9*100</f>
        <v>54.301283573508641</v>
      </c>
      <c r="W20" s="34">
        <f>W9/$C$9*100</f>
        <v>54.56624714101811</v>
      </c>
      <c r="X20" s="34">
        <f>X9/$C$9*100</f>
        <v>54.66831643982286</v>
      </c>
      <c r="Y20" s="34">
        <f>Y9/$C$9*100</f>
        <v>57.17297204967651</v>
      </c>
    </row>
  </sheetData>
  <phoneticPr fontId="9"/>
  <pageMargins left="0.78700000000000003" right="0.78700000000000003" top="0.98399999999999999" bottom="0.98399999999999999" header="0.51200000000000001" footer="0.51200000000000001"/>
  <pageSetup paperSize="9" scale="4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zoomScaleNormal="100" zoomScaleSheetLayoutView="100" workbookViewId="0">
      <selection activeCell="K19" sqref="K19"/>
    </sheetView>
  </sheetViews>
  <sheetFormatPr defaultRowHeight="14.25"/>
  <cols>
    <col min="1" max="2" width="9.140625" style="40"/>
    <col min="3" max="3" width="11.5703125" style="40" customWidth="1"/>
    <col min="4" max="4" width="9.140625" style="40"/>
    <col min="5" max="7" width="10.5703125" style="40" customWidth="1"/>
    <col min="8" max="10" width="9.140625" style="40"/>
    <col min="11" max="11" width="13.85546875" style="40" customWidth="1"/>
    <col min="12" max="16384" width="9.140625" style="40"/>
  </cols>
  <sheetData>
    <row r="1" spans="1:12" ht="15" customHeight="1"/>
    <row r="2" spans="1:12" ht="15" customHeight="1">
      <c r="A2" s="413" t="s">
        <v>2</v>
      </c>
      <c r="B2" s="413"/>
      <c r="C2" s="413"/>
      <c r="D2" s="413"/>
      <c r="E2" s="413"/>
      <c r="F2" s="413"/>
      <c r="G2" s="413"/>
      <c r="H2" s="413"/>
      <c r="I2" s="413"/>
      <c r="J2" s="413"/>
    </row>
    <row r="3" spans="1:12" ht="15" customHeight="1">
      <c r="A3" s="413" t="s">
        <v>3</v>
      </c>
      <c r="B3" s="413"/>
      <c r="C3" s="413"/>
      <c r="D3" s="413"/>
      <c r="E3" s="413"/>
      <c r="F3" s="413"/>
      <c r="G3" s="413"/>
      <c r="H3" s="413"/>
      <c r="I3" s="413"/>
      <c r="J3" s="413"/>
    </row>
    <row r="4" spans="1:12" ht="15" customHeight="1">
      <c r="A4" s="413"/>
      <c r="B4" s="413"/>
      <c r="C4" s="413"/>
      <c r="D4" s="413"/>
      <c r="E4" s="413"/>
      <c r="F4" s="413"/>
      <c r="G4" s="413"/>
      <c r="H4" s="413"/>
      <c r="I4" s="413"/>
      <c r="J4" s="413"/>
    </row>
    <row r="5" spans="1:12" ht="20.25" customHeight="1">
      <c r="A5" s="413"/>
      <c r="B5" s="413"/>
      <c r="C5" s="778" t="s">
        <v>197</v>
      </c>
      <c r="D5" s="778"/>
      <c r="E5" s="778"/>
      <c r="F5" s="778"/>
      <c r="G5" s="778"/>
      <c r="H5" s="778"/>
      <c r="I5" s="778"/>
      <c r="J5" s="778"/>
      <c r="K5" s="778"/>
    </row>
    <row r="6" spans="1:12" ht="20.25" customHeight="1">
      <c r="A6" s="413"/>
      <c r="B6" s="413"/>
      <c r="C6" s="778" t="s">
        <v>184</v>
      </c>
      <c r="D6" s="778"/>
      <c r="E6" s="778"/>
      <c r="F6" s="778"/>
      <c r="G6" s="778"/>
      <c r="H6" s="778"/>
      <c r="I6" s="778"/>
      <c r="J6" s="778"/>
      <c r="K6" s="778"/>
    </row>
    <row r="7" spans="1:12" ht="12.75" customHeight="1">
      <c r="A7" s="413"/>
      <c r="B7" s="413"/>
      <c r="C7" s="778"/>
      <c r="D7" s="778"/>
      <c r="E7" s="778"/>
      <c r="F7" s="778"/>
      <c r="G7" s="778"/>
      <c r="H7" s="778"/>
      <c r="I7" s="778"/>
      <c r="J7" s="778"/>
      <c r="K7" s="778"/>
    </row>
    <row r="8" spans="1:12">
      <c r="A8" s="413"/>
      <c r="B8" s="413"/>
      <c r="C8" s="413" t="s">
        <v>4</v>
      </c>
      <c r="D8" s="413"/>
      <c r="E8" s="413"/>
      <c r="F8" s="413"/>
      <c r="G8" s="413"/>
      <c r="H8" s="413"/>
      <c r="I8" s="413"/>
      <c r="J8" s="413"/>
    </row>
    <row r="9" spans="1:12">
      <c r="A9" s="413"/>
      <c r="B9" s="413"/>
      <c r="C9" s="413"/>
      <c r="D9" s="413"/>
      <c r="E9" s="413"/>
      <c r="F9" s="413"/>
      <c r="G9" s="413"/>
      <c r="H9" s="413"/>
      <c r="I9" s="413"/>
      <c r="J9" s="413"/>
    </row>
    <row r="10" spans="1:12" ht="18.75" customHeight="1">
      <c r="A10" s="413"/>
      <c r="B10" s="413"/>
      <c r="C10" s="413"/>
      <c r="D10" s="413" t="s">
        <v>206</v>
      </c>
      <c r="E10" s="413"/>
      <c r="F10" s="413"/>
      <c r="G10" s="413"/>
      <c r="H10" s="413"/>
      <c r="I10" s="413"/>
      <c r="J10" s="413"/>
      <c r="L10" s="156"/>
    </row>
    <row r="11" spans="1:12" ht="9.75" customHeight="1">
      <c r="A11" s="413"/>
      <c r="B11" s="413"/>
      <c r="C11" s="413"/>
      <c r="D11" s="413"/>
      <c r="E11" s="413"/>
      <c r="F11" s="413"/>
      <c r="G11" s="413"/>
      <c r="H11" s="413"/>
      <c r="I11" s="413"/>
      <c r="J11" s="413"/>
    </row>
    <row r="12" spans="1:12" ht="18.75" customHeight="1">
      <c r="A12" s="413"/>
      <c r="B12" s="413"/>
      <c r="C12" s="413"/>
      <c r="D12" s="413" t="s">
        <v>5</v>
      </c>
      <c r="E12" s="413"/>
      <c r="F12" s="413"/>
      <c r="G12" s="413"/>
      <c r="H12" s="413"/>
      <c r="I12" s="413"/>
      <c r="J12" s="413"/>
    </row>
    <row r="13" spans="1:12" ht="9.75" customHeight="1">
      <c r="A13" s="413"/>
      <c r="B13" s="413"/>
      <c r="C13" s="413"/>
      <c r="D13" s="413"/>
      <c r="E13" s="413"/>
      <c r="F13" s="413"/>
      <c r="G13" s="413"/>
      <c r="H13" s="413"/>
      <c r="I13" s="413"/>
      <c r="J13" s="413"/>
    </row>
    <row r="14" spans="1:12" ht="18.75" customHeight="1">
      <c r="A14" s="413"/>
      <c r="B14" s="413"/>
      <c r="C14" s="413"/>
      <c r="D14" s="413" t="s">
        <v>6</v>
      </c>
      <c r="E14" s="413"/>
      <c r="F14" s="413"/>
      <c r="G14" s="413"/>
      <c r="H14" s="413"/>
      <c r="I14" s="413"/>
      <c r="J14" s="413"/>
    </row>
    <row r="15" spans="1:12" ht="18.75" customHeight="1">
      <c r="A15" s="413"/>
      <c r="B15" s="413"/>
      <c r="C15" s="413"/>
      <c r="D15" s="413" t="s">
        <v>7</v>
      </c>
      <c r="E15" s="413"/>
      <c r="F15" s="413"/>
      <c r="G15" s="413"/>
      <c r="H15" s="413"/>
      <c r="I15" s="413"/>
      <c r="J15" s="413"/>
    </row>
    <row r="16" spans="1:12" ht="15" customHeight="1">
      <c r="A16" s="413"/>
      <c r="B16" s="413"/>
      <c r="C16" s="413"/>
      <c r="D16" s="413"/>
      <c r="E16" s="413"/>
      <c r="F16" s="413"/>
      <c r="G16" s="413"/>
      <c r="H16" s="413"/>
      <c r="I16" s="413"/>
      <c r="J16" s="413"/>
    </row>
    <row r="17" spans="1:11" ht="18.75" customHeight="1">
      <c r="A17" s="413"/>
      <c r="B17" s="413"/>
      <c r="C17" s="413" t="s">
        <v>8</v>
      </c>
      <c r="D17" s="413"/>
      <c r="E17" s="413"/>
      <c r="F17" s="413"/>
      <c r="G17" s="413"/>
      <c r="H17" s="413"/>
      <c r="I17" s="413"/>
      <c r="J17" s="413"/>
    </row>
    <row r="18" spans="1:11" ht="14.25" customHeight="1">
      <c r="A18" s="413"/>
      <c r="B18" s="413"/>
      <c r="C18" s="413"/>
      <c r="D18" s="413"/>
      <c r="E18" s="413"/>
      <c r="F18" s="413"/>
      <c r="G18" s="413"/>
      <c r="H18" s="413"/>
      <c r="I18" s="413"/>
      <c r="J18" s="413"/>
    </row>
    <row r="19" spans="1:11" ht="19.5" customHeight="1">
      <c r="A19" s="413"/>
      <c r="B19" s="413"/>
      <c r="C19" s="413"/>
      <c r="D19" s="413"/>
      <c r="E19" s="413"/>
      <c r="F19" s="413"/>
      <c r="G19" s="413"/>
      <c r="H19" s="413"/>
      <c r="I19" s="413"/>
      <c r="J19" s="413"/>
    </row>
    <row r="20" spans="1:11" ht="19.5" customHeight="1">
      <c r="A20" s="413"/>
      <c r="B20" s="413"/>
      <c r="C20" s="41" t="s">
        <v>198</v>
      </c>
      <c r="D20" s="413"/>
      <c r="E20" s="778" t="s">
        <v>212</v>
      </c>
      <c r="F20" s="778"/>
      <c r="G20" s="778"/>
      <c r="H20" s="778"/>
      <c r="I20" s="41" t="s">
        <v>251</v>
      </c>
      <c r="J20" s="413"/>
    </row>
    <row r="21" spans="1:11" ht="19.5" customHeight="1">
      <c r="A21" s="413"/>
      <c r="B21" s="413"/>
      <c r="C21" s="413"/>
      <c r="D21" s="413"/>
      <c r="E21" s="413" t="s">
        <v>199</v>
      </c>
      <c r="F21" s="413"/>
      <c r="G21" s="413"/>
      <c r="H21" s="413"/>
      <c r="I21" s="413"/>
      <c r="J21" s="413"/>
    </row>
    <row r="22" spans="1:11" ht="19.5" customHeight="1">
      <c r="A22" s="413"/>
      <c r="B22" s="413"/>
      <c r="C22" s="413"/>
      <c r="D22" s="413"/>
      <c r="E22" s="413"/>
      <c r="F22" s="413"/>
      <c r="G22" s="413"/>
      <c r="H22" s="413"/>
      <c r="I22" s="413"/>
      <c r="J22" s="413"/>
    </row>
    <row r="23" spans="1:11" ht="19.5" customHeight="1">
      <c r="A23" s="413"/>
      <c r="B23" s="413"/>
      <c r="C23" s="413"/>
      <c r="D23" s="413"/>
      <c r="E23" s="413"/>
      <c r="F23" s="413"/>
      <c r="G23" s="413"/>
      <c r="H23" s="413"/>
      <c r="I23" s="413"/>
      <c r="J23" s="413"/>
    </row>
    <row r="24" spans="1:11" ht="26.25" customHeight="1">
      <c r="A24" s="413"/>
      <c r="B24" s="413"/>
      <c r="C24" s="413"/>
      <c r="D24" s="413"/>
      <c r="E24" s="413"/>
      <c r="F24" s="413"/>
      <c r="G24" s="413"/>
      <c r="H24" s="413"/>
      <c r="I24" s="413"/>
      <c r="J24" s="413"/>
    </row>
    <row r="25" spans="1:11" ht="15" customHeight="1">
      <c r="A25" s="413" t="s">
        <v>9</v>
      </c>
      <c r="B25" s="413"/>
      <c r="C25" s="413"/>
      <c r="D25" s="413"/>
      <c r="E25" s="413"/>
      <c r="F25" s="413"/>
      <c r="G25" s="413"/>
      <c r="H25" s="413"/>
      <c r="I25" s="413"/>
      <c r="J25" s="413"/>
    </row>
    <row r="26" spans="1:11" ht="15" customHeight="1">
      <c r="A26" s="413"/>
      <c r="B26" s="413"/>
      <c r="C26" s="413"/>
      <c r="D26" s="413"/>
      <c r="E26" s="413"/>
      <c r="F26" s="413"/>
      <c r="G26" s="413"/>
      <c r="H26" s="413"/>
      <c r="I26" s="413"/>
      <c r="J26" s="413"/>
    </row>
    <row r="27" spans="1:11" ht="20.25" customHeight="1">
      <c r="A27" s="413"/>
      <c r="B27" s="413"/>
      <c r="C27" s="777" t="s">
        <v>185</v>
      </c>
      <c r="D27" s="777"/>
      <c r="E27" s="777"/>
      <c r="F27" s="777"/>
      <c r="G27" s="777"/>
      <c r="H27" s="777"/>
      <c r="I27" s="777"/>
      <c r="J27" s="777"/>
      <c r="K27" s="777"/>
    </row>
    <row r="28" spans="1:11" ht="20.25" customHeight="1">
      <c r="A28" s="413"/>
      <c r="B28" s="413"/>
      <c r="C28" s="777" t="s">
        <v>186</v>
      </c>
      <c r="D28" s="777"/>
      <c r="E28" s="777"/>
      <c r="F28" s="777"/>
      <c r="G28" s="777"/>
      <c r="H28" s="777"/>
      <c r="I28" s="777"/>
      <c r="J28" s="777"/>
      <c r="K28" s="777"/>
    </row>
    <row r="29" spans="1:11" ht="20.25" customHeight="1">
      <c r="A29" s="413"/>
      <c r="B29" s="413"/>
      <c r="C29" s="777" t="s">
        <v>187</v>
      </c>
      <c r="D29" s="777"/>
      <c r="E29" s="777"/>
      <c r="F29" s="777"/>
      <c r="G29" s="777"/>
      <c r="H29" s="777"/>
      <c r="I29" s="777"/>
      <c r="J29" s="779"/>
      <c r="K29" s="779"/>
    </row>
    <row r="30" spans="1:11" ht="20.25" customHeight="1">
      <c r="A30" s="413"/>
      <c r="B30" s="413"/>
      <c r="C30" s="777" t="s">
        <v>188</v>
      </c>
      <c r="D30" s="777"/>
      <c r="E30" s="777"/>
      <c r="F30" s="777"/>
      <c r="G30" s="777"/>
      <c r="H30" s="777"/>
      <c r="I30" s="777"/>
      <c r="J30" s="779"/>
      <c r="K30" s="779"/>
    </row>
    <row r="31" spans="1:11" ht="18" customHeight="1">
      <c r="A31" s="413"/>
      <c r="B31" s="413"/>
      <c r="C31" s="412"/>
      <c r="D31" s="412"/>
      <c r="E31" s="412"/>
      <c r="F31" s="412"/>
      <c r="G31" s="412"/>
      <c r="H31" s="412"/>
      <c r="I31" s="412"/>
      <c r="J31" s="413"/>
    </row>
    <row r="32" spans="1:11" ht="18" customHeight="1">
      <c r="A32" s="413"/>
      <c r="B32" s="780" t="s">
        <v>114</v>
      </c>
      <c r="C32" s="781"/>
      <c r="D32" s="782" t="s">
        <v>115</v>
      </c>
      <c r="E32" s="782"/>
      <c r="F32" s="782"/>
      <c r="G32" s="782"/>
      <c r="H32" s="782"/>
      <c r="I32" s="782"/>
      <c r="J32" s="782"/>
      <c r="K32" s="783" t="s">
        <v>353</v>
      </c>
    </row>
    <row r="33" spans="1:22" ht="18" customHeight="1">
      <c r="A33" s="413"/>
      <c r="B33" s="781"/>
      <c r="C33" s="781"/>
      <c r="D33" s="784" t="s">
        <v>116</v>
      </c>
      <c r="E33" s="784"/>
      <c r="F33" s="784"/>
      <c r="G33" s="784"/>
      <c r="H33" s="784"/>
      <c r="I33" s="784"/>
      <c r="J33" s="784"/>
      <c r="K33" s="783"/>
    </row>
    <row r="34" spans="1:22" ht="26.25" customHeight="1">
      <c r="A34" s="413"/>
      <c r="B34" s="413"/>
      <c r="C34" s="412"/>
      <c r="D34" s="412"/>
      <c r="E34" s="412"/>
      <c r="F34" s="412"/>
      <c r="G34" s="412"/>
      <c r="H34" s="412"/>
      <c r="I34" s="412"/>
      <c r="J34" s="413"/>
    </row>
    <row r="35" spans="1:22" ht="26.25" customHeight="1">
      <c r="A35" s="413"/>
      <c r="B35" s="413"/>
      <c r="C35" s="223"/>
      <c r="D35" s="412"/>
      <c r="E35" s="412"/>
      <c r="F35" s="412"/>
      <c r="G35" s="412"/>
      <c r="H35" s="412"/>
      <c r="I35" s="412"/>
      <c r="J35" s="413"/>
    </row>
    <row r="36" spans="1:22" ht="18" customHeight="1">
      <c r="A36" s="413" t="s">
        <v>117</v>
      </c>
      <c r="B36" s="413"/>
      <c r="C36" s="412"/>
      <c r="D36" s="412"/>
      <c r="E36" s="412"/>
      <c r="F36" s="412"/>
      <c r="G36" s="412"/>
      <c r="H36" s="412"/>
      <c r="I36" s="412"/>
      <c r="J36" s="413"/>
    </row>
    <row r="37" spans="1:22" ht="15" customHeight="1">
      <c r="A37" s="413"/>
      <c r="B37" s="413"/>
      <c r="C37" s="412"/>
      <c r="D37" s="412"/>
      <c r="E37" s="412"/>
      <c r="F37" s="412"/>
      <c r="G37" s="412"/>
      <c r="H37" s="412"/>
      <c r="I37" s="412"/>
      <c r="J37" s="413"/>
    </row>
    <row r="38" spans="1:22" ht="18" customHeight="1">
      <c r="A38" s="413"/>
      <c r="B38" s="413"/>
      <c r="C38" s="777" t="s">
        <v>119</v>
      </c>
      <c r="D38" s="777"/>
      <c r="E38" s="777"/>
      <c r="F38" s="777"/>
      <c r="G38" s="777"/>
      <c r="H38" s="777"/>
      <c r="I38" s="777"/>
      <c r="J38" s="413"/>
    </row>
    <row r="39" spans="1:22" ht="26.25" customHeight="1">
      <c r="A39" s="413"/>
      <c r="B39" s="413"/>
      <c r="C39" s="412"/>
      <c r="D39" s="412"/>
      <c r="E39" s="412"/>
      <c r="F39" s="412"/>
      <c r="G39" s="412"/>
      <c r="H39" s="412"/>
      <c r="I39" s="412"/>
      <c r="J39" s="413"/>
    </row>
    <row r="40" spans="1:22" ht="18" customHeight="1">
      <c r="A40" s="413" t="s">
        <v>118</v>
      </c>
      <c r="B40" s="413"/>
      <c r="C40" s="412"/>
      <c r="D40" s="412"/>
      <c r="E40" s="412"/>
      <c r="F40" s="412"/>
      <c r="G40" s="412"/>
      <c r="H40" s="412"/>
      <c r="I40" s="412"/>
      <c r="J40" s="413"/>
    </row>
    <row r="41" spans="1:22" ht="15" customHeight="1">
      <c r="A41" s="413"/>
      <c r="B41" s="413"/>
      <c r="C41" s="412"/>
      <c r="D41" s="412"/>
      <c r="E41" s="412"/>
      <c r="F41" s="412"/>
      <c r="G41" s="412"/>
      <c r="H41" s="412"/>
      <c r="I41" s="412"/>
      <c r="J41" s="413"/>
    </row>
    <row r="42" spans="1:22" ht="20.25" customHeight="1">
      <c r="A42" s="413"/>
      <c r="B42" s="413"/>
      <c r="C42" s="777" t="s">
        <v>189</v>
      </c>
      <c r="D42" s="777"/>
      <c r="E42" s="777"/>
      <c r="F42" s="777"/>
      <c r="G42" s="777"/>
      <c r="H42" s="777"/>
      <c r="I42" s="777"/>
      <c r="J42" s="777"/>
      <c r="K42" s="777"/>
    </row>
    <row r="43" spans="1:22" ht="20.25" customHeight="1">
      <c r="A43" s="413"/>
      <c r="B43" s="413"/>
      <c r="C43" s="777" t="s">
        <v>190</v>
      </c>
      <c r="D43" s="777"/>
      <c r="E43" s="777"/>
      <c r="F43" s="777"/>
      <c r="G43" s="777"/>
      <c r="H43" s="777"/>
      <c r="I43" s="777"/>
      <c r="J43" s="777"/>
      <c r="K43" s="777"/>
    </row>
    <row r="44" spans="1:22" ht="20.25" customHeight="1">
      <c r="A44" s="413"/>
      <c r="B44" s="413"/>
      <c r="C44" s="777" t="s">
        <v>191</v>
      </c>
      <c r="D44" s="777"/>
      <c r="E44" s="777"/>
      <c r="F44" s="777"/>
      <c r="G44" s="777"/>
      <c r="H44" s="777"/>
      <c r="I44" s="777"/>
      <c r="J44" s="777"/>
      <c r="K44" s="777"/>
    </row>
    <row r="45" spans="1:22" ht="20.25" customHeight="1">
      <c r="A45" s="413"/>
      <c r="B45" s="413"/>
      <c r="C45" s="777" t="s">
        <v>192</v>
      </c>
      <c r="D45" s="777"/>
      <c r="E45" s="777"/>
      <c r="F45" s="777"/>
      <c r="G45" s="777"/>
      <c r="H45" s="777"/>
      <c r="I45" s="777"/>
      <c r="J45" s="777"/>
      <c r="K45" s="777"/>
    </row>
    <row r="46" spans="1:22" ht="20.25" customHeight="1">
      <c r="A46" s="413"/>
      <c r="B46" s="413"/>
      <c r="C46" s="777" t="s">
        <v>193</v>
      </c>
      <c r="D46" s="777"/>
      <c r="E46" s="777"/>
      <c r="F46" s="777"/>
      <c r="G46" s="777"/>
      <c r="H46" s="777"/>
      <c r="I46" s="777"/>
      <c r="J46" s="777"/>
      <c r="K46" s="777"/>
    </row>
    <row r="47" spans="1:22" ht="26.25" customHeight="1">
      <c r="A47" s="413"/>
      <c r="B47" s="413"/>
      <c r="C47" s="785"/>
      <c r="D47" s="785"/>
      <c r="E47" s="785"/>
      <c r="F47" s="785"/>
      <c r="G47" s="785"/>
      <c r="H47" s="785"/>
      <c r="I47" s="785"/>
      <c r="J47" s="785"/>
      <c r="K47" s="785"/>
    </row>
    <row r="48" spans="1:22" ht="18" customHeight="1">
      <c r="A48" s="413"/>
      <c r="B48" s="413"/>
      <c r="C48" s="412"/>
      <c r="D48" s="412"/>
      <c r="E48" s="412"/>
      <c r="F48" s="412"/>
      <c r="G48" s="412"/>
      <c r="H48" s="412"/>
      <c r="I48" s="412"/>
      <c r="J48" s="413"/>
      <c r="M48" s="413"/>
      <c r="N48" s="413"/>
      <c r="O48" s="412"/>
      <c r="P48" s="412"/>
      <c r="Q48" s="412"/>
      <c r="R48" s="412"/>
      <c r="S48" s="412"/>
      <c r="T48" s="412"/>
      <c r="U48" s="412"/>
      <c r="V48" s="413"/>
    </row>
    <row r="49" spans="1:23" ht="15" customHeight="1">
      <c r="A49" s="413"/>
      <c r="B49" s="413"/>
      <c r="C49" s="412"/>
      <c r="D49" s="412"/>
      <c r="E49" s="412"/>
      <c r="F49" s="412"/>
      <c r="G49" s="412"/>
      <c r="H49" s="412"/>
      <c r="I49" s="412"/>
      <c r="J49" s="413"/>
      <c r="M49" s="413"/>
      <c r="N49" s="413"/>
      <c r="O49" s="412"/>
      <c r="P49" s="412"/>
      <c r="Q49" s="412"/>
      <c r="R49" s="412"/>
      <c r="S49" s="412"/>
      <c r="T49" s="412"/>
      <c r="U49" s="412"/>
      <c r="V49" s="413"/>
    </row>
    <row r="50" spans="1:23" ht="20.25" customHeight="1">
      <c r="A50" s="413"/>
      <c r="B50" s="413"/>
      <c r="C50" s="777"/>
      <c r="D50" s="777"/>
      <c r="E50" s="777"/>
      <c r="F50" s="777"/>
      <c r="G50" s="777"/>
      <c r="H50" s="777"/>
      <c r="I50" s="777"/>
      <c r="J50" s="777"/>
      <c r="K50" s="777"/>
      <c r="M50" s="413"/>
      <c r="N50" s="413"/>
      <c r="O50" s="777"/>
      <c r="P50" s="777"/>
      <c r="Q50" s="777"/>
      <c r="R50" s="777"/>
      <c r="S50" s="777"/>
      <c r="T50" s="777"/>
      <c r="U50" s="777"/>
      <c r="V50" s="777"/>
      <c r="W50" s="777"/>
    </row>
    <row r="51" spans="1:23" ht="20.25" customHeight="1">
      <c r="C51" s="413"/>
      <c r="O51" s="413"/>
    </row>
  </sheetData>
  <mergeCells count="21">
    <mergeCell ref="C47:K47"/>
    <mergeCell ref="C50:K50"/>
    <mergeCell ref="O50:W50"/>
    <mergeCell ref="C38:I38"/>
    <mergeCell ref="C42:K42"/>
    <mergeCell ref="C43:K43"/>
    <mergeCell ref="C44:K44"/>
    <mergeCell ref="C45:K45"/>
    <mergeCell ref="C46:K46"/>
    <mergeCell ref="C29:K29"/>
    <mergeCell ref="C30:K30"/>
    <mergeCell ref="B32:C33"/>
    <mergeCell ref="D32:J32"/>
    <mergeCell ref="K32:K33"/>
    <mergeCell ref="D33:J33"/>
    <mergeCell ref="C28:K28"/>
    <mergeCell ref="C5:K5"/>
    <mergeCell ref="C6:K6"/>
    <mergeCell ref="C7:K7"/>
    <mergeCell ref="E20:H20"/>
    <mergeCell ref="C27:K27"/>
  </mergeCells>
  <phoneticPr fontId="9"/>
  <pageMargins left="0.64" right="0.34" top="0.66" bottom="0.98399999999999999" header="0.51200000000000001" footer="0.51200000000000001"/>
  <pageSetup paperSize="9" scale="83" firstPageNumber="8"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S79"/>
  <sheetViews>
    <sheetView view="pageBreakPreview" zoomScaleNormal="100" zoomScaleSheetLayoutView="100" workbookViewId="0">
      <selection activeCell="Q51" sqref="Q51"/>
    </sheetView>
  </sheetViews>
  <sheetFormatPr defaultColWidth="9.85546875" defaultRowHeight="12" outlineLevelRow="1"/>
  <cols>
    <col min="1" max="1" width="2.140625" style="172" customWidth="1"/>
    <col min="2" max="4" width="1.7109375" style="172" customWidth="1"/>
    <col min="5" max="5" width="12.5703125" style="172" customWidth="1"/>
    <col min="6" max="6" width="13.5703125" style="172" customWidth="1"/>
    <col min="7" max="7" width="3.5703125" style="172" customWidth="1"/>
    <col min="8" max="8" width="10.140625" style="172" customWidth="1"/>
    <col min="9" max="9" width="13.5703125" style="172" customWidth="1"/>
    <col min="10" max="10" width="1.28515625" style="172" customWidth="1"/>
    <col min="11" max="12" width="1.7109375" style="173" customWidth="1"/>
    <col min="13" max="13" width="1.7109375" style="172" customWidth="1"/>
    <col min="14" max="14" width="12.5703125" style="172" customWidth="1"/>
    <col min="15" max="17" width="13.5703125" style="172" customWidth="1"/>
    <col min="18" max="18" width="1" style="53" customWidth="1"/>
    <col min="19" max="19" width="1.42578125" style="53" customWidth="1"/>
    <col min="20" max="16384" width="9.85546875" style="94"/>
  </cols>
  <sheetData>
    <row r="1" spans="1:19" ht="10.5" customHeight="1">
      <c r="H1" s="173"/>
      <c r="K1" s="172"/>
      <c r="L1" s="172"/>
      <c r="O1" s="561"/>
      <c r="P1" s="561"/>
      <c r="Q1" s="174"/>
      <c r="R1" s="95"/>
      <c r="S1" s="96"/>
    </row>
    <row r="2" spans="1:19" ht="19.5" customHeight="1">
      <c r="A2" s="173"/>
      <c r="B2" s="175" t="s">
        <v>266</v>
      </c>
      <c r="E2" s="173"/>
      <c r="H2" s="173"/>
      <c r="K2" s="172"/>
      <c r="L2" s="172"/>
      <c r="P2" s="176"/>
      <c r="Q2" s="173"/>
      <c r="R2" s="94"/>
      <c r="S2" s="94"/>
    </row>
    <row r="3" spans="1:19" ht="26.25" customHeight="1">
      <c r="A3" s="173"/>
      <c r="B3" s="177"/>
      <c r="C3" s="177"/>
      <c r="D3" s="177"/>
      <c r="E3" s="177"/>
      <c r="F3" s="177"/>
      <c r="G3" s="177"/>
      <c r="H3" s="178"/>
      <c r="I3" s="177"/>
      <c r="J3" s="177"/>
      <c r="K3" s="177"/>
      <c r="L3" s="177"/>
      <c r="M3" s="177"/>
      <c r="N3" s="177"/>
      <c r="O3" s="177"/>
      <c r="P3" s="178"/>
      <c r="Q3" s="179" t="s">
        <v>213</v>
      </c>
      <c r="R3" s="169"/>
      <c r="S3" s="94"/>
    </row>
    <row r="4" spans="1:19" ht="22.5" customHeight="1">
      <c r="A4" s="53"/>
      <c r="B4" s="192"/>
      <c r="C4" s="193"/>
      <c r="D4" s="193"/>
      <c r="E4" s="194"/>
      <c r="F4" s="562" t="s">
        <v>267</v>
      </c>
      <c r="G4" s="562"/>
      <c r="H4" s="562"/>
      <c r="I4" s="563" t="s">
        <v>268</v>
      </c>
      <c r="J4" s="564"/>
      <c r="K4" s="195"/>
      <c r="L4" s="193"/>
      <c r="M4" s="193"/>
      <c r="N4" s="194"/>
      <c r="O4" s="562" t="s">
        <v>269</v>
      </c>
      <c r="P4" s="562"/>
      <c r="Q4" s="563" t="s">
        <v>268</v>
      </c>
      <c r="R4" s="565"/>
      <c r="S4" s="97"/>
    </row>
    <row r="5" spans="1:19" ht="22.5" customHeight="1">
      <c r="A5" s="53"/>
      <c r="B5" s="196"/>
      <c r="C5" s="197"/>
      <c r="D5" s="197"/>
      <c r="E5" s="198"/>
      <c r="F5" s="245" t="s">
        <v>299</v>
      </c>
      <c r="G5" s="566" t="s">
        <v>300</v>
      </c>
      <c r="H5" s="567"/>
      <c r="I5" s="568" t="s">
        <v>136</v>
      </c>
      <c r="J5" s="569"/>
      <c r="K5" s="199"/>
      <c r="L5" s="197"/>
      <c r="M5" s="197"/>
      <c r="N5" s="198"/>
      <c r="O5" s="245" t="str">
        <f>F5</f>
        <v>30年度</v>
      </c>
      <c r="P5" s="245" t="str">
        <f>G5</f>
        <v>29年度</v>
      </c>
      <c r="Q5" s="568" t="s">
        <v>270</v>
      </c>
      <c r="R5" s="570"/>
      <c r="S5" s="97"/>
    </row>
    <row r="6" spans="1:19" ht="12" customHeight="1">
      <c r="A6" s="252"/>
      <c r="B6" s="573" t="s">
        <v>271</v>
      </c>
      <c r="C6" s="574"/>
      <c r="D6" s="574"/>
      <c r="E6" s="575"/>
      <c r="F6" s="582">
        <f>ROUND(('[1]30決（千円）計数のみ'!F6/1000),0)</f>
        <v>1761138</v>
      </c>
      <c r="G6" s="585">
        <v>1742817</v>
      </c>
      <c r="H6" s="586"/>
      <c r="I6" s="591">
        <f>((F6/G6)-1)*100</f>
        <v>1.0512291307693156</v>
      </c>
      <c r="J6" s="200"/>
      <c r="K6" s="593" t="s">
        <v>272</v>
      </c>
      <c r="L6" s="574"/>
      <c r="M6" s="574"/>
      <c r="N6" s="575"/>
      <c r="O6" s="534">
        <f>ROUND(('[1]30決（千円）計数のみ'!O6/1000),0)</f>
        <v>1758572</v>
      </c>
      <c r="P6" s="534">
        <v>1740813</v>
      </c>
      <c r="Q6" s="542">
        <f>((O6/P6)-1)*100</f>
        <v>1.0201555250334282</v>
      </c>
      <c r="R6" s="100"/>
      <c r="S6" s="97"/>
    </row>
    <row r="7" spans="1:19" ht="12" customHeight="1">
      <c r="A7" s="252"/>
      <c r="B7" s="576"/>
      <c r="C7" s="577"/>
      <c r="D7" s="577"/>
      <c r="E7" s="578"/>
      <c r="F7" s="583"/>
      <c r="G7" s="587"/>
      <c r="H7" s="588"/>
      <c r="I7" s="592"/>
      <c r="J7" s="201"/>
      <c r="K7" s="594"/>
      <c r="L7" s="577"/>
      <c r="M7" s="577"/>
      <c r="N7" s="578"/>
      <c r="O7" s="571"/>
      <c r="P7" s="571"/>
      <c r="Q7" s="548"/>
      <c r="R7" s="100"/>
      <c r="S7" s="97"/>
    </row>
    <row r="8" spans="1:19" ht="12" customHeight="1">
      <c r="A8" s="252" t="s">
        <v>0</v>
      </c>
      <c r="B8" s="576"/>
      <c r="C8" s="577"/>
      <c r="D8" s="577"/>
      <c r="E8" s="578"/>
      <c r="F8" s="583"/>
      <c r="G8" s="587"/>
      <c r="H8" s="588"/>
      <c r="I8" s="544">
        <f>F6-G6</f>
        <v>18321</v>
      </c>
      <c r="J8" s="200"/>
      <c r="K8" s="594"/>
      <c r="L8" s="577"/>
      <c r="M8" s="577"/>
      <c r="N8" s="578"/>
      <c r="O8" s="571"/>
      <c r="P8" s="571"/>
      <c r="Q8" s="544">
        <f>O6-P6-1</f>
        <v>17758</v>
      </c>
      <c r="R8" s="100"/>
      <c r="S8" s="97"/>
    </row>
    <row r="9" spans="1:19" ht="12" customHeight="1">
      <c r="A9" s="252"/>
      <c r="B9" s="579"/>
      <c r="C9" s="580"/>
      <c r="D9" s="580"/>
      <c r="E9" s="581"/>
      <c r="F9" s="584"/>
      <c r="G9" s="589"/>
      <c r="H9" s="590"/>
      <c r="I9" s="545"/>
      <c r="J9" s="202"/>
      <c r="K9" s="595"/>
      <c r="L9" s="580"/>
      <c r="M9" s="580"/>
      <c r="N9" s="581"/>
      <c r="O9" s="572"/>
      <c r="P9" s="572"/>
      <c r="Q9" s="545"/>
      <c r="R9" s="99"/>
      <c r="S9" s="97"/>
    </row>
    <row r="10" spans="1:19" ht="11.25" customHeight="1">
      <c r="A10" s="53"/>
      <c r="B10" s="203"/>
      <c r="C10" s="573" t="s">
        <v>273</v>
      </c>
      <c r="D10" s="574"/>
      <c r="E10" s="574"/>
      <c r="F10" s="534">
        <f>ROUND(('[1]30決（千円）計数のみ'!F10/1000),0)</f>
        <v>737441</v>
      </c>
      <c r="G10" s="538">
        <v>675404</v>
      </c>
      <c r="H10" s="539"/>
      <c r="I10" s="591">
        <f>((F10/G10)-1)*100</f>
        <v>9.1851691728210163</v>
      </c>
      <c r="J10" s="204"/>
      <c r="K10" s="248"/>
      <c r="L10" s="573" t="s">
        <v>274</v>
      </c>
      <c r="M10" s="574"/>
      <c r="N10" s="575"/>
      <c r="O10" s="534">
        <f>ROUND(('[1]30決（千円）計数のみ'!O10/1000),0)</f>
        <v>1147880</v>
      </c>
      <c r="P10" s="534">
        <v>1116391</v>
      </c>
      <c r="Q10" s="542">
        <f>((O10/P10)-1)*100</f>
        <v>2.8206067587431383</v>
      </c>
      <c r="R10" s="98"/>
      <c r="S10" s="97"/>
    </row>
    <row r="11" spans="1:19" ht="11.25" customHeight="1">
      <c r="A11" s="53"/>
      <c r="B11" s="205"/>
      <c r="C11" s="576"/>
      <c r="D11" s="577"/>
      <c r="E11" s="577"/>
      <c r="F11" s="535"/>
      <c r="G11" s="540"/>
      <c r="H11" s="541"/>
      <c r="I11" s="592"/>
      <c r="J11" s="200"/>
      <c r="K11" s="249"/>
      <c r="L11" s="576"/>
      <c r="M11" s="577"/>
      <c r="N11" s="578"/>
      <c r="O11" s="535"/>
      <c r="P11" s="535"/>
      <c r="Q11" s="559"/>
      <c r="R11" s="100"/>
      <c r="S11" s="97"/>
    </row>
    <row r="12" spans="1:19" ht="11.25" customHeight="1">
      <c r="A12" s="53"/>
      <c r="B12" s="205"/>
      <c r="C12" s="576"/>
      <c r="D12" s="577"/>
      <c r="E12" s="577"/>
      <c r="F12" s="535"/>
      <c r="G12" s="540"/>
      <c r="H12" s="541"/>
      <c r="I12" s="544">
        <f>F10-G10</f>
        <v>62037</v>
      </c>
      <c r="J12" s="200"/>
      <c r="K12" s="249"/>
      <c r="L12" s="576"/>
      <c r="M12" s="577"/>
      <c r="N12" s="578"/>
      <c r="O12" s="535"/>
      <c r="P12" s="535"/>
      <c r="Q12" s="544">
        <f>O10-P10</f>
        <v>31489</v>
      </c>
      <c r="R12" s="100"/>
      <c r="S12" s="97"/>
    </row>
    <row r="13" spans="1:19" ht="11.25" customHeight="1">
      <c r="A13" s="53"/>
      <c r="B13" s="205"/>
      <c r="C13" s="579"/>
      <c r="D13" s="580"/>
      <c r="E13" s="580"/>
      <c r="F13" s="556"/>
      <c r="G13" s="557"/>
      <c r="H13" s="558"/>
      <c r="I13" s="549"/>
      <c r="J13" s="206"/>
      <c r="K13" s="249"/>
      <c r="L13" s="579"/>
      <c r="M13" s="580"/>
      <c r="N13" s="581"/>
      <c r="O13" s="556"/>
      <c r="P13" s="556"/>
      <c r="Q13" s="549"/>
      <c r="R13" s="100"/>
      <c r="S13" s="97"/>
    </row>
    <row r="14" spans="1:19" ht="11.25" customHeight="1">
      <c r="A14" s="53"/>
      <c r="B14" s="205"/>
      <c r="C14" s="246"/>
      <c r="D14" s="573" t="s">
        <v>275</v>
      </c>
      <c r="E14" s="574"/>
      <c r="F14" s="534">
        <v>199303</v>
      </c>
      <c r="G14" s="538">
        <v>150519</v>
      </c>
      <c r="H14" s="539"/>
      <c r="I14" s="591">
        <f>((F14/G14)-1)*100</f>
        <v>32.410526245856005</v>
      </c>
      <c r="J14" s="200"/>
      <c r="K14" s="207"/>
      <c r="L14" s="438"/>
      <c r="M14" s="573" t="s">
        <v>276</v>
      </c>
      <c r="N14" s="575"/>
      <c r="O14" s="534">
        <f>ROUND(('[1]30決（千円）計数のみ'!O12/1000),0)</f>
        <v>302071</v>
      </c>
      <c r="P14" s="534">
        <v>300874</v>
      </c>
      <c r="Q14" s="542">
        <f>((O14/P14)-1)*100</f>
        <v>0.39784095667954045</v>
      </c>
      <c r="R14" s="98"/>
      <c r="S14" s="97"/>
    </row>
    <row r="15" spans="1:19" ht="11.25" customHeight="1">
      <c r="A15" s="53"/>
      <c r="B15" s="205"/>
      <c r="C15" s="246"/>
      <c r="D15" s="576"/>
      <c r="E15" s="577"/>
      <c r="F15" s="535"/>
      <c r="G15" s="540"/>
      <c r="H15" s="541"/>
      <c r="I15" s="592"/>
      <c r="J15" s="200"/>
      <c r="K15" s="207"/>
      <c r="L15" s="438"/>
      <c r="M15" s="576"/>
      <c r="N15" s="578"/>
      <c r="O15" s="535"/>
      <c r="P15" s="535"/>
      <c r="Q15" s="559"/>
      <c r="R15" s="100"/>
      <c r="S15" s="97"/>
    </row>
    <row r="16" spans="1:19" ht="11.25" customHeight="1">
      <c r="A16" s="53"/>
      <c r="B16" s="205"/>
      <c r="C16" s="246"/>
      <c r="D16" s="576"/>
      <c r="E16" s="577"/>
      <c r="F16" s="535"/>
      <c r="G16" s="540"/>
      <c r="H16" s="541"/>
      <c r="I16" s="596">
        <f>F14-G14</f>
        <v>48784</v>
      </c>
      <c r="J16" s="200"/>
      <c r="K16" s="207"/>
      <c r="L16" s="438"/>
      <c r="M16" s="576"/>
      <c r="N16" s="578"/>
      <c r="O16" s="535"/>
      <c r="P16" s="535"/>
      <c r="Q16" s="544">
        <f>O14-P14</f>
        <v>1197</v>
      </c>
      <c r="R16" s="100"/>
      <c r="S16" s="97"/>
    </row>
    <row r="17" spans="1:19" ht="11.25" customHeight="1">
      <c r="A17" s="53"/>
      <c r="B17" s="205"/>
      <c r="C17" s="246"/>
      <c r="D17" s="579"/>
      <c r="E17" s="580"/>
      <c r="F17" s="556"/>
      <c r="G17" s="557"/>
      <c r="H17" s="558"/>
      <c r="I17" s="597"/>
      <c r="J17" s="200"/>
      <c r="K17" s="207"/>
      <c r="L17" s="438"/>
      <c r="M17" s="579"/>
      <c r="N17" s="581"/>
      <c r="O17" s="556"/>
      <c r="P17" s="556"/>
      <c r="Q17" s="549"/>
      <c r="R17" s="100"/>
      <c r="S17" s="97"/>
    </row>
    <row r="18" spans="1:19" ht="22.5" customHeight="1">
      <c r="A18" s="53"/>
      <c r="B18" s="205"/>
      <c r="C18" s="608" t="s">
        <v>277</v>
      </c>
      <c r="D18" s="609"/>
      <c r="E18" s="610"/>
      <c r="F18" s="534">
        <f>ROUND(('[1]30決（千円）計数のみ'!F14/1000),0)</f>
        <v>95356</v>
      </c>
      <c r="G18" s="538">
        <v>137989</v>
      </c>
      <c r="H18" s="539"/>
      <c r="I18" s="244">
        <f>((F18/G18)-1)*100</f>
        <v>-30.895940980802816</v>
      </c>
      <c r="J18" s="204"/>
      <c r="K18" s="207"/>
      <c r="L18" s="205"/>
      <c r="M18" s="573" t="s">
        <v>278</v>
      </c>
      <c r="N18" s="574"/>
      <c r="O18" s="534">
        <f>ROUND(('[1]30決（千円）計数のみ'!O14/1000),0)</f>
        <v>553538</v>
      </c>
      <c r="P18" s="534">
        <v>552538</v>
      </c>
      <c r="Q18" s="244">
        <f>((O18/P18)-1)*100</f>
        <v>0.18098302741169636</v>
      </c>
      <c r="R18" s="98"/>
      <c r="S18" s="97"/>
    </row>
    <row r="19" spans="1:19" ht="22.5" customHeight="1">
      <c r="A19" s="53"/>
      <c r="B19" s="205"/>
      <c r="C19" s="611"/>
      <c r="D19" s="612"/>
      <c r="E19" s="613"/>
      <c r="F19" s="556"/>
      <c r="G19" s="557"/>
      <c r="H19" s="558"/>
      <c r="I19" s="250">
        <f>F18-G18</f>
        <v>-42633</v>
      </c>
      <c r="J19" s="206"/>
      <c r="K19" s="207"/>
      <c r="L19" s="205"/>
      <c r="M19" s="579"/>
      <c r="N19" s="580"/>
      <c r="O19" s="556"/>
      <c r="P19" s="556"/>
      <c r="Q19" s="250">
        <f>O18-P18+1</f>
        <v>1001</v>
      </c>
      <c r="R19" s="99"/>
      <c r="S19" s="97"/>
    </row>
    <row r="20" spans="1:19" ht="22.5" customHeight="1">
      <c r="A20" s="53"/>
      <c r="B20" s="205"/>
      <c r="C20" s="246"/>
      <c r="D20" s="598" t="s">
        <v>279</v>
      </c>
      <c r="E20" s="599"/>
      <c r="F20" s="534">
        <f>ROUND(('[1]30決（千円）計数のみ'!F16/1000),0)</f>
        <v>6490</v>
      </c>
      <c r="G20" s="602">
        <v>46802</v>
      </c>
      <c r="H20" s="603"/>
      <c r="I20" s="244">
        <f>((F20/G20)-1)*100</f>
        <v>-86.133071236271945</v>
      </c>
      <c r="J20" s="200"/>
      <c r="K20" s="207"/>
      <c r="L20" s="205"/>
      <c r="M20" s="246"/>
      <c r="N20" s="606" t="s">
        <v>106</v>
      </c>
      <c r="O20" s="534">
        <f>ROUND(('[1]30決（千円）計数のみ'!O16/1000),0)</f>
        <v>276133</v>
      </c>
      <c r="P20" s="534">
        <v>283198</v>
      </c>
      <c r="Q20" s="244">
        <f>((O20/P20)-1)*100</f>
        <v>-2.4947210079167226</v>
      </c>
      <c r="R20" s="98"/>
      <c r="S20" s="97"/>
    </row>
    <row r="21" spans="1:19" ht="22.5" customHeight="1">
      <c r="A21" s="53"/>
      <c r="B21" s="205"/>
      <c r="C21" s="246"/>
      <c r="D21" s="600"/>
      <c r="E21" s="601"/>
      <c r="F21" s="556"/>
      <c r="G21" s="604"/>
      <c r="H21" s="605"/>
      <c r="I21" s="250">
        <f>F20-G20</f>
        <v>-40312</v>
      </c>
      <c r="J21" s="200"/>
      <c r="K21" s="207"/>
      <c r="L21" s="205"/>
      <c r="M21" s="246"/>
      <c r="N21" s="607"/>
      <c r="O21" s="556"/>
      <c r="P21" s="556"/>
      <c r="Q21" s="250">
        <f>O20-P20</f>
        <v>-7065</v>
      </c>
      <c r="R21" s="99"/>
      <c r="S21" s="97"/>
    </row>
    <row r="22" spans="1:19" ht="22.5" customHeight="1">
      <c r="A22" s="53"/>
      <c r="B22" s="205"/>
      <c r="C22" s="573" t="s">
        <v>10</v>
      </c>
      <c r="D22" s="574"/>
      <c r="E22" s="575"/>
      <c r="F22" s="534">
        <f>ROUND(('[1]30決（千円）計数のみ'!F18/1000),0)</f>
        <v>43642</v>
      </c>
      <c r="G22" s="538">
        <v>52770</v>
      </c>
      <c r="H22" s="539"/>
      <c r="I22" s="244">
        <f>((F22/G22)-1)*100</f>
        <v>-17.297707030509756</v>
      </c>
      <c r="J22" s="204"/>
      <c r="K22" s="207"/>
      <c r="L22" s="205"/>
      <c r="M22" s="246"/>
      <c r="N22" s="606" t="s">
        <v>194</v>
      </c>
      <c r="O22" s="534">
        <f>ROUND(('[1]30決（千円）計数のみ'!O18/1000),0)</f>
        <v>87463</v>
      </c>
      <c r="P22" s="534">
        <v>81014</v>
      </c>
      <c r="Q22" s="244">
        <f>((O22/P22)-1)*100</f>
        <v>7.9603525316611856</v>
      </c>
      <c r="R22" s="100"/>
      <c r="S22" s="97"/>
    </row>
    <row r="23" spans="1:19" ht="22.5" customHeight="1">
      <c r="A23" s="53"/>
      <c r="B23" s="205"/>
      <c r="C23" s="579"/>
      <c r="D23" s="580"/>
      <c r="E23" s="581"/>
      <c r="F23" s="556"/>
      <c r="G23" s="557"/>
      <c r="H23" s="558"/>
      <c r="I23" s="250">
        <f>F22-G22</f>
        <v>-9128</v>
      </c>
      <c r="J23" s="206"/>
      <c r="K23" s="207"/>
      <c r="L23" s="205"/>
      <c r="M23" s="94"/>
      <c r="N23" s="607"/>
      <c r="O23" s="556"/>
      <c r="P23" s="556"/>
      <c r="Q23" s="250">
        <f>O22-P22</f>
        <v>6449</v>
      </c>
      <c r="R23" s="100"/>
      <c r="S23" s="97"/>
    </row>
    <row r="24" spans="1:19" ht="22.5" customHeight="1">
      <c r="A24" s="53"/>
      <c r="B24" s="205"/>
      <c r="C24" s="573" t="s">
        <v>11</v>
      </c>
      <c r="D24" s="574"/>
      <c r="E24" s="575"/>
      <c r="F24" s="534">
        <f>ROUND(('[1]30決（千円）計数のみ'!F20/1000),0)</f>
        <v>396685</v>
      </c>
      <c r="G24" s="538">
        <v>403887</v>
      </c>
      <c r="H24" s="539"/>
      <c r="I24" s="244">
        <f>((F24/G24)-1)*100</f>
        <v>-1.7831720258389083</v>
      </c>
      <c r="J24" s="204"/>
      <c r="K24" s="207"/>
      <c r="L24" s="205"/>
      <c r="M24" s="246"/>
      <c r="N24" s="606" t="s">
        <v>244</v>
      </c>
      <c r="O24" s="534">
        <f>ROUND(('[1]30決（千円）計数のみ'!O20/1000),0)</f>
        <v>68524</v>
      </c>
      <c r="P24" s="614">
        <v>63607</v>
      </c>
      <c r="Q24" s="244">
        <f>((O24/P24)-1)*100</f>
        <v>7.7302812583520675</v>
      </c>
      <c r="R24" s="98"/>
      <c r="S24" s="97"/>
    </row>
    <row r="25" spans="1:19" ht="22.5" customHeight="1">
      <c r="A25" s="53"/>
      <c r="B25" s="205"/>
      <c r="C25" s="579"/>
      <c r="D25" s="580"/>
      <c r="E25" s="581"/>
      <c r="F25" s="556"/>
      <c r="G25" s="557"/>
      <c r="H25" s="558"/>
      <c r="I25" s="250">
        <f>F24-G24</f>
        <v>-7202</v>
      </c>
      <c r="J25" s="206"/>
      <c r="K25" s="94"/>
      <c r="L25" s="208"/>
      <c r="M25" s="209"/>
      <c r="N25" s="607"/>
      <c r="O25" s="556"/>
      <c r="P25" s="615"/>
      <c r="Q25" s="250">
        <f>O24-P24+1</f>
        <v>4918</v>
      </c>
      <c r="R25" s="101"/>
      <c r="S25" s="97"/>
    </row>
    <row r="26" spans="1:19" ht="22.5" customHeight="1">
      <c r="A26" s="53"/>
      <c r="B26" s="205"/>
      <c r="C26" s="573" t="s">
        <v>12</v>
      </c>
      <c r="D26" s="574"/>
      <c r="E26" s="575"/>
      <c r="F26" s="534">
        <f>ROUND(('[1]30決（千円）計数のみ'!F22/1000),0)</f>
        <v>103599</v>
      </c>
      <c r="G26" s="538">
        <v>117973</v>
      </c>
      <c r="H26" s="539"/>
      <c r="I26" s="244">
        <f>((F26/G26)-1)*100</f>
        <v>-12.184143829520311</v>
      </c>
      <c r="J26" s="204"/>
      <c r="K26" s="94"/>
      <c r="L26" s="246"/>
      <c r="M26" s="573" t="s">
        <v>280</v>
      </c>
      <c r="N26" s="574"/>
      <c r="O26" s="534">
        <f>ROUND(('[1]30決（千円）計数のみ'!O22/1000),0)</f>
        <v>292271</v>
      </c>
      <c r="P26" s="534">
        <v>262980</v>
      </c>
      <c r="Q26" s="244">
        <f>((O26/P26)-1)*100</f>
        <v>11.138109361928672</v>
      </c>
      <c r="R26" s="98"/>
      <c r="S26" s="97"/>
    </row>
    <row r="27" spans="1:19" ht="22.5" customHeight="1">
      <c r="A27" s="53"/>
      <c r="B27" s="205"/>
      <c r="C27" s="579"/>
      <c r="D27" s="580"/>
      <c r="E27" s="581"/>
      <c r="F27" s="556"/>
      <c r="G27" s="557"/>
      <c r="H27" s="558"/>
      <c r="I27" s="250">
        <f>F26-G26</f>
        <v>-14374</v>
      </c>
      <c r="J27" s="200"/>
      <c r="K27" s="94"/>
      <c r="L27" s="246"/>
      <c r="M27" s="579"/>
      <c r="N27" s="580"/>
      <c r="O27" s="556"/>
      <c r="P27" s="535"/>
      <c r="Q27" s="250">
        <f>O26-P26</f>
        <v>29291</v>
      </c>
      <c r="R27" s="100"/>
      <c r="S27" s="97"/>
    </row>
    <row r="28" spans="1:19" ht="22.5" customHeight="1">
      <c r="A28" s="53"/>
      <c r="B28" s="205"/>
      <c r="C28" s="210"/>
      <c r="D28" s="522" t="s">
        <v>205</v>
      </c>
      <c r="E28" s="524"/>
      <c r="F28" s="534">
        <f>ROUND(('[1]30決（千円）計数のみ'!F24/1000),0)</f>
        <v>64076</v>
      </c>
      <c r="G28" s="538">
        <v>74600</v>
      </c>
      <c r="H28" s="539"/>
      <c r="I28" s="403">
        <f>((F28/G28)-1)*100</f>
        <v>-14.10723860589812</v>
      </c>
      <c r="J28" s="204"/>
      <c r="K28" s="94"/>
      <c r="L28" s="573" t="s">
        <v>281</v>
      </c>
      <c r="M28" s="574"/>
      <c r="N28" s="575"/>
      <c r="O28" s="534">
        <f>ROUND(('[1]30決（千円）計数のみ'!O24/1000),0)</f>
        <v>124704</v>
      </c>
      <c r="P28" s="534">
        <v>115757</v>
      </c>
      <c r="Q28" s="244">
        <f>((O28/P28)-1)*100</f>
        <v>7.7291222129115322</v>
      </c>
      <c r="R28" s="98"/>
      <c r="S28" s="97"/>
    </row>
    <row r="29" spans="1:19" ht="22.5" customHeight="1">
      <c r="A29" s="53"/>
      <c r="B29" s="205"/>
      <c r="C29" s="211"/>
      <c r="D29" s="616"/>
      <c r="E29" s="617"/>
      <c r="F29" s="556"/>
      <c r="G29" s="557"/>
      <c r="H29" s="558"/>
      <c r="I29" s="405">
        <f>F28-G28</f>
        <v>-10524</v>
      </c>
      <c r="J29" s="206"/>
      <c r="K29" s="249"/>
      <c r="L29" s="579"/>
      <c r="M29" s="580"/>
      <c r="N29" s="581"/>
      <c r="O29" s="556"/>
      <c r="P29" s="556"/>
      <c r="Q29" s="250">
        <f>O28-P28</f>
        <v>8947</v>
      </c>
      <c r="R29" s="99"/>
      <c r="S29" s="97"/>
    </row>
    <row r="30" spans="1:19" ht="12" customHeight="1">
      <c r="A30" s="53"/>
      <c r="B30" s="205"/>
      <c r="C30" s="522" t="s">
        <v>282</v>
      </c>
      <c r="D30" s="523"/>
      <c r="E30" s="524"/>
      <c r="F30" s="534">
        <f>ROUND(('[1]30決（千円）計数のみ'!F26/1000),0)</f>
        <v>384415</v>
      </c>
      <c r="G30" s="538">
        <v>354794</v>
      </c>
      <c r="H30" s="539"/>
      <c r="I30" s="542">
        <f>((F30/G30)-1)*100</f>
        <v>8.3487883109635508</v>
      </c>
      <c r="J30" s="204"/>
      <c r="K30" s="247"/>
      <c r="L30" s="560" t="s">
        <v>283</v>
      </c>
      <c r="M30" s="560"/>
      <c r="N30" s="560"/>
      <c r="O30" s="534">
        <f>ROUND(('[1]30決（千円）計数のみ'!O28/1000),0)</f>
        <v>485989</v>
      </c>
      <c r="P30" s="534">
        <v>508666</v>
      </c>
      <c r="Q30" s="542">
        <f>((O30/P30)-1)*100</f>
        <v>-4.4581316620336375</v>
      </c>
      <c r="R30" s="100"/>
      <c r="S30" s="102"/>
    </row>
    <row r="31" spans="1:19" ht="12" customHeight="1">
      <c r="A31" s="53"/>
      <c r="B31" s="205"/>
      <c r="C31" s="525"/>
      <c r="D31" s="526"/>
      <c r="E31" s="527"/>
      <c r="F31" s="535"/>
      <c r="G31" s="540"/>
      <c r="H31" s="541"/>
      <c r="I31" s="543"/>
      <c r="J31" s="200"/>
      <c r="K31" s="247"/>
      <c r="L31" s="560"/>
      <c r="M31" s="560"/>
      <c r="N31" s="560"/>
      <c r="O31" s="535"/>
      <c r="P31" s="535"/>
      <c r="Q31" s="548"/>
      <c r="R31" s="100"/>
      <c r="S31" s="102"/>
    </row>
    <row r="32" spans="1:19" ht="12" customHeight="1">
      <c r="A32" s="53"/>
      <c r="B32" s="205"/>
      <c r="C32" s="528"/>
      <c r="D32" s="529"/>
      <c r="E32" s="530"/>
      <c r="F32" s="536"/>
      <c r="G32" s="528"/>
      <c r="H32" s="530"/>
      <c r="I32" s="544">
        <f>F30-G30-1</f>
        <v>29620</v>
      </c>
      <c r="J32" s="200"/>
      <c r="K32" s="247"/>
      <c r="L32" s="560"/>
      <c r="M32" s="560"/>
      <c r="N32" s="560"/>
      <c r="O32" s="535"/>
      <c r="P32" s="535"/>
      <c r="Q32" s="544">
        <f>O30-P30</f>
        <v>-22677</v>
      </c>
      <c r="R32" s="100"/>
      <c r="S32" s="102"/>
    </row>
    <row r="33" spans="1:19" ht="12" customHeight="1">
      <c r="A33" s="53"/>
      <c r="B33" s="205"/>
      <c r="C33" s="531"/>
      <c r="D33" s="532"/>
      <c r="E33" s="533"/>
      <c r="F33" s="537"/>
      <c r="G33" s="531"/>
      <c r="H33" s="533"/>
      <c r="I33" s="545"/>
      <c r="J33" s="206"/>
      <c r="K33" s="247"/>
      <c r="L33" s="560"/>
      <c r="M33" s="560"/>
      <c r="N33" s="560"/>
      <c r="O33" s="556"/>
      <c r="P33" s="556"/>
      <c r="Q33" s="545"/>
      <c r="R33" s="99"/>
      <c r="S33" s="102"/>
    </row>
    <row r="34" spans="1:19" ht="12" customHeight="1">
      <c r="A34" s="53"/>
      <c r="B34" s="205"/>
      <c r="C34" s="205"/>
      <c r="D34" s="550" t="s">
        <v>214</v>
      </c>
      <c r="E34" s="551"/>
      <c r="F34" s="534">
        <f>ROUND(('[1]30決（千円）計数のみ'!F28/1000),0)</f>
        <v>62543</v>
      </c>
      <c r="G34" s="538">
        <v>35780</v>
      </c>
      <c r="H34" s="539"/>
      <c r="I34" s="542">
        <f>((F34/G34)-1)*100</f>
        <v>74.798770262716602</v>
      </c>
      <c r="J34" s="200"/>
      <c r="K34" s="247"/>
      <c r="L34" s="253"/>
      <c r="M34" s="550" t="s">
        <v>261</v>
      </c>
      <c r="N34" s="551"/>
      <c r="O34" s="534">
        <f>ROUND(('[1]30決（千円）計数のみ'!O40/1000),0)</f>
        <v>6562</v>
      </c>
      <c r="P34" s="534">
        <v>45726</v>
      </c>
      <c r="Q34" s="542">
        <f>((O34/P34)-1)*100</f>
        <v>-85.649302366268643</v>
      </c>
      <c r="R34" s="100"/>
      <c r="S34" s="102"/>
    </row>
    <row r="35" spans="1:19" ht="12" customHeight="1">
      <c r="A35" s="53"/>
      <c r="B35" s="205"/>
      <c r="C35" s="205"/>
      <c r="D35" s="552"/>
      <c r="E35" s="553"/>
      <c r="F35" s="535"/>
      <c r="G35" s="540"/>
      <c r="H35" s="541"/>
      <c r="I35" s="559"/>
      <c r="J35" s="200"/>
      <c r="K35" s="247"/>
      <c r="L35" s="254"/>
      <c r="M35" s="552"/>
      <c r="N35" s="553"/>
      <c r="O35" s="535"/>
      <c r="P35" s="535"/>
      <c r="Q35" s="548"/>
      <c r="R35" s="100"/>
      <c r="S35" s="102"/>
    </row>
    <row r="36" spans="1:19" ht="12" customHeight="1">
      <c r="A36" s="53"/>
      <c r="B36" s="205"/>
      <c r="C36" s="205"/>
      <c r="D36" s="552"/>
      <c r="E36" s="553"/>
      <c r="F36" s="535"/>
      <c r="G36" s="540"/>
      <c r="H36" s="541"/>
      <c r="I36" s="544">
        <f>F34-G34-1</f>
        <v>26762</v>
      </c>
      <c r="J36" s="200"/>
      <c r="K36" s="247"/>
      <c r="L36" s="254"/>
      <c r="M36" s="552"/>
      <c r="N36" s="553"/>
      <c r="O36" s="535"/>
      <c r="P36" s="535"/>
      <c r="Q36" s="544">
        <f>O34-P34</f>
        <v>-39164</v>
      </c>
      <c r="R36" s="100"/>
      <c r="S36" s="102"/>
    </row>
    <row r="37" spans="1:19" ht="12" customHeight="1" collapsed="1">
      <c r="A37" s="53"/>
      <c r="B37" s="205"/>
      <c r="C37" s="205"/>
      <c r="D37" s="554"/>
      <c r="E37" s="555"/>
      <c r="F37" s="556"/>
      <c r="G37" s="557"/>
      <c r="H37" s="558"/>
      <c r="I37" s="549"/>
      <c r="J37" s="206"/>
      <c r="K37" s="247"/>
      <c r="L37" s="254"/>
      <c r="M37" s="554"/>
      <c r="N37" s="555"/>
      <c r="O37" s="556"/>
      <c r="P37" s="556"/>
      <c r="Q37" s="545"/>
      <c r="R37" s="99"/>
      <c r="S37" s="102"/>
    </row>
    <row r="38" spans="1:19" ht="12" customHeight="1">
      <c r="A38" s="53"/>
      <c r="B38" s="205"/>
      <c r="C38" s="246"/>
      <c r="D38" s="550" t="s">
        <v>285</v>
      </c>
      <c r="E38" s="551"/>
      <c r="F38" s="534">
        <f>ROUND(('[1]30決（千円）計数のみ'!F40/1000),0)</f>
        <v>74304</v>
      </c>
      <c r="G38" s="538">
        <v>69880</v>
      </c>
      <c r="H38" s="539"/>
      <c r="I38" s="542">
        <f>((F38/G38)-1)*100</f>
        <v>6.3308528906697248</v>
      </c>
      <c r="J38" s="200"/>
      <c r="K38" s="247"/>
      <c r="L38" s="254"/>
      <c r="M38" s="550" t="s">
        <v>286</v>
      </c>
      <c r="N38" s="551"/>
      <c r="O38" s="534">
        <f>ROUND(('[1]30決（千円）計数のみ'!O44/1000),0)</f>
        <v>139506</v>
      </c>
      <c r="P38" s="534">
        <v>129366</v>
      </c>
      <c r="Q38" s="542">
        <f>((O38/P38)-1)*100</f>
        <v>7.8382264273456626</v>
      </c>
      <c r="R38" s="100"/>
      <c r="S38" s="102"/>
    </row>
    <row r="39" spans="1:19" ht="12" customHeight="1">
      <c r="A39" s="53"/>
      <c r="B39" s="205"/>
      <c r="C39" s="246"/>
      <c r="D39" s="552"/>
      <c r="E39" s="553"/>
      <c r="F39" s="535"/>
      <c r="G39" s="540"/>
      <c r="H39" s="541"/>
      <c r="I39" s="559"/>
      <c r="J39" s="200"/>
      <c r="K39" s="247"/>
      <c r="L39" s="254"/>
      <c r="M39" s="552"/>
      <c r="N39" s="553"/>
      <c r="O39" s="535"/>
      <c r="P39" s="535"/>
      <c r="Q39" s="548"/>
      <c r="R39" s="100"/>
      <c r="S39" s="102"/>
    </row>
    <row r="40" spans="1:19" ht="12" customHeight="1">
      <c r="A40" s="53"/>
      <c r="B40" s="205"/>
      <c r="C40" s="246"/>
      <c r="D40" s="552"/>
      <c r="E40" s="553"/>
      <c r="F40" s="535"/>
      <c r="G40" s="540"/>
      <c r="H40" s="541"/>
      <c r="I40" s="544">
        <f>F38-G38</f>
        <v>4424</v>
      </c>
      <c r="J40" s="200"/>
      <c r="K40" s="247"/>
      <c r="L40" s="254"/>
      <c r="M40" s="552"/>
      <c r="N40" s="553"/>
      <c r="O40" s="535"/>
      <c r="P40" s="535"/>
      <c r="Q40" s="544">
        <f>O38-P38</f>
        <v>10140</v>
      </c>
      <c r="R40" s="100"/>
      <c r="S40" s="102"/>
    </row>
    <row r="41" spans="1:19" ht="12" customHeight="1" collapsed="1">
      <c r="A41" s="53"/>
      <c r="B41" s="205"/>
      <c r="C41" s="246"/>
      <c r="D41" s="554"/>
      <c r="E41" s="555"/>
      <c r="F41" s="556"/>
      <c r="G41" s="557"/>
      <c r="H41" s="558"/>
      <c r="I41" s="549"/>
      <c r="J41" s="206"/>
      <c r="K41" s="247"/>
      <c r="L41" s="254"/>
      <c r="M41" s="554"/>
      <c r="N41" s="555"/>
      <c r="O41" s="556"/>
      <c r="P41" s="556"/>
      <c r="Q41" s="545"/>
      <c r="R41" s="99"/>
      <c r="S41" s="102"/>
    </row>
    <row r="42" spans="1:19" ht="12" customHeight="1">
      <c r="A42" s="53"/>
      <c r="B42" s="205"/>
      <c r="C42" s="246"/>
      <c r="D42" s="550" t="s">
        <v>284</v>
      </c>
      <c r="E42" s="551"/>
      <c r="F42" s="534">
        <f>ROUND(('[1]30決（千円）計数のみ'!F44/1000),0)</f>
        <v>139880</v>
      </c>
      <c r="G42" s="538">
        <v>146026</v>
      </c>
      <c r="H42" s="539"/>
      <c r="I42" s="542">
        <f>((F42/G42)-1)*100</f>
        <v>-4.2088395217290024</v>
      </c>
      <c r="J42" s="200"/>
      <c r="K42" s="247"/>
      <c r="L42" s="254"/>
      <c r="M42" s="550" t="s">
        <v>288</v>
      </c>
      <c r="N42" s="551"/>
      <c r="O42" s="534">
        <f>ROUND(('[1]30決（千円）計数のみ'!O48/1000),0)</f>
        <v>123473</v>
      </c>
      <c r="P42" s="534">
        <v>115484</v>
      </c>
      <c r="Q42" s="542">
        <f>((O42/P42)-1)*100</f>
        <v>6.917841432579408</v>
      </c>
      <c r="R42" s="100"/>
      <c r="S42" s="102"/>
    </row>
    <row r="43" spans="1:19" ht="12" customHeight="1">
      <c r="A43" s="53"/>
      <c r="B43" s="205"/>
      <c r="C43" s="246"/>
      <c r="D43" s="552"/>
      <c r="E43" s="553"/>
      <c r="F43" s="535"/>
      <c r="G43" s="540"/>
      <c r="H43" s="541"/>
      <c r="I43" s="559"/>
      <c r="J43" s="200"/>
      <c r="K43" s="247"/>
      <c r="L43" s="254"/>
      <c r="M43" s="552"/>
      <c r="N43" s="553"/>
      <c r="O43" s="535"/>
      <c r="P43" s="535"/>
      <c r="Q43" s="548"/>
      <c r="R43" s="100"/>
      <c r="S43" s="102"/>
    </row>
    <row r="44" spans="1:19" ht="12" customHeight="1">
      <c r="A44" s="53"/>
      <c r="B44" s="205"/>
      <c r="C44" s="246"/>
      <c r="D44" s="552"/>
      <c r="E44" s="553"/>
      <c r="F44" s="535"/>
      <c r="G44" s="540"/>
      <c r="H44" s="541"/>
      <c r="I44" s="544">
        <f>F42-G42</f>
        <v>-6146</v>
      </c>
      <c r="J44" s="200"/>
      <c r="K44" s="247"/>
      <c r="L44" s="254"/>
      <c r="M44" s="552"/>
      <c r="N44" s="553"/>
      <c r="O44" s="535"/>
      <c r="P44" s="535"/>
      <c r="Q44" s="544">
        <f>O42-P42+1</f>
        <v>7990</v>
      </c>
      <c r="R44" s="100"/>
      <c r="S44" s="102"/>
    </row>
    <row r="45" spans="1:19" ht="12" customHeight="1" collapsed="1">
      <c r="A45" s="53"/>
      <c r="B45" s="212"/>
      <c r="C45" s="212"/>
      <c r="D45" s="554"/>
      <c r="E45" s="555"/>
      <c r="F45" s="556"/>
      <c r="G45" s="557"/>
      <c r="H45" s="558"/>
      <c r="I45" s="549"/>
      <c r="J45" s="206"/>
      <c r="K45" s="224"/>
      <c r="L45" s="255"/>
      <c r="M45" s="554"/>
      <c r="N45" s="555"/>
      <c r="O45" s="556"/>
      <c r="P45" s="556"/>
      <c r="Q45" s="545"/>
      <c r="R45" s="99"/>
      <c r="S45" s="102"/>
    </row>
    <row r="46" spans="1:19" ht="12" hidden="1" customHeight="1" outlineLevel="1">
      <c r="A46" s="53"/>
      <c r="B46" s="205"/>
      <c r="C46" s="246"/>
      <c r="D46" s="550" t="s">
        <v>287</v>
      </c>
      <c r="E46" s="551"/>
      <c r="F46" s="534">
        <f>ROUND(('[1]30決（千円）計数のみ'!F48/1000),0)</f>
        <v>69471</v>
      </c>
      <c r="G46" s="538">
        <v>67281</v>
      </c>
      <c r="H46" s="539"/>
      <c r="I46" s="542">
        <f>'[1]30決（千円）計数のみ'!I48</f>
        <v>3.2561791164266829</v>
      </c>
      <c r="J46" s="200"/>
      <c r="K46" s="404"/>
      <c r="L46" s="407"/>
      <c r="M46" s="408"/>
      <c r="N46" s="408"/>
      <c r="O46" s="409"/>
      <c r="P46" s="409"/>
      <c r="Q46" s="410"/>
      <c r="R46" s="411"/>
      <c r="S46" s="102"/>
    </row>
    <row r="47" spans="1:19" ht="12" hidden="1" customHeight="1" outlineLevel="1">
      <c r="A47" s="53"/>
      <c r="B47" s="205"/>
      <c r="C47" s="246"/>
      <c r="D47" s="552"/>
      <c r="E47" s="553"/>
      <c r="F47" s="535"/>
      <c r="G47" s="540"/>
      <c r="H47" s="541"/>
      <c r="I47" s="559"/>
      <c r="J47" s="200"/>
      <c r="K47" s="404"/>
      <c r="L47" s="407"/>
      <c r="M47" s="408"/>
      <c r="N47" s="408"/>
      <c r="O47" s="409"/>
      <c r="P47" s="409"/>
      <c r="Q47" s="410"/>
      <c r="R47" s="411"/>
      <c r="S47" s="102"/>
    </row>
    <row r="48" spans="1:19" ht="12" hidden="1" customHeight="1" outlineLevel="1">
      <c r="A48" s="53"/>
      <c r="B48" s="205"/>
      <c r="C48" s="246"/>
      <c r="D48" s="552"/>
      <c r="E48" s="553"/>
      <c r="F48" s="535"/>
      <c r="G48" s="540"/>
      <c r="H48" s="541"/>
      <c r="I48" s="544">
        <f>ROUND(('[1]30決（千円）計数のみ'!I50/1000),0)</f>
        <v>2191</v>
      </c>
      <c r="J48" s="200"/>
      <c r="K48" s="404"/>
      <c r="L48" s="407"/>
      <c r="M48" s="408"/>
      <c r="N48" s="408"/>
      <c r="O48" s="409"/>
      <c r="P48" s="409"/>
      <c r="Q48" s="410"/>
      <c r="R48" s="411"/>
      <c r="S48" s="102"/>
    </row>
    <row r="49" spans="1:19" ht="12" hidden="1" customHeight="1" outlineLevel="1">
      <c r="A49" s="53"/>
      <c r="B49" s="212"/>
      <c r="C49" s="212"/>
      <c r="D49" s="554"/>
      <c r="E49" s="555"/>
      <c r="F49" s="556"/>
      <c r="G49" s="557"/>
      <c r="H49" s="558"/>
      <c r="I49" s="549"/>
      <c r="J49" s="206"/>
      <c r="K49" s="404"/>
      <c r="L49" s="407"/>
      <c r="M49" s="408"/>
      <c r="N49" s="408"/>
      <c r="O49" s="409"/>
      <c r="P49" s="409"/>
      <c r="Q49" s="410"/>
      <c r="R49" s="411"/>
      <c r="S49" s="102"/>
    </row>
    <row r="50" spans="1:19" ht="24.75" customHeight="1">
      <c r="B50" s="190"/>
      <c r="C50" s="190"/>
      <c r="D50" s="181"/>
      <c r="E50" s="181"/>
      <c r="F50" s="182"/>
      <c r="G50" s="182"/>
      <c r="H50" s="182"/>
      <c r="I50" s="191"/>
      <c r="J50" s="180"/>
      <c r="K50" s="183"/>
      <c r="L50" s="183"/>
      <c r="M50" s="190"/>
      <c r="N50" s="190"/>
      <c r="O50" s="182"/>
      <c r="P50" s="182"/>
      <c r="Q50" s="191"/>
      <c r="R50" s="103"/>
      <c r="S50" s="102"/>
    </row>
    <row r="51" spans="1:19" ht="22.5" customHeight="1">
      <c r="A51" s="53"/>
      <c r="B51" s="50"/>
      <c r="C51" s="50"/>
      <c r="D51" s="50"/>
      <c r="E51" s="50"/>
      <c r="F51" s="94"/>
      <c r="G51" s="94"/>
      <c r="H51" s="50"/>
      <c r="I51" s="414" t="s">
        <v>356</v>
      </c>
      <c r="J51" s="414"/>
      <c r="K51" s="225"/>
      <c r="L51" s="225"/>
      <c r="M51" s="168"/>
      <c r="N51" s="168"/>
      <c r="O51" s="414" t="s">
        <v>355</v>
      </c>
      <c r="P51" s="168"/>
      <c r="Q51" s="256"/>
      <c r="R51" s="110"/>
      <c r="S51" s="102"/>
    </row>
    <row r="52" spans="1:19" ht="14.25" customHeight="1">
      <c r="A52" s="53"/>
      <c r="B52" s="50"/>
      <c r="C52" s="50"/>
      <c r="D52" s="50"/>
      <c r="E52" s="50"/>
      <c r="F52" s="94"/>
      <c r="G52" s="94"/>
      <c r="H52" s="50"/>
      <c r="I52" s="53"/>
      <c r="J52" s="53"/>
      <c r="K52" s="94"/>
      <c r="L52" s="94"/>
      <c r="M52" s="53"/>
      <c r="N52" s="53"/>
      <c r="O52" s="53"/>
      <c r="P52" s="53"/>
      <c r="Q52" s="256"/>
      <c r="R52" s="110"/>
      <c r="S52" s="102"/>
    </row>
    <row r="53" spans="1:19" ht="14.25" customHeight="1">
      <c r="A53" s="53"/>
      <c r="B53" s="50"/>
      <c r="C53" s="50"/>
      <c r="D53" s="50"/>
      <c r="E53" s="50"/>
      <c r="F53" s="94"/>
      <c r="G53" s="94"/>
      <c r="H53" s="50"/>
      <c r="I53" s="53"/>
      <c r="J53" s="53"/>
      <c r="K53" s="94"/>
      <c r="L53" s="94"/>
      <c r="M53" s="53"/>
      <c r="N53" s="53"/>
      <c r="O53" s="53"/>
      <c r="P53" s="53"/>
      <c r="Q53" s="256"/>
      <c r="R53" s="110"/>
      <c r="S53" s="102"/>
    </row>
    <row r="54" spans="1:19" ht="25.5" customHeight="1">
      <c r="A54" s="53"/>
      <c r="B54" s="50"/>
      <c r="C54" s="50"/>
      <c r="D54" s="50"/>
      <c r="E54" s="618" t="s">
        <v>357</v>
      </c>
      <c r="F54" s="618"/>
      <c r="G54" s="618"/>
      <c r="H54" s="415"/>
      <c r="I54" s="416"/>
      <c r="J54" s="415" t="s">
        <v>290</v>
      </c>
      <c r="K54" s="415"/>
      <c r="L54" s="416"/>
      <c r="M54" s="415"/>
      <c r="N54" s="415"/>
      <c r="O54" s="415" t="s">
        <v>291</v>
      </c>
      <c r="P54" s="415"/>
      <c r="Q54" s="168"/>
      <c r="R54" s="168"/>
      <c r="S54" s="111"/>
    </row>
    <row r="55" spans="1:19" ht="25.5" customHeight="1">
      <c r="A55" s="53"/>
      <c r="B55" s="50"/>
      <c r="C55" s="50"/>
      <c r="D55" s="50"/>
      <c r="E55" s="415"/>
      <c r="F55" s="417"/>
      <c r="G55" s="417"/>
      <c r="H55" s="415"/>
      <c r="I55" s="416"/>
      <c r="J55" s="416"/>
      <c r="K55" s="416"/>
      <c r="L55" s="415"/>
      <c r="M55" s="415"/>
      <c r="N55" s="415"/>
      <c r="O55" s="418"/>
      <c r="P55" s="415"/>
      <c r="Q55" s="168"/>
      <c r="R55" s="168"/>
      <c r="S55" s="112"/>
    </row>
    <row r="56" spans="1:19" ht="25.5" customHeight="1">
      <c r="A56" s="53"/>
      <c r="B56" s="50"/>
      <c r="C56" s="50"/>
      <c r="D56" s="50"/>
      <c r="E56" s="618" t="s">
        <v>358</v>
      </c>
      <c r="F56" s="618"/>
      <c r="G56" s="618"/>
      <c r="H56" s="415"/>
      <c r="I56" s="416"/>
      <c r="J56" s="419" t="s">
        <v>292</v>
      </c>
      <c r="K56" s="419"/>
      <c r="L56" s="416"/>
      <c r="M56" s="420"/>
      <c r="N56" s="420"/>
      <c r="O56" s="420" t="s">
        <v>293</v>
      </c>
      <c r="P56" s="415"/>
      <c r="Q56" s="168"/>
      <c r="R56" s="168"/>
      <c r="S56" s="113"/>
    </row>
    <row r="57" spans="1:19" ht="25.5" customHeight="1">
      <c r="A57" s="53"/>
      <c r="B57" s="50"/>
      <c r="C57" s="50"/>
      <c r="D57" s="50"/>
      <c r="E57" s="415"/>
      <c r="F57" s="417"/>
      <c r="G57" s="417"/>
      <c r="H57" s="415"/>
      <c r="I57" s="416"/>
      <c r="J57" s="416"/>
      <c r="K57" s="416"/>
      <c r="L57" s="421"/>
      <c r="M57" s="415"/>
      <c r="N57" s="415"/>
      <c r="O57" s="422"/>
      <c r="P57" s="415"/>
      <c r="Q57" s="168"/>
      <c r="R57" s="168"/>
      <c r="S57" s="113"/>
    </row>
    <row r="58" spans="1:19" ht="25.5" customHeight="1">
      <c r="A58" s="53"/>
      <c r="B58" s="50"/>
      <c r="C58" s="50"/>
      <c r="D58" s="50"/>
      <c r="E58" s="618" t="s">
        <v>359</v>
      </c>
      <c r="F58" s="618"/>
      <c r="G58" s="618"/>
      <c r="H58" s="415"/>
      <c r="I58" s="416"/>
      <c r="J58" s="421" t="s">
        <v>294</v>
      </c>
      <c r="K58" s="421"/>
      <c r="L58" s="416"/>
      <c r="M58" s="415"/>
      <c r="N58" s="415"/>
      <c r="O58" s="421" t="s">
        <v>295</v>
      </c>
      <c r="P58" s="415"/>
      <c r="Q58" s="168"/>
      <c r="R58" s="168"/>
      <c r="S58" s="113"/>
    </row>
    <row r="59" spans="1:19" ht="25.5" customHeight="1">
      <c r="A59" s="53"/>
      <c r="B59" s="52"/>
      <c r="C59" s="52"/>
      <c r="D59" s="52"/>
      <c r="E59" s="424"/>
      <c r="F59" s="417"/>
      <c r="G59" s="417"/>
      <c r="H59" s="424"/>
      <c r="I59" s="424"/>
      <c r="J59" s="423"/>
      <c r="K59" s="416"/>
      <c r="L59" s="415"/>
      <c r="M59" s="415"/>
      <c r="N59" s="415"/>
      <c r="O59" s="425"/>
      <c r="P59" s="415"/>
      <c r="Q59" s="257" t="s">
        <v>145</v>
      </c>
      <c r="R59" s="50"/>
      <c r="S59" s="105"/>
    </row>
    <row r="60" spans="1:19" s="51" customFormat="1" ht="25.5" customHeight="1">
      <c r="A60" s="104"/>
      <c r="B60" s="52"/>
      <c r="C60" s="52"/>
      <c r="D60" s="52"/>
      <c r="E60" s="618" t="s">
        <v>360</v>
      </c>
      <c r="F60" s="618"/>
      <c r="G60" s="618"/>
      <c r="H60" s="415"/>
      <c r="I60" s="416"/>
      <c r="J60" s="416" t="s">
        <v>296</v>
      </c>
      <c r="K60" s="416"/>
      <c r="L60" s="416"/>
      <c r="M60" s="415"/>
      <c r="N60" s="415"/>
      <c r="O60" s="415" t="s">
        <v>344</v>
      </c>
      <c r="P60" s="415"/>
      <c r="Q60" s="547">
        <v>1635</v>
      </c>
      <c r="R60" s="547"/>
      <c r="S60" s="105"/>
    </row>
    <row r="61" spans="1:19" s="51" customFormat="1" ht="18.75" customHeight="1">
      <c r="A61" s="186"/>
      <c r="B61" s="177"/>
      <c r="C61" s="177"/>
      <c r="D61" s="177"/>
      <c r="E61" s="426"/>
      <c r="F61" s="427"/>
      <c r="G61" s="427"/>
      <c r="H61" s="428"/>
      <c r="I61" s="429"/>
      <c r="J61" s="428"/>
      <c r="K61" s="429"/>
      <c r="L61" s="429"/>
      <c r="M61" s="428"/>
      <c r="N61" s="428"/>
      <c r="O61" s="428"/>
      <c r="P61" s="428"/>
      <c r="Q61" s="187"/>
      <c r="R61" s="251"/>
      <c r="S61" s="105"/>
    </row>
    <row r="62" spans="1:19" s="51" customFormat="1" ht="18.75" customHeight="1">
      <c r="A62" s="186"/>
      <c r="B62" s="184"/>
      <c r="C62" s="184"/>
      <c r="D62" s="184"/>
      <c r="E62" s="546" t="s">
        <v>221</v>
      </c>
      <c r="F62" s="546"/>
      <c r="G62" s="426"/>
      <c r="H62" s="428"/>
      <c r="I62" s="428"/>
      <c r="J62" s="429"/>
      <c r="K62" s="430"/>
      <c r="L62" s="430"/>
      <c r="M62" s="426"/>
      <c r="N62" s="426"/>
      <c r="O62" s="431"/>
      <c r="P62" s="426"/>
      <c r="Q62" s="185" t="s">
        <v>145</v>
      </c>
      <c r="R62" s="52"/>
      <c r="S62" s="105"/>
    </row>
    <row r="63" spans="1:19" s="51" customFormat="1" ht="34.5" customHeight="1">
      <c r="A63" s="104"/>
      <c r="B63" s="50"/>
      <c r="C63" s="50"/>
      <c r="D63" s="50"/>
      <c r="E63" s="618" t="s">
        <v>360</v>
      </c>
      <c r="F63" s="618"/>
      <c r="G63" s="618"/>
      <c r="H63" s="415"/>
      <c r="I63" s="415"/>
      <c r="J63" s="416" t="s">
        <v>297</v>
      </c>
      <c r="K63" s="416"/>
      <c r="L63" s="416"/>
      <c r="M63" s="415"/>
      <c r="N63" s="415"/>
      <c r="O63" s="415" t="s">
        <v>298</v>
      </c>
      <c r="P63" s="415"/>
      <c r="Q63" s="547">
        <v>5786</v>
      </c>
      <c r="R63" s="547"/>
      <c r="S63" s="105"/>
    </row>
    <row r="64" spans="1:19" s="51" customFormat="1" ht="24" customHeight="1">
      <c r="A64" s="104"/>
      <c r="B64" s="104"/>
      <c r="C64" s="104"/>
      <c r="D64" s="104"/>
      <c r="E64" s="619" t="s">
        <v>177</v>
      </c>
      <c r="F64" s="620"/>
      <c r="G64" s="620"/>
      <c r="H64" s="432"/>
      <c r="I64" s="432"/>
      <c r="J64" s="432"/>
      <c r="K64" s="416"/>
      <c r="L64" s="416"/>
      <c r="M64" s="415"/>
      <c r="N64" s="415"/>
      <c r="O64" s="415"/>
      <c r="P64" s="415"/>
      <c r="Q64" s="50"/>
      <c r="R64" s="50"/>
      <c r="S64" s="113"/>
    </row>
    <row r="65" spans="1:19" s="51" customFormat="1" ht="14.25" customHeight="1">
      <c r="A65" s="104"/>
      <c r="B65" s="104"/>
      <c r="C65" s="104"/>
      <c r="D65" s="104"/>
      <c r="E65" s="104"/>
      <c r="F65" s="259"/>
      <c r="G65" s="259"/>
      <c r="H65" s="104"/>
      <c r="I65" s="104"/>
      <c r="J65" s="104"/>
      <c r="K65" s="258"/>
      <c r="L65" s="258"/>
      <c r="M65" s="50"/>
      <c r="N65" s="50"/>
      <c r="O65" s="50"/>
      <c r="P65" s="50"/>
      <c r="Q65" s="50"/>
      <c r="R65" s="50"/>
      <c r="S65" s="113"/>
    </row>
    <row r="66" spans="1:19" s="51" customFormat="1" ht="42" customHeight="1">
      <c r="A66" s="188"/>
      <c r="B66" s="186"/>
      <c r="C66" s="186"/>
      <c r="D66" s="186"/>
      <c r="E66" s="521" t="s">
        <v>262</v>
      </c>
      <c r="F66" s="521"/>
      <c r="G66" s="521"/>
      <c r="H66" s="521"/>
      <c r="I66" s="521"/>
      <c r="J66" s="521"/>
      <c r="K66" s="521"/>
      <c r="L66" s="521"/>
      <c r="M66" s="521"/>
      <c r="N66" s="521"/>
      <c r="O66" s="521"/>
      <c r="P66" s="521"/>
      <c r="Q66" s="521"/>
      <c r="R66" s="50"/>
      <c r="S66" s="113"/>
    </row>
    <row r="67" spans="1:19" s="51" customFormat="1" ht="15" customHeight="1">
      <c r="A67" s="188"/>
      <c r="B67" s="186"/>
      <c r="C67" s="186"/>
      <c r="D67" s="186"/>
      <c r="E67" s="186"/>
      <c r="F67" s="186"/>
      <c r="G67" s="186"/>
      <c r="H67" s="186"/>
      <c r="I67" s="186"/>
      <c r="J67" s="186"/>
      <c r="K67" s="189"/>
      <c r="L67" s="189"/>
      <c r="M67" s="189"/>
      <c r="N67" s="189"/>
      <c r="O67" s="189"/>
      <c r="P67" s="189"/>
      <c r="Q67" s="189"/>
      <c r="S67" s="161"/>
    </row>
    <row r="68" spans="1:19" s="51" customFormat="1" ht="15" customHeight="1">
      <c r="A68" s="172"/>
      <c r="B68" s="186"/>
      <c r="C68" s="186"/>
      <c r="D68" s="186"/>
      <c r="E68" s="186"/>
      <c r="F68" s="186"/>
      <c r="G68" s="186"/>
      <c r="H68" s="186"/>
      <c r="I68" s="186"/>
      <c r="J68" s="186"/>
      <c r="K68" s="189"/>
      <c r="L68" s="189"/>
      <c r="M68" s="189"/>
      <c r="N68" s="189"/>
      <c r="O68" s="189"/>
      <c r="P68" s="189"/>
      <c r="Q68" s="189"/>
      <c r="S68" s="161"/>
    </row>
    <row r="69" spans="1:19" s="51" customFormat="1" ht="15" customHeight="1">
      <c r="A69" s="172"/>
      <c r="B69" s="172"/>
      <c r="C69" s="172"/>
      <c r="D69" s="172"/>
      <c r="E69" s="172"/>
      <c r="F69" s="172"/>
      <c r="G69" s="172"/>
      <c r="H69" s="172"/>
      <c r="I69" s="172"/>
      <c r="J69" s="172"/>
      <c r="K69" s="189"/>
      <c r="L69" s="189"/>
      <c r="M69" s="189"/>
      <c r="N69" s="189"/>
      <c r="O69" s="189"/>
      <c r="P69" s="189"/>
      <c r="Q69" s="189"/>
      <c r="S69" s="104"/>
    </row>
    <row r="70" spans="1:19" s="51" customFormat="1" ht="14.25" customHeight="1">
      <c r="A70" s="186"/>
      <c r="B70" s="172"/>
      <c r="C70" s="172"/>
      <c r="D70" s="172"/>
      <c r="E70" s="172"/>
      <c r="F70" s="172"/>
      <c r="G70" s="172"/>
      <c r="H70" s="172"/>
      <c r="I70" s="172"/>
      <c r="J70" s="172"/>
      <c r="K70" s="173"/>
      <c r="L70" s="173"/>
      <c r="M70" s="172"/>
      <c r="N70" s="172"/>
      <c r="O70" s="172"/>
      <c r="P70" s="172"/>
      <c r="Q70" s="172"/>
      <c r="R70" s="53"/>
      <c r="S70" s="53"/>
    </row>
    <row r="71" spans="1:19" s="51" customFormat="1" ht="15" customHeight="1">
      <c r="A71" s="186"/>
      <c r="B71" s="172"/>
      <c r="C71" s="172"/>
      <c r="D71" s="172"/>
      <c r="E71" s="172"/>
      <c r="F71" s="172"/>
      <c r="G71" s="172"/>
      <c r="H71" s="172"/>
      <c r="I71" s="172"/>
      <c r="J71" s="172"/>
      <c r="K71" s="173"/>
      <c r="L71" s="173"/>
      <c r="M71" s="172"/>
      <c r="N71" s="172"/>
      <c r="O71" s="172"/>
      <c r="P71" s="172"/>
      <c r="Q71" s="172"/>
      <c r="R71" s="53"/>
      <c r="S71" s="53"/>
    </row>
    <row r="72" spans="1:19" s="51" customFormat="1" ht="15" customHeight="1">
      <c r="A72" s="186"/>
      <c r="B72" s="172"/>
      <c r="C72" s="172"/>
      <c r="D72" s="172"/>
      <c r="E72" s="172"/>
      <c r="F72" s="172"/>
      <c r="G72" s="172"/>
      <c r="H72" s="172"/>
      <c r="I72" s="172"/>
      <c r="J72" s="172"/>
      <c r="K72" s="173"/>
      <c r="L72" s="173"/>
      <c r="M72" s="172"/>
      <c r="N72" s="172"/>
      <c r="O72" s="172"/>
      <c r="P72" s="172"/>
      <c r="Q72" s="172"/>
      <c r="R72" s="53"/>
      <c r="S72" s="53"/>
    </row>
    <row r="73" spans="1:19" s="51" customFormat="1" ht="15" customHeight="1">
      <c r="A73" s="186"/>
      <c r="B73" s="172"/>
      <c r="C73" s="172"/>
      <c r="D73" s="172"/>
      <c r="E73" s="172"/>
      <c r="F73" s="172"/>
      <c r="G73" s="172"/>
      <c r="H73" s="172"/>
      <c r="I73" s="172"/>
      <c r="J73" s="172"/>
      <c r="K73" s="173"/>
      <c r="L73" s="173"/>
      <c r="M73" s="172"/>
      <c r="N73" s="172"/>
      <c r="O73" s="172"/>
      <c r="P73" s="172"/>
      <c r="Q73" s="172"/>
      <c r="R73" s="53"/>
      <c r="S73" s="53"/>
    </row>
    <row r="74" spans="1:19" s="51" customFormat="1" ht="15" customHeight="1">
      <c r="A74" s="186"/>
      <c r="B74" s="172"/>
      <c r="C74" s="172"/>
      <c r="D74" s="172"/>
      <c r="E74" s="172"/>
      <c r="F74" s="172"/>
      <c r="G74" s="172"/>
      <c r="H74" s="172"/>
      <c r="I74" s="172"/>
      <c r="J74" s="172"/>
      <c r="K74" s="173"/>
      <c r="L74" s="173"/>
      <c r="M74" s="172"/>
      <c r="N74" s="172"/>
      <c r="O74" s="172"/>
      <c r="P74" s="172"/>
      <c r="Q74" s="172"/>
      <c r="R74" s="53"/>
      <c r="S74" s="53"/>
    </row>
    <row r="75" spans="1:19" s="51" customFormat="1" ht="15" customHeight="1">
      <c r="A75" s="186"/>
      <c r="B75" s="172"/>
      <c r="C75" s="172"/>
      <c r="D75" s="172"/>
      <c r="E75" s="172"/>
      <c r="F75" s="172"/>
      <c r="G75" s="172"/>
      <c r="H75" s="172"/>
      <c r="I75" s="172"/>
      <c r="J75" s="172"/>
      <c r="K75" s="173"/>
      <c r="L75" s="173"/>
      <c r="M75" s="172"/>
      <c r="N75" s="172"/>
      <c r="O75" s="172"/>
      <c r="P75" s="172"/>
      <c r="Q75" s="172"/>
      <c r="R75" s="53"/>
      <c r="S75" s="53"/>
    </row>
    <row r="76" spans="1:19" s="51" customFormat="1" ht="15" customHeight="1">
      <c r="A76" s="189"/>
      <c r="B76" s="172"/>
      <c r="C76" s="172"/>
      <c r="D76" s="172"/>
      <c r="E76" s="172"/>
      <c r="F76" s="172"/>
      <c r="G76" s="172"/>
      <c r="H76" s="172"/>
      <c r="I76" s="172"/>
      <c r="J76" s="172"/>
      <c r="K76" s="173"/>
      <c r="L76" s="173"/>
      <c r="M76" s="172"/>
      <c r="N76" s="172"/>
      <c r="O76" s="172"/>
      <c r="P76" s="172"/>
      <c r="Q76" s="172"/>
      <c r="R76" s="53"/>
      <c r="S76" s="53"/>
    </row>
    <row r="77" spans="1:19" s="51" customFormat="1" ht="15" customHeight="1">
      <c r="A77" s="186"/>
      <c r="B77" s="172"/>
      <c r="C77" s="172"/>
      <c r="D77" s="172"/>
      <c r="E77" s="172"/>
      <c r="F77" s="172"/>
      <c r="G77" s="172"/>
      <c r="H77" s="172"/>
      <c r="I77" s="172"/>
      <c r="J77" s="172"/>
      <c r="K77" s="173"/>
      <c r="L77" s="173"/>
      <c r="M77" s="172"/>
      <c r="N77" s="172"/>
      <c r="O77" s="172"/>
      <c r="P77" s="172"/>
      <c r="Q77" s="172"/>
      <c r="R77" s="53"/>
      <c r="S77" s="53"/>
    </row>
    <row r="78" spans="1:19" ht="12.95" customHeight="1">
      <c r="A78" s="186"/>
    </row>
    <row r="79" spans="1:19" ht="12.95" customHeight="1"/>
  </sheetData>
  <mergeCells count="129">
    <mergeCell ref="E63:G63"/>
    <mergeCell ref="E64:G64"/>
    <mergeCell ref="G38:H41"/>
    <mergeCell ref="I38:I39"/>
    <mergeCell ref="O38:O41"/>
    <mergeCell ref="I48:I49"/>
    <mergeCell ref="O34:O37"/>
    <mergeCell ref="P34:P37"/>
    <mergeCell ref="Q34:Q35"/>
    <mergeCell ref="Q36:Q37"/>
    <mergeCell ref="M34:N37"/>
    <mergeCell ref="E54:G54"/>
    <mergeCell ref="E56:G56"/>
    <mergeCell ref="E58:G58"/>
    <mergeCell ref="E60:G60"/>
    <mergeCell ref="M42:N45"/>
    <mergeCell ref="I44:I45"/>
    <mergeCell ref="Q40:Q41"/>
    <mergeCell ref="D42:E45"/>
    <mergeCell ref="F42:F45"/>
    <mergeCell ref="G42:H45"/>
    <mergeCell ref="I42:I43"/>
    <mergeCell ref="M38:N41"/>
    <mergeCell ref="O42:O45"/>
    <mergeCell ref="P42:P45"/>
    <mergeCell ref="Q42:Q43"/>
    <mergeCell ref="I40:I41"/>
    <mergeCell ref="Q38:Q39"/>
    <mergeCell ref="D38:E41"/>
    <mergeCell ref="F38:F41"/>
    <mergeCell ref="P38:P41"/>
    <mergeCell ref="P26:P27"/>
    <mergeCell ref="D28:E29"/>
    <mergeCell ref="F28:F29"/>
    <mergeCell ref="G28:H29"/>
    <mergeCell ref="L28:N29"/>
    <mergeCell ref="O28:O29"/>
    <mergeCell ref="P28:P29"/>
    <mergeCell ref="C26:E27"/>
    <mergeCell ref="F26:F27"/>
    <mergeCell ref="G26:H27"/>
    <mergeCell ref="M26:N27"/>
    <mergeCell ref="O26:O27"/>
    <mergeCell ref="P22:P23"/>
    <mergeCell ref="C24:E25"/>
    <mergeCell ref="F24:F25"/>
    <mergeCell ref="G24:H25"/>
    <mergeCell ref="N24:N25"/>
    <mergeCell ref="O24:O25"/>
    <mergeCell ref="P24:P25"/>
    <mergeCell ref="C22:E23"/>
    <mergeCell ref="F22:F23"/>
    <mergeCell ref="G22:H23"/>
    <mergeCell ref="N22:N23"/>
    <mergeCell ref="O22:O23"/>
    <mergeCell ref="P18:P19"/>
    <mergeCell ref="D20:E21"/>
    <mergeCell ref="F20:F21"/>
    <mergeCell ref="G20:H21"/>
    <mergeCell ref="N20:N21"/>
    <mergeCell ref="O20:O21"/>
    <mergeCell ref="P20:P21"/>
    <mergeCell ref="C18:E19"/>
    <mergeCell ref="F18:F19"/>
    <mergeCell ref="G18:H19"/>
    <mergeCell ref="M18:N19"/>
    <mergeCell ref="O18:O19"/>
    <mergeCell ref="B6:E9"/>
    <mergeCell ref="F6:F9"/>
    <mergeCell ref="G6:H9"/>
    <mergeCell ref="I6:I7"/>
    <mergeCell ref="K6:N9"/>
    <mergeCell ref="P14:P17"/>
    <mergeCell ref="Q14:Q15"/>
    <mergeCell ref="I16:I17"/>
    <mergeCell ref="Q16:Q17"/>
    <mergeCell ref="D14:E17"/>
    <mergeCell ref="F14:F17"/>
    <mergeCell ref="G14:H17"/>
    <mergeCell ref="I14:I15"/>
    <mergeCell ref="M14:N17"/>
    <mergeCell ref="O14:O17"/>
    <mergeCell ref="C10:E13"/>
    <mergeCell ref="F10:F13"/>
    <mergeCell ref="G10:H13"/>
    <mergeCell ref="I10:I11"/>
    <mergeCell ref="L10:N13"/>
    <mergeCell ref="O10:O13"/>
    <mergeCell ref="P10:P13"/>
    <mergeCell ref="Q10:Q11"/>
    <mergeCell ref="I12:I13"/>
    <mergeCell ref="Q12:Q13"/>
    <mergeCell ref="O1:P1"/>
    <mergeCell ref="F4:H4"/>
    <mergeCell ref="I4:J4"/>
    <mergeCell ref="O4:P4"/>
    <mergeCell ref="Q4:R4"/>
    <mergeCell ref="G5:H5"/>
    <mergeCell ref="I5:J5"/>
    <mergeCell ref="Q5:R5"/>
    <mergeCell ref="O6:O9"/>
    <mergeCell ref="P6:P9"/>
    <mergeCell ref="Q6:Q7"/>
    <mergeCell ref="I8:I9"/>
    <mergeCell ref="Q8:Q9"/>
    <mergeCell ref="E66:Q66"/>
    <mergeCell ref="C30:E33"/>
    <mergeCell ref="F30:F33"/>
    <mergeCell ref="G30:H33"/>
    <mergeCell ref="I30:I31"/>
    <mergeCell ref="I32:I33"/>
    <mergeCell ref="E62:F62"/>
    <mergeCell ref="Q60:R60"/>
    <mergeCell ref="Q63:R63"/>
    <mergeCell ref="Q30:Q31"/>
    <mergeCell ref="Q32:Q33"/>
    <mergeCell ref="I36:I37"/>
    <mergeCell ref="D34:E37"/>
    <mergeCell ref="F34:F37"/>
    <mergeCell ref="G34:H37"/>
    <mergeCell ref="I34:I35"/>
    <mergeCell ref="L30:N33"/>
    <mergeCell ref="O30:O33"/>
    <mergeCell ref="P30:P33"/>
    <mergeCell ref="Q44:Q45"/>
    <mergeCell ref="D46:E49"/>
    <mergeCell ref="F46:F49"/>
    <mergeCell ref="G46:H49"/>
    <mergeCell ref="I46:I47"/>
  </mergeCells>
  <phoneticPr fontId="9"/>
  <pageMargins left="0.39370078740157483" right="0.39370078740157483" top="0.31496062992125984" bottom="0.31496062992125984" header="0" footer="0.3937007874015748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153"/>
  <sheetViews>
    <sheetView view="pageBreakPreview" zoomScale="115" zoomScaleNormal="100" zoomScaleSheetLayoutView="115" workbookViewId="0">
      <selection activeCell="M13" sqref="M13"/>
    </sheetView>
  </sheetViews>
  <sheetFormatPr defaultRowHeight="13.5"/>
  <cols>
    <col min="1" max="1" width="2.85546875" style="57" customWidth="1"/>
    <col min="2" max="2" width="12.42578125" style="57" customWidth="1"/>
    <col min="3" max="3" width="2.85546875" style="57" customWidth="1"/>
    <col min="4" max="4" width="9.140625" style="57"/>
    <col min="5" max="5" width="15" style="57" customWidth="1"/>
    <col min="6" max="7" width="9.140625" style="57"/>
    <col min="8" max="8" width="15.42578125" style="57" customWidth="1"/>
    <col min="9" max="9" width="12.140625" style="57" customWidth="1"/>
    <col min="10" max="10" width="18.5703125" style="57" customWidth="1"/>
    <col min="11" max="11" width="2.85546875" style="57" customWidth="1"/>
    <col min="12" max="12" width="3.140625" style="57" customWidth="1"/>
    <col min="13" max="13" width="9.140625" style="57"/>
    <col min="14" max="14" width="11.140625" style="57" bestFit="1" customWidth="1"/>
    <col min="15" max="16384" width="9.140625" style="57"/>
  </cols>
  <sheetData>
    <row r="4" spans="1:11" ht="42.75" customHeight="1"/>
    <row r="5" spans="1:11" ht="11.25" customHeight="1">
      <c r="A5" s="58"/>
      <c r="B5" s="59"/>
      <c r="C5" s="59"/>
      <c r="D5" s="59"/>
      <c r="E5" s="59"/>
      <c r="F5" s="59"/>
      <c r="G5" s="59"/>
      <c r="H5" s="59"/>
      <c r="I5" s="59"/>
      <c r="J5" s="59"/>
      <c r="K5" s="60"/>
    </row>
    <row r="6" spans="1:11" ht="18.75">
      <c r="A6" s="232"/>
      <c r="B6" s="233" t="s">
        <v>148</v>
      </c>
      <c r="C6" s="234"/>
      <c r="D6" s="234"/>
      <c r="E6" s="234"/>
      <c r="F6" s="234"/>
      <c r="G6" s="234"/>
      <c r="H6" s="234"/>
      <c r="I6" s="234"/>
      <c r="J6" s="234"/>
      <c r="K6" s="235"/>
    </row>
    <row r="7" spans="1:11" ht="11.25" customHeight="1">
      <c r="A7" s="232"/>
      <c r="B7" s="233"/>
      <c r="C7" s="234"/>
      <c r="D7" s="58"/>
      <c r="E7" s="59"/>
      <c r="F7" s="59"/>
      <c r="G7" s="59"/>
      <c r="H7" s="59"/>
      <c r="I7" s="59"/>
      <c r="J7" s="60"/>
      <c r="K7" s="235"/>
    </row>
    <row r="8" spans="1:11" ht="28.5" customHeight="1">
      <c r="A8" s="232"/>
      <c r="B8" s="234"/>
      <c r="C8" s="234"/>
      <c r="D8" s="621" t="s">
        <v>370</v>
      </c>
      <c r="E8" s="622"/>
      <c r="F8" s="622"/>
      <c r="G8" s="622"/>
      <c r="H8" s="622"/>
      <c r="I8" s="622"/>
      <c r="J8" s="623"/>
      <c r="K8" s="235"/>
    </row>
    <row r="9" spans="1:11" ht="18" customHeight="1">
      <c r="A9" s="232"/>
      <c r="B9" s="236"/>
      <c r="C9" s="237"/>
      <c r="D9" s="621"/>
      <c r="E9" s="622"/>
      <c r="F9" s="622"/>
      <c r="G9" s="622"/>
      <c r="H9" s="622"/>
      <c r="I9" s="622"/>
      <c r="J9" s="623"/>
      <c r="K9" s="235"/>
    </row>
    <row r="10" spans="1:11" ht="15" customHeight="1">
      <c r="A10" s="232"/>
      <c r="B10" s="236"/>
      <c r="C10" s="234"/>
      <c r="D10" s="621"/>
      <c r="E10" s="622"/>
      <c r="F10" s="622"/>
      <c r="G10" s="622"/>
      <c r="H10" s="622"/>
      <c r="I10" s="622"/>
      <c r="J10" s="623"/>
      <c r="K10" s="235"/>
    </row>
    <row r="11" spans="1:11" ht="15" customHeight="1">
      <c r="A11" s="232"/>
      <c r="B11" s="236"/>
      <c r="C11" s="234"/>
      <c r="D11" s="621"/>
      <c r="E11" s="622"/>
      <c r="F11" s="622"/>
      <c r="G11" s="622"/>
      <c r="H11" s="622"/>
      <c r="I11" s="622"/>
      <c r="J11" s="623"/>
      <c r="K11" s="235"/>
    </row>
    <row r="12" spans="1:11" ht="15" customHeight="1">
      <c r="A12" s="232"/>
      <c r="B12" s="236"/>
      <c r="C12" s="234"/>
      <c r="D12" s="621"/>
      <c r="E12" s="622"/>
      <c r="F12" s="622"/>
      <c r="G12" s="622"/>
      <c r="H12" s="622"/>
      <c r="I12" s="622"/>
      <c r="J12" s="623"/>
      <c r="K12" s="235"/>
    </row>
    <row r="13" spans="1:11" ht="28.5" customHeight="1">
      <c r="A13" s="232"/>
      <c r="B13" s="234"/>
      <c r="C13" s="234"/>
      <c r="D13" s="621"/>
      <c r="E13" s="622"/>
      <c r="F13" s="622"/>
      <c r="G13" s="622"/>
      <c r="H13" s="622"/>
      <c r="I13" s="622"/>
      <c r="J13" s="623"/>
      <c r="K13" s="235"/>
    </row>
    <row r="14" spans="1:11" ht="9" customHeight="1">
      <c r="A14" s="232"/>
      <c r="B14" s="234"/>
      <c r="C14" s="234"/>
      <c r="D14" s="61"/>
      <c r="E14" s="62"/>
      <c r="F14" s="62"/>
      <c r="G14" s="62"/>
      <c r="H14" s="62"/>
      <c r="I14" s="62"/>
      <c r="J14" s="63"/>
      <c r="K14" s="235"/>
    </row>
    <row r="15" spans="1:11" ht="30" customHeight="1">
      <c r="A15" s="232"/>
      <c r="B15" s="234"/>
      <c r="C15" s="234"/>
      <c r="D15" s="234"/>
      <c r="E15" s="234"/>
      <c r="F15" s="234"/>
      <c r="G15" s="234"/>
      <c r="H15" s="234"/>
      <c r="I15" s="234"/>
      <c r="J15" s="234"/>
      <c r="K15" s="235"/>
    </row>
    <row r="16" spans="1:11" ht="11.25" customHeight="1">
      <c r="A16" s="232"/>
      <c r="B16" s="234"/>
      <c r="C16" s="234"/>
      <c r="D16" s="58"/>
      <c r="E16" s="59"/>
      <c r="F16" s="59"/>
      <c r="G16" s="59"/>
      <c r="H16" s="59"/>
      <c r="I16" s="59"/>
      <c r="J16" s="60"/>
      <c r="K16" s="235"/>
    </row>
    <row r="17" spans="1:13" ht="45" customHeight="1">
      <c r="A17" s="232"/>
      <c r="B17" s="234"/>
      <c r="C17" s="234"/>
      <c r="D17" s="625" t="s">
        <v>371</v>
      </c>
      <c r="E17" s="626"/>
      <c r="F17" s="626"/>
      <c r="G17" s="626"/>
      <c r="H17" s="626"/>
      <c r="I17" s="626"/>
      <c r="J17" s="627"/>
      <c r="K17" s="235"/>
      <c r="M17" s="213" t="s">
        <v>245</v>
      </c>
    </row>
    <row r="18" spans="1:13" ht="22.5" customHeight="1">
      <c r="A18" s="232"/>
      <c r="B18" s="234"/>
      <c r="C18" s="237"/>
      <c r="D18" s="625"/>
      <c r="E18" s="626"/>
      <c r="F18" s="626"/>
      <c r="G18" s="626"/>
      <c r="H18" s="626"/>
      <c r="I18" s="626"/>
      <c r="J18" s="627"/>
      <c r="K18" s="235"/>
    </row>
    <row r="19" spans="1:13" ht="22.5" customHeight="1">
      <c r="A19" s="232"/>
      <c r="B19" s="234"/>
      <c r="C19" s="237"/>
      <c r="D19" s="625"/>
      <c r="E19" s="626"/>
      <c r="F19" s="626"/>
      <c r="G19" s="626"/>
      <c r="H19" s="626"/>
      <c r="I19" s="626"/>
      <c r="J19" s="627"/>
      <c r="K19" s="235"/>
    </row>
    <row r="20" spans="1:13" ht="45" customHeight="1">
      <c r="A20" s="232"/>
      <c r="B20" s="234"/>
      <c r="C20" s="234"/>
      <c r="D20" s="625"/>
      <c r="E20" s="626"/>
      <c r="F20" s="626"/>
      <c r="G20" s="626"/>
      <c r="H20" s="626"/>
      <c r="I20" s="626"/>
      <c r="J20" s="627"/>
      <c r="K20" s="235"/>
    </row>
    <row r="21" spans="1:13" ht="11.25" customHeight="1">
      <c r="A21" s="232"/>
      <c r="B21" s="234"/>
      <c r="C21" s="234"/>
      <c r="D21" s="61"/>
      <c r="E21" s="62"/>
      <c r="F21" s="62"/>
      <c r="G21" s="62"/>
      <c r="H21" s="62"/>
      <c r="I21" s="62"/>
      <c r="J21" s="63"/>
      <c r="K21" s="235"/>
    </row>
    <row r="22" spans="1:13" ht="30" customHeight="1">
      <c r="A22" s="232"/>
      <c r="B22" s="234"/>
      <c r="C22" s="234"/>
      <c r="D22" s="234"/>
      <c r="E22" s="234"/>
      <c r="F22" s="234"/>
      <c r="G22" s="234"/>
      <c r="H22" s="234"/>
      <c r="I22" s="234"/>
      <c r="J22" s="234"/>
      <c r="K22" s="235"/>
    </row>
    <row r="23" spans="1:13" ht="11.25" customHeight="1">
      <c r="A23" s="232"/>
      <c r="B23" s="234"/>
      <c r="C23" s="234"/>
      <c r="D23" s="58"/>
      <c r="E23" s="59"/>
      <c r="F23" s="59"/>
      <c r="G23" s="59"/>
      <c r="H23" s="59"/>
      <c r="I23" s="59"/>
      <c r="J23" s="60"/>
      <c r="K23" s="235"/>
    </row>
    <row r="24" spans="1:13" ht="6.75" customHeight="1">
      <c r="A24" s="232"/>
      <c r="B24" s="234"/>
      <c r="C24" s="234"/>
      <c r="D24" s="628" t="s">
        <v>372</v>
      </c>
      <c r="E24" s="629"/>
      <c r="F24" s="629"/>
      <c r="G24" s="629"/>
      <c r="H24" s="629"/>
      <c r="I24" s="629"/>
      <c r="J24" s="630"/>
      <c r="K24" s="235"/>
    </row>
    <row r="25" spans="1:13" ht="28.5" customHeight="1">
      <c r="A25" s="232"/>
      <c r="B25" s="234"/>
      <c r="C25" s="237"/>
      <c r="D25" s="628"/>
      <c r="E25" s="629"/>
      <c r="F25" s="629"/>
      <c r="G25" s="629"/>
      <c r="H25" s="629"/>
      <c r="I25" s="629"/>
      <c r="J25" s="630"/>
      <c r="K25" s="235"/>
    </row>
    <row r="26" spans="1:13" ht="4.5" customHeight="1">
      <c r="A26" s="232"/>
      <c r="B26" s="234"/>
      <c r="C26" s="237"/>
      <c r="D26" s="631"/>
      <c r="E26" s="632"/>
      <c r="F26" s="632"/>
      <c r="G26" s="632"/>
      <c r="H26" s="632"/>
      <c r="I26" s="632"/>
      <c r="J26" s="633"/>
      <c r="K26" s="235"/>
    </row>
    <row r="27" spans="1:13" ht="11.25" customHeight="1">
      <c r="A27" s="232"/>
      <c r="B27" s="234"/>
      <c r="C27" s="234"/>
      <c r="D27" s="61"/>
      <c r="E27" s="62"/>
      <c r="F27" s="62"/>
      <c r="G27" s="62"/>
      <c r="H27" s="62"/>
      <c r="I27" s="62"/>
      <c r="J27" s="63"/>
      <c r="K27" s="235"/>
    </row>
    <row r="28" spans="1:13" ht="30" customHeight="1">
      <c r="A28" s="232"/>
      <c r="B28" s="234"/>
      <c r="C28" s="234"/>
      <c r="D28" s="234"/>
      <c r="E28" s="234"/>
      <c r="F28" s="234"/>
      <c r="G28" s="234"/>
      <c r="H28" s="234"/>
      <c r="I28" s="234"/>
      <c r="J28" s="234"/>
      <c r="K28" s="235"/>
    </row>
    <row r="29" spans="1:13" ht="11.25" customHeight="1">
      <c r="A29" s="232"/>
      <c r="B29" s="234"/>
      <c r="C29" s="234"/>
      <c r="D29" s="58"/>
      <c r="E29" s="59"/>
      <c r="F29" s="59"/>
      <c r="G29" s="59"/>
      <c r="H29" s="59"/>
      <c r="I29" s="59"/>
      <c r="J29" s="60"/>
      <c r="K29" s="235"/>
    </row>
    <row r="30" spans="1:13" ht="38.25" customHeight="1">
      <c r="A30" s="232"/>
      <c r="B30" s="234"/>
      <c r="C30" s="234"/>
      <c r="D30" s="634" t="s">
        <v>373</v>
      </c>
      <c r="E30" s="635"/>
      <c r="F30" s="635"/>
      <c r="G30" s="635"/>
      <c r="H30" s="635"/>
      <c r="I30" s="635"/>
      <c r="J30" s="636"/>
      <c r="K30" s="235"/>
    </row>
    <row r="31" spans="1:13" ht="40.5" customHeight="1">
      <c r="A31" s="232"/>
      <c r="B31" s="234"/>
      <c r="C31" s="237"/>
      <c r="D31" s="637"/>
      <c r="E31" s="635"/>
      <c r="F31" s="635"/>
      <c r="G31" s="635"/>
      <c r="H31" s="635"/>
      <c r="I31" s="635"/>
      <c r="J31" s="636"/>
      <c r="K31" s="235"/>
    </row>
    <row r="32" spans="1:13" ht="21" customHeight="1">
      <c r="A32" s="232"/>
      <c r="B32" s="234"/>
      <c r="C32" s="234"/>
      <c r="D32" s="637"/>
      <c r="E32" s="635"/>
      <c r="F32" s="635"/>
      <c r="G32" s="635"/>
      <c r="H32" s="635"/>
      <c r="I32" s="635"/>
      <c r="J32" s="636"/>
      <c r="K32" s="235"/>
    </row>
    <row r="33" spans="1:11" ht="36.75" customHeight="1">
      <c r="A33" s="232"/>
      <c r="B33" s="234"/>
      <c r="C33" s="234"/>
      <c r="D33" s="638" t="s">
        <v>363</v>
      </c>
      <c r="E33" s="639"/>
      <c r="F33" s="639"/>
      <c r="G33" s="639"/>
      <c r="H33" s="639"/>
      <c r="I33" s="639"/>
      <c r="J33" s="640"/>
      <c r="K33" s="235"/>
    </row>
    <row r="34" spans="1:11" ht="8.25" customHeight="1">
      <c r="A34" s="232"/>
      <c r="B34" s="234"/>
      <c r="C34" s="234"/>
      <c r="D34" s="641"/>
      <c r="E34" s="642"/>
      <c r="F34" s="642"/>
      <c r="G34" s="642"/>
      <c r="H34" s="642"/>
      <c r="I34" s="642"/>
      <c r="J34" s="643"/>
      <c r="K34" s="235"/>
    </row>
    <row r="35" spans="1:11" ht="30" customHeight="1">
      <c r="A35" s="232"/>
      <c r="B35" s="234"/>
      <c r="C35" s="234"/>
      <c r="D35" s="238"/>
      <c r="E35" s="238"/>
      <c r="F35" s="238"/>
      <c r="G35" s="238"/>
      <c r="H35" s="238"/>
      <c r="I35" s="238"/>
      <c r="J35" s="238"/>
      <c r="K35" s="235"/>
    </row>
    <row r="36" spans="1:11" ht="11.25" customHeight="1">
      <c r="A36" s="232"/>
      <c r="B36" s="234"/>
      <c r="C36" s="234"/>
      <c r="D36" s="64"/>
      <c r="E36" s="65"/>
      <c r="F36" s="65"/>
      <c r="G36" s="65"/>
      <c r="H36" s="65"/>
      <c r="I36" s="65"/>
      <c r="J36" s="66"/>
      <c r="K36" s="235"/>
    </row>
    <row r="37" spans="1:11" ht="25.5" customHeight="1">
      <c r="A37" s="232"/>
      <c r="B37" s="234"/>
      <c r="C37" s="234"/>
      <c r="D37" s="628" t="s">
        <v>374</v>
      </c>
      <c r="E37" s="629"/>
      <c r="F37" s="629"/>
      <c r="G37" s="629"/>
      <c r="H37" s="629"/>
      <c r="I37" s="629"/>
      <c r="J37" s="630"/>
      <c r="K37" s="235"/>
    </row>
    <row r="38" spans="1:11" ht="40.5" customHeight="1">
      <c r="A38" s="232"/>
      <c r="B38" s="234"/>
      <c r="C38" s="237"/>
      <c r="D38" s="628"/>
      <c r="E38" s="629"/>
      <c r="F38" s="629"/>
      <c r="G38" s="629"/>
      <c r="H38" s="629"/>
      <c r="I38" s="629"/>
      <c r="J38" s="630"/>
      <c r="K38" s="235"/>
    </row>
    <row r="39" spans="1:11" ht="25.5" customHeight="1">
      <c r="A39" s="232"/>
      <c r="B39" s="234"/>
      <c r="C39" s="234"/>
      <c r="D39" s="628"/>
      <c r="E39" s="629"/>
      <c r="F39" s="629"/>
      <c r="G39" s="629"/>
      <c r="H39" s="629"/>
      <c r="I39" s="629"/>
      <c r="J39" s="630"/>
      <c r="K39" s="235"/>
    </row>
    <row r="40" spans="1:11" ht="11.25" customHeight="1">
      <c r="A40" s="232"/>
      <c r="B40" s="234"/>
      <c r="C40" s="234"/>
      <c r="D40" s="61"/>
      <c r="E40" s="62"/>
      <c r="F40" s="62"/>
      <c r="G40" s="62"/>
      <c r="H40" s="62"/>
      <c r="I40" s="62"/>
      <c r="J40" s="63"/>
      <c r="K40" s="235"/>
    </row>
    <row r="41" spans="1:11" ht="17.25" customHeight="1">
      <c r="A41" s="232"/>
      <c r="B41" s="234"/>
      <c r="C41" s="234"/>
      <c r="D41" s="238"/>
      <c r="E41" s="238"/>
      <c r="F41" s="238"/>
      <c r="G41" s="238"/>
      <c r="H41" s="238"/>
      <c r="I41" s="238"/>
      <c r="J41" s="238"/>
      <c r="K41" s="235"/>
    </row>
    <row r="42" spans="1:11" ht="11.25" customHeight="1">
      <c r="A42" s="239"/>
      <c r="B42" s="240"/>
      <c r="C42" s="240"/>
      <c r="D42" s="240"/>
      <c r="E42" s="240"/>
      <c r="F42" s="240"/>
      <c r="G42" s="240"/>
      <c r="H42" s="240"/>
      <c r="I42" s="240"/>
      <c r="J42" s="240"/>
      <c r="K42" s="241"/>
    </row>
    <row r="43" spans="1:11" ht="27" customHeight="1">
      <c r="B43" s="624" t="s">
        <v>150</v>
      </c>
      <c r="C43" s="624"/>
    </row>
    <row r="44" spans="1:11" ht="6.75" customHeight="1"/>
    <row r="45" spans="1:11" ht="18.75" customHeight="1"/>
    <row r="46" spans="1:11" ht="30" customHeight="1">
      <c r="B46" s="54" t="s">
        <v>301</v>
      </c>
      <c r="C46" s="54"/>
      <c r="D46" s="54"/>
      <c r="E46" s="54"/>
      <c r="F46" s="54"/>
      <c r="G46" s="54"/>
      <c r="H46" s="54"/>
      <c r="I46" s="54"/>
      <c r="J46" s="54"/>
      <c r="K46" s="54"/>
    </row>
    <row r="47" spans="1:11" ht="18.75" customHeight="1">
      <c r="B47" s="54"/>
      <c r="C47" s="54"/>
      <c r="D47" s="54"/>
      <c r="E47" s="54"/>
      <c r="F47" s="54"/>
      <c r="G47" s="54"/>
      <c r="H47" s="54"/>
      <c r="I47" s="54"/>
      <c r="J47" s="54"/>
      <c r="K47" s="54"/>
    </row>
    <row r="48" spans="1:11" ht="41.25" customHeight="1">
      <c r="B48" s="54"/>
      <c r="C48" s="54"/>
      <c r="D48" s="54"/>
      <c r="E48" s="54"/>
      <c r="F48" s="54"/>
      <c r="G48" s="54"/>
      <c r="H48" s="54"/>
      <c r="I48" s="54"/>
      <c r="J48" s="54"/>
      <c r="K48" s="54"/>
    </row>
    <row r="49" spans="2:11" ht="18.75" customHeight="1">
      <c r="B49" s="54" t="s">
        <v>151</v>
      </c>
      <c r="C49" s="54"/>
      <c r="D49" s="54"/>
      <c r="E49" s="54"/>
      <c r="F49" s="54"/>
      <c r="G49" s="54"/>
      <c r="H49" s="54"/>
      <c r="I49" s="54"/>
      <c r="J49" s="54"/>
      <c r="K49" s="54"/>
    </row>
    <row r="50" spans="2:11" ht="18.75" customHeight="1">
      <c r="B50" s="54"/>
      <c r="C50" s="54"/>
      <c r="D50" s="54"/>
      <c r="E50" s="54"/>
      <c r="F50" s="54"/>
      <c r="G50" s="54"/>
      <c r="H50" s="54"/>
      <c r="I50" s="54"/>
      <c r="J50" s="54"/>
      <c r="K50" s="54"/>
    </row>
    <row r="51" spans="2:11" ht="30" customHeight="1">
      <c r="B51" s="54" t="s">
        <v>354</v>
      </c>
      <c r="C51" s="54"/>
      <c r="D51" s="54"/>
      <c r="E51" s="54"/>
      <c r="F51" s="54"/>
      <c r="G51" s="54"/>
      <c r="H51" s="54"/>
      <c r="I51" s="54"/>
      <c r="J51" s="54"/>
      <c r="K51" s="54"/>
    </row>
    <row r="52" spans="2:11" ht="30" customHeight="1">
      <c r="B52" s="54" t="s">
        <v>375</v>
      </c>
      <c r="C52" s="54"/>
      <c r="D52" s="54"/>
      <c r="E52" s="54"/>
      <c r="F52" s="54"/>
      <c r="G52" s="54"/>
      <c r="H52" s="54"/>
      <c r="I52" s="54"/>
      <c r="J52" s="54"/>
      <c r="K52" s="54"/>
    </row>
    <row r="53" spans="2:11" ht="30" customHeight="1">
      <c r="B53" s="54" t="s">
        <v>376</v>
      </c>
      <c r="C53" s="54"/>
      <c r="D53" s="54"/>
      <c r="E53" s="54"/>
      <c r="F53" s="54"/>
      <c r="G53" s="54"/>
      <c r="H53" s="54"/>
      <c r="I53" s="54"/>
      <c r="J53" s="54"/>
      <c r="K53" s="54"/>
    </row>
    <row r="54" spans="2:11" ht="30" customHeight="1">
      <c r="B54" s="54" t="s">
        <v>338</v>
      </c>
      <c r="C54" s="54"/>
      <c r="D54" s="54"/>
      <c r="E54" s="54"/>
      <c r="F54" s="54"/>
      <c r="G54" s="54"/>
      <c r="H54" s="54"/>
      <c r="I54" s="54"/>
      <c r="J54" s="54"/>
      <c r="K54" s="54"/>
    </row>
    <row r="55" spans="2:11" ht="33.75" customHeight="1">
      <c r="B55" s="54" t="s">
        <v>339</v>
      </c>
      <c r="C55" s="54"/>
      <c r="D55" s="54"/>
      <c r="E55" s="54"/>
      <c r="F55" s="54"/>
      <c r="G55" s="54"/>
      <c r="H55" s="54"/>
      <c r="I55" s="54"/>
      <c r="J55" s="54"/>
      <c r="K55" s="54"/>
    </row>
    <row r="56" spans="2:11" ht="33.75" customHeight="1">
      <c r="B56" s="54"/>
      <c r="C56" s="54"/>
      <c r="D56" s="54"/>
      <c r="E56" s="54"/>
      <c r="F56" s="54"/>
      <c r="G56" s="54"/>
      <c r="H56" s="54"/>
      <c r="I56" s="54"/>
      <c r="J56" s="54"/>
      <c r="K56" s="54"/>
    </row>
    <row r="57" spans="2:11" ht="24.75" customHeight="1">
      <c r="B57" s="54"/>
      <c r="C57" s="54"/>
      <c r="D57" s="54"/>
      <c r="E57" s="54"/>
      <c r="F57" s="54"/>
      <c r="G57" s="54"/>
      <c r="H57" s="54"/>
      <c r="I57" s="54"/>
      <c r="J57" s="54"/>
      <c r="K57" s="54"/>
    </row>
    <row r="58" spans="2:11" ht="18.75" customHeight="1">
      <c r="B58" s="54" t="s">
        <v>152</v>
      </c>
      <c r="C58" s="54"/>
      <c r="D58" s="54"/>
      <c r="E58" s="54"/>
      <c r="F58" s="54"/>
      <c r="G58" s="54"/>
      <c r="H58" s="54"/>
      <c r="I58" s="54"/>
      <c r="J58" s="54"/>
      <c r="K58" s="54"/>
    </row>
    <row r="59" spans="2:11" ht="18.75" customHeight="1">
      <c r="B59" s="54"/>
      <c r="C59" s="54"/>
      <c r="D59" s="54"/>
      <c r="E59" s="54"/>
      <c r="F59" s="54"/>
      <c r="G59" s="54"/>
      <c r="H59" s="54"/>
      <c r="I59" s="54"/>
      <c r="J59" s="54"/>
      <c r="K59" s="54"/>
    </row>
    <row r="60" spans="2:11" ht="26.25" customHeight="1">
      <c r="B60" s="226" t="s">
        <v>377</v>
      </c>
      <c r="C60" s="54"/>
      <c r="D60" s="54"/>
      <c r="E60" s="54"/>
      <c r="F60" s="54"/>
      <c r="G60" s="54"/>
      <c r="H60" s="54"/>
      <c r="I60" s="54"/>
      <c r="J60" s="54"/>
      <c r="K60" s="54"/>
    </row>
    <row r="61" spans="2:11" ht="24.75" customHeight="1">
      <c r="B61" s="54" t="s">
        <v>337</v>
      </c>
      <c r="C61" s="54"/>
      <c r="D61" s="54"/>
      <c r="E61" s="54"/>
      <c r="F61" s="54"/>
      <c r="G61" s="54"/>
      <c r="H61" s="54"/>
      <c r="I61" s="54"/>
      <c r="J61" s="54"/>
      <c r="K61" s="54"/>
    </row>
    <row r="62" spans="2:11" ht="24.75" customHeight="1">
      <c r="B62" s="54"/>
      <c r="C62" s="54"/>
      <c r="D62" s="54"/>
      <c r="E62" s="54"/>
      <c r="F62" s="54"/>
      <c r="G62" s="54"/>
      <c r="H62" s="54"/>
      <c r="I62" s="54"/>
      <c r="J62" s="54"/>
      <c r="K62" s="54"/>
    </row>
    <row r="63" spans="2:11" ht="24.75" customHeight="1">
      <c r="B63" s="54"/>
      <c r="C63" s="54"/>
      <c r="D63" s="54"/>
      <c r="E63" s="54"/>
      <c r="F63" s="54"/>
      <c r="G63" s="54"/>
      <c r="H63" s="54"/>
      <c r="I63" s="54"/>
      <c r="J63" s="54"/>
      <c r="K63" s="54"/>
    </row>
    <row r="64" spans="2:11" ht="18.75" customHeight="1">
      <c r="B64" s="54" t="s">
        <v>153</v>
      </c>
      <c r="C64" s="54"/>
      <c r="D64" s="54"/>
      <c r="E64" s="54"/>
      <c r="F64" s="54"/>
      <c r="G64" s="54"/>
      <c r="H64" s="54"/>
      <c r="I64" s="54"/>
      <c r="J64" s="54"/>
      <c r="K64" s="54"/>
    </row>
    <row r="65" spans="2:11" ht="18.75" customHeight="1">
      <c r="B65" s="54"/>
      <c r="C65" s="54"/>
      <c r="D65" s="54"/>
      <c r="E65" s="54"/>
      <c r="F65" s="54"/>
      <c r="G65" s="54"/>
      <c r="H65" s="54"/>
      <c r="I65" s="54"/>
      <c r="J65" s="54"/>
      <c r="K65" s="54"/>
    </row>
    <row r="66" spans="2:11" ht="30" customHeight="1">
      <c r="B66" s="54" t="s">
        <v>384</v>
      </c>
      <c r="C66" s="54"/>
      <c r="D66" s="54"/>
      <c r="E66" s="54"/>
      <c r="F66" s="54"/>
      <c r="G66" s="54"/>
      <c r="H66" s="54"/>
      <c r="I66" s="54"/>
      <c r="J66" s="54"/>
      <c r="K66" s="54"/>
    </row>
    <row r="67" spans="2:11" ht="30" customHeight="1">
      <c r="B67" s="54" t="s">
        <v>385</v>
      </c>
      <c r="C67" s="54"/>
      <c r="D67" s="54"/>
      <c r="E67" s="54"/>
      <c r="F67" s="54"/>
      <c r="G67" s="54"/>
      <c r="H67" s="54"/>
      <c r="I67" s="54"/>
      <c r="J67" s="54"/>
      <c r="K67" s="54"/>
    </row>
    <row r="68" spans="2:11" ht="30" customHeight="1">
      <c r="B68" s="54" t="s">
        <v>386</v>
      </c>
    </row>
    <row r="69" spans="2:11" ht="30" customHeight="1">
      <c r="B69" s="54" t="s">
        <v>382</v>
      </c>
    </row>
    <row r="70" spans="2:11" ht="30" customHeight="1">
      <c r="B70" s="54" t="s">
        <v>383</v>
      </c>
      <c r="C70" s="54"/>
      <c r="D70" s="54"/>
      <c r="E70" s="54"/>
      <c r="F70" s="54"/>
      <c r="G70" s="54"/>
      <c r="H70" s="54"/>
      <c r="I70" s="54"/>
      <c r="J70" s="54"/>
      <c r="K70" s="54"/>
    </row>
    <row r="71" spans="2:11" ht="30" customHeight="1">
      <c r="B71" s="54" t="s">
        <v>351</v>
      </c>
      <c r="C71" s="54"/>
      <c r="D71" s="54"/>
      <c r="E71" s="54"/>
      <c r="F71" s="54"/>
      <c r="G71" s="54"/>
      <c r="H71" s="54"/>
      <c r="I71" s="54"/>
      <c r="J71" s="54"/>
      <c r="K71" s="54"/>
    </row>
    <row r="72" spans="2:11" ht="30" customHeight="1">
      <c r="B72" s="54" t="s">
        <v>381</v>
      </c>
      <c r="C72" s="54"/>
      <c r="D72" s="54"/>
      <c r="E72" s="54"/>
      <c r="F72" s="54"/>
      <c r="G72" s="54"/>
      <c r="H72" s="54"/>
      <c r="I72" s="54"/>
      <c r="J72" s="54"/>
      <c r="K72" s="54"/>
    </row>
    <row r="81" spans="2:12" ht="27" customHeight="1">
      <c r="B81" s="624" t="s">
        <v>154</v>
      </c>
      <c r="C81" s="624"/>
    </row>
    <row r="82" spans="2:12" ht="6.75" customHeight="1"/>
    <row r="83" spans="2:12" ht="18.75" customHeight="1"/>
    <row r="84" spans="2:12" ht="24" customHeight="1">
      <c r="B84" s="435" t="s">
        <v>328</v>
      </c>
      <c r="C84" s="352"/>
      <c r="D84" s="352"/>
      <c r="E84" s="352"/>
      <c r="F84" s="352"/>
      <c r="G84" s="352"/>
      <c r="H84" s="352"/>
      <c r="I84" s="352"/>
      <c r="J84" s="352"/>
      <c r="K84" s="54"/>
      <c r="L84" s="54"/>
    </row>
    <row r="85" spans="2:12" ht="16.5" customHeight="1">
      <c r="B85" s="435"/>
      <c r="C85" s="352"/>
      <c r="D85" s="352"/>
      <c r="E85" s="352"/>
      <c r="F85" s="352"/>
      <c r="G85" s="352"/>
      <c r="H85" s="352"/>
      <c r="I85" s="352"/>
      <c r="J85" s="352"/>
      <c r="K85" s="54"/>
      <c r="L85" s="54"/>
    </row>
    <row r="86" spans="2:12" ht="16.5" customHeight="1">
      <c r="B86" s="435"/>
      <c r="C86" s="352"/>
      <c r="D86" s="352"/>
      <c r="E86" s="352"/>
      <c r="F86" s="352"/>
      <c r="G86" s="352"/>
      <c r="H86" s="352"/>
      <c r="I86" s="352"/>
      <c r="J86" s="352"/>
      <c r="K86" s="54"/>
      <c r="L86" s="54"/>
    </row>
    <row r="87" spans="2:12" ht="24" customHeight="1">
      <c r="B87" s="435" t="s">
        <v>155</v>
      </c>
      <c r="C87" s="352"/>
      <c r="D87" s="352"/>
      <c r="E87" s="352"/>
      <c r="F87" s="352"/>
      <c r="G87" s="352"/>
      <c r="H87" s="352"/>
      <c r="I87" s="352"/>
      <c r="J87" s="352"/>
      <c r="K87" s="54"/>
      <c r="L87" s="54"/>
    </row>
    <row r="88" spans="2:12" ht="24" customHeight="1">
      <c r="B88" s="435" t="s">
        <v>345</v>
      </c>
      <c r="C88" s="352"/>
      <c r="D88" s="352"/>
      <c r="E88" s="352"/>
      <c r="F88" s="352"/>
      <c r="G88" s="352"/>
      <c r="H88" s="352"/>
      <c r="I88" s="352"/>
      <c r="J88" s="352"/>
      <c r="K88" s="54"/>
      <c r="L88" s="54"/>
    </row>
    <row r="89" spans="2:12" ht="24" customHeight="1">
      <c r="B89" s="435" t="s">
        <v>347</v>
      </c>
      <c r="C89" s="352"/>
      <c r="D89" s="352"/>
      <c r="E89" s="352"/>
      <c r="F89" s="352"/>
      <c r="G89" s="352"/>
      <c r="H89" s="352"/>
      <c r="I89" s="352"/>
      <c r="J89" s="352"/>
      <c r="K89" s="54"/>
      <c r="L89" s="54"/>
    </row>
    <row r="90" spans="2:12" ht="24" customHeight="1">
      <c r="B90" s="435" t="s">
        <v>346</v>
      </c>
      <c r="C90" s="352"/>
      <c r="D90" s="352"/>
      <c r="E90" s="352"/>
      <c r="F90" s="352"/>
      <c r="G90" s="352"/>
      <c r="H90" s="352"/>
      <c r="I90" s="352"/>
      <c r="J90" s="352"/>
      <c r="K90" s="54"/>
      <c r="L90" s="54"/>
    </row>
    <row r="91" spans="2:12" ht="18" customHeight="1">
      <c r="B91" s="435"/>
      <c r="C91" s="352"/>
      <c r="D91" s="352"/>
      <c r="E91" s="352"/>
      <c r="F91" s="352"/>
      <c r="G91" s="352"/>
      <c r="H91" s="352"/>
      <c r="I91" s="352"/>
      <c r="J91" s="352"/>
      <c r="K91" s="54"/>
      <c r="L91" s="54"/>
    </row>
    <row r="92" spans="2:12" ht="18" customHeight="1">
      <c r="B92" s="435"/>
      <c r="C92" s="352"/>
      <c r="D92" s="352"/>
      <c r="E92" s="352"/>
      <c r="F92" s="352"/>
      <c r="G92" s="352"/>
      <c r="H92" s="352"/>
      <c r="I92" s="352"/>
      <c r="J92" s="352"/>
      <c r="K92" s="54"/>
      <c r="L92" s="54"/>
    </row>
    <row r="93" spans="2:12" ht="24" customHeight="1">
      <c r="B93" s="435" t="s">
        <v>176</v>
      </c>
      <c r="C93" s="352"/>
      <c r="D93" s="352"/>
      <c r="E93" s="352"/>
      <c r="F93" s="352"/>
      <c r="G93" s="352"/>
      <c r="H93" s="352"/>
      <c r="I93" s="352"/>
      <c r="J93" s="352"/>
      <c r="K93" s="54"/>
      <c r="L93" s="54"/>
    </row>
    <row r="94" spans="2:12" ht="24" customHeight="1">
      <c r="B94" s="435" t="s">
        <v>349</v>
      </c>
      <c r="C94" s="352"/>
      <c r="D94" s="352"/>
      <c r="E94" s="352"/>
      <c r="F94" s="352"/>
      <c r="G94" s="352"/>
      <c r="H94" s="352"/>
      <c r="I94" s="352"/>
      <c r="J94" s="352"/>
      <c r="K94" s="54"/>
      <c r="L94" s="54"/>
    </row>
    <row r="95" spans="2:12" ht="24" customHeight="1">
      <c r="B95" s="435" t="s">
        <v>348</v>
      </c>
      <c r="C95" s="352"/>
      <c r="D95" s="352"/>
      <c r="E95" s="352"/>
      <c r="F95" s="352"/>
      <c r="G95" s="352"/>
      <c r="H95" s="352"/>
      <c r="I95" s="352"/>
      <c r="J95" s="352"/>
      <c r="K95" s="54"/>
      <c r="L95" s="54"/>
    </row>
    <row r="96" spans="2:12" ht="18" customHeight="1">
      <c r="B96" s="435"/>
      <c r="C96" s="352"/>
      <c r="D96" s="352"/>
      <c r="E96" s="352"/>
      <c r="F96" s="352"/>
      <c r="G96" s="352"/>
      <c r="H96" s="352"/>
      <c r="I96" s="352"/>
      <c r="J96" s="352"/>
      <c r="K96" s="54"/>
      <c r="L96" s="54"/>
    </row>
    <row r="97" spans="2:12" ht="18" customHeight="1">
      <c r="B97" s="435"/>
      <c r="C97" s="352"/>
      <c r="D97" s="352"/>
      <c r="E97" s="352"/>
      <c r="F97" s="352"/>
      <c r="G97" s="352"/>
      <c r="H97" s="352"/>
      <c r="I97" s="352"/>
      <c r="J97" s="352"/>
      <c r="K97" s="54"/>
      <c r="L97" s="54"/>
    </row>
    <row r="98" spans="2:12" ht="24" customHeight="1">
      <c r="B98" s="435" t="s">
        <v>156</v>
      </c>
      <c r="C98" s="352"/>
      <c r="D98" s="352"/>
      <c r="E98" s="352"/>
      <c r="F98" s="352"/>
      <c r="G98" s="352"/>
      <c r="H98" s="352"/>
      <c r="I98" s="352"/>
      <c r="J98" s="352"/>
      <c r="K98" s="54"/>
      <c r="L98" s="54"/>
    </row>
    <row r="99" spans="2:12" ht="24" customHeight="1">
      <c r="B99" s="435" t="s">
        <v>340</v>
      </c>
      <c r="C99" s="352"/>
      <c r="D99" s="352"/>
      <c r="E99" s="352"/>
      <c r="F99" s="352"/>
      <c r="G99" s="352"/>
      <c r="H99" s="352"/>
      <c r="I99" s="352"/>
      <c r="J99" s="352"/>
      <c r="K99" s="54"/>
      <c r="L99" s="54"/>
    </row>
    <row r="100" spans="2:12" ht="24.75" customHeight="1">
      <c r="B100" s="435" t="s">
        <v>341</v>
      </c>
      <c r="C100" s="352"/>
      <c r="D100" s="352"/>
      <c r="E100" s="352"/>
      <c r="F100" s="352"/>
      <c r="G100" s="352"/>
      <c r="H100" s="352"/>
      <c r="I100" s="352"/>
      <c r="J100" s="352"/>
      <c r="K100" s="54"/>
      <c r="L100" s="54"/>
    </row>
    <row r="101" spans="2:12" ht="18" customHeight="1">
      <c r="B101" s="435"/>
      <c r="C101" s="352"/>
      <c r="D101" s="352"/>
      <c r="E101" s="352"/>
      <c r="F101" s="352"/>
      <c r="G101" s="352"/>
      <c r="H101" s="352"/>
      <c r="I101" s="352"/>
      <c r="J101" s="352"/>
      <c r="K101" s="54"/>
      <c r="L101" s="54"/>
    </row>
    <row r="102" spans="2:12" s="118" customFormat="1" ht="18" customHeight="1">
      <c r="B102" s="435"/>
      <c r="C102" s="352"/>
      <c r="D102" s="352"/>
      <c r="E102" s="352"/>
      <c r="F102" s="352"/>
      <c r="G102" s="352"/>
      <c r="H102" s="352"/>
      <c r="I102" s="352"/>
      <c r="J102" s="352"/>
      <c r="K102" s="67"/>
      <c r="L102" s="67"/>
    </row>
    <row r="103" spans="2:12" s="118" customFormat="1" ht="24" customHeight="1">
      <c r="B103" s="435" t="s">
        <v>157</v>
      </c>
      <c r="C103" s="353"/>
      <c r="D103" s="353"/>
      <c r="E103" s="353"/>
      <c r="F103" s="353"/>
      <c r="G103" s="353"/>
      <c r="H103" s="353"/>
      <c r="I103" s="353"/>
      <c r="J103" s="353"/>
      <c r="K103" s="67"/>
      <c r="L103" s="67"/>
    </row>
    <row r="104" spans="2:12" ht="24" customHeight="1">
      <c r="B104" s="436" t="s">
        <v>329</v>
      </c>
      <c r="C104" s="353"/>
      <c r="D104" s="353"/>
      <c r="E104" s="353"/>
      <c r="F104" s="353"/>
      <c r="G104" s="353"/>
      <c r="H104" s="353"/>
      <c r="I104" s="353"/>
      <c r="J104" s="353"/>
      <c r="K104" s="67"/>
      <c r="L104" s="54"/>
    </row>
    <row r="105" spans="2:12" ht="18" customHeight="1">
      <c r="B105" s="435"/>
      <c r="C105" s="352"/>
      <c r="D105" s="352"/>
      <c r="E105" s="352"/>
      <c r="F105" s="352"/>
      <c r="G105" s="352"/>
      <c r="H105" s="352"/>
      <c r="I105" s="352"/>
      <c r="J105" s="352"/>
      <c r="K105" s="54"/>
      <c r="L105" s="54"/>
    </row>
    <row r="106" spans="2:12" ht="18" customHeight="1">
      <c r="B106" s="435"/>
      <c r="C106" s="352"/>
      <c r="D106" s="352"/>
      <c r="E106" s="352"/>
      <c r="F106" s="352"/>
      <c r="G106" s="352"/>
      <c r="H106" s="352"/>
      <c r="I106" s="352"/>
      <c r="J106" s="352"/>
      <c r="K106" s="54"/>
      <c r="L106" s="54"/>
    </row>
    <row r="107" spans="2:12" ht="18" customHeight="1">
      <c r="B107" s="435" t="s">
        <v>158</v>
      </c>
      <c r="C107" s="352"/>
      <c r="D107" s="352"/>
      <c r="E107" s="352"/>
      <c r="F107" s="352"/>
      <c r="G107" s="352"/>
      <c r="H107" s="352"/>
      <c r="I107" s="352"/>
      <c r="J107" s="352"/>
      <c r="K107" s="54"/>
      <c r="L107" s="54"/>
    </row>
    <row r="108" spans="2:12" ht="24" customHeight="1">
      <c r="B108" s="435" t="s">
        <v>343</v>
      </c>
      <c r="C108" s="352"/>
      <c r="D108" s="352"/>
      <c r="E108" s="352"/>
      <c r="F108" s="352"/>
      <c r="G108" s="352"/>
      <c r="H108" s="352"/>
      <c r="I108" s="352"/>
      <c r="J108" s="352"/>
      <c r="K108" s="54"/>
      <c r="L108" s="54"/>
    </row>
    <row r="109" spans="2:12" ht="24" customHeight="1">
      <c r="B109" s="435" t="s">
        <v>342</v>
      </c>
      <c r="C109" s="352"/>
      <c r="D109" s="352"/>
      <c r="E109" s="352"/>
      <c r="F109" s="352"/>
      <c r="G109" s="352"/>
      <c r="H109" s="352"/>
      <c r="I109" s="352"/>
      <c r="J109" s="352"/>
      <c r="K109" s="54"/>
      <c r="L109" s="54"/>
    </row>
    <row r="110" spans="2:12" ht="18" customHeight="1">
      <c r="B110" s="435"/>
      <c r="C110" s="353"/>
      <c r="D110" s="353"/>
      <c r="E110" s="353"/>
      <c r="F110" s="353"/>
      <c r="G110" s="353"/>
      <c r="H110" s="353"/>
      <c r="I110" s="353"/>
      <c r="J110" s="353"/>
      <c r="K110" s="54"/>
      <c r="L110" s="54"/>
    </row>
    <row r="111" spans="2:12" ht="18" customHeight="1">
      <c r="B111" s="435"/>
      <c r="C111" s="352"/>
      <c r="D111" s="352"/>
      <c r="E111" s="352"/>
      <c r="F111" s="352"/>
      <c r="G111" s="352"/>
      <c r="H111" s="352"/>
      <c r="I111" s="352"/>
      <c r="J111" s="352"/>
      <c r="K111" s="54"/>
      <c r="L111" s="54"/>
    </row>
    <row r="112" spans="2:12" ht="18" customHeight="1">
      <c r="B112" s="436" t="s">
        <v>159</v>
      </c>
      <c r="C112" s="353"/>
      <c r="D112" s="353"/>
      <c r="E112" s="353"/>
      <c r="F112" s="353"/>
      <c r="G112" s="353"/>
      <c r="H112" s="353"/>
      <c r="I112" s="353"/>
      <c r="J112" s="353"/>
      <c r="K112" s="54"/>
      <c r="L112" s="54"/>
    </row>
    <row r="113" spans="2:12" ht="24" customHeight="1">
      <c r="B113" s="436" t="s">
        <v>364</v>
      </c>
      <c r="C113" s="54"/>
      <c r="D113" s="54"/>
      <c r="E113" s="54"/>
      <c r="F113" s="54"/>
      <c r="G113" s="54"/>
      <c r="H113" s="54"/>
      <c r="I113" s="54"/>
      <c r="J113" s="54"/>
      <c r="K113" s="54"/>
      <c r="L113" s="54"/>
    </row>
    <row r="114" spans="2:12" ht="24" customHeight="1">
      <c r="B114" s="54" t="s">
        <v>366</v>
      </c>
      <c r="C114" s="54"/>
      <c r="D114" s="54"/>
      <c r="E114" s="54"/>
      <c r="F114" s="54"/>
      <c r="G114" s="54"/>
      <c r="H114" s="54"/>
      <c r="I114" s="54"/>
      <c r="J114" s="54"/>
      <c r="K114" s="54"/>
      <c r="L114" s="54"/>
    </row>
    <row r="115" spans="2:12" ht="24" customHeight="1">
      <c r="B115" s="436" t="s">
        <v>365</v>
      </c>
      <c r="C115" s="353"/>
      <c r="D115" s="353"/>
      <c r="E115" s="353"/>
      <c r="F115" s="353"/>
      <c r="G115" s="353"/>
      <c r="H115" s="353"/>
      <c r="I115" s="353"/>
      <c r="J115" s="353"/>
      <c r="K115" s="54"/>
      <c r="L115" s="54"/>
    </row>
    <row r="116" spans="2:12" ht="24" customHeight="1">
      <c r="B116" s="435" t="s">
        <v>352</v>
      </c>
      <c r="C116" s="353"/>
      <c r="D116" s="353"/>
      <c r="E116" s="353"/>
      <c r="F116" s="353"/>
      <c r="G116" s="353"/>
      <c r="H116" s="353"/>
      <c r="I116" s="353"/>
      <c r="J116" s="353"/>
      <c r="K116" s="54"/>
      <c r="L116" s="54"/>
    </row>
    <row r="117" spans="2:12" ht="24" customHeight="1">
      <c r="B117" s="436" t="s">
        <v>350</v>
      </c>
      <c r="C117" s="353"/>
      <c r="D117" s="353"/>
      <c r="E117" s="353"/>
      <c r="F117" s="353"/>
      <c r="G117" s="353"/>
      <c r="H117" s="353"/>
      <c r="I117" s="353"/>
      <c r="J117" s="353"/>
      <c r="K117" s="54"/>
      <c r="L117" s="54"/>
    </row>
    <row r="118" spans="2:12" ht="24" customHeight="1">
      <c r="B118" s="353"/>
      <c r="C118" s="353"/>
      <c r="D118" s="353"/>
      <c r="E118" s="353"/>
      <c r="F118" s="353"/>
      <c r="G118" s="353"/>
      <c r="H118" s="353"/>
      <c r="I118" s="353"/>
      <c r="J118" s="353"/>
      <c r="K118" s="54"/>
      <c r="L118" s="54"/>
    </row>
    <row r="119" spans="2:12">
      <c r="B119" s="54"/>
      <c r="C119" s="54"/>
      <c r="D119" s="54"/>
      <c r="E119" s="54"/>
      <c r="F119" s="54"/>
      <c r="G119" s="54"/>
      <c r="H119" s="54"/>
      <c r="I119" s="54"/>
      <c r="J119" s="54"/>
      <c r="K119" s="54"/>
      <c r="L119" s="54"/>
    </row>
    <row r="120" spans="2:12" ht="27" customHeight="1">
      <c r="B120" s="624" t="s">
        <v>160</v>
      </c>
      <c r="C120" s="624"/>
      <c r="D120" s="624"/>
    </row>
    <row r="121" spans="2:12" ht="10.5" customHeight="1"/>
    <row r="122" spans="2:12" ht="42" customHeight="1">
      <c r="B122" s="646" t="s">
        <v>378</v>
      </c>
      <c r="C122" s="646"/>
      <c r="D122" s="646"/>
      <c r="E122" s="646"/>
      <c r="F122" s="646"/>
      <c r="G122" s="646"/>
      <c r="H122" s="646"/>
      <c r="I122" s="646"/>
      <c r="J122" s="646"/>
    </row>
    <row r="123" spans="2:12" ht="18.75" customHeight="1"/>
    <row r="124" spans="2:12" ht="18.75" customHeight="1">
      <c r="B124" s="57" t="s">
        <v>161</v>
      </c>
    </row>
    <row r="125" spans="2:12">
      <c r="J125" s="68"/>
    </row>
    <row r="137" spans="2:25" ht="23.25" customHeight="1"/>
    <row r="138" spans="2:25" ht="30" customHeight="1"/>
    <row r="139" spans="2:25" ht="27" customHeight="1">
      <c r="B139" s="648" t="s">
        <v>263</v>
      </c>
      <c r="C139" s="648"/>
      <c r="D139" s="648"/>
      <c r="E139" s="648"/>
      <c r="F139" s="648"/>
      <c r="G139" s="648"/>
      <c r="H139" s="242"/>
    </row>
    <row r="140" spans="2:25" ht="6.75" customHeight="1"/>
    <row r="141" spans="2:25" ht="30" customHeight="1">
      <c r="B141" s="54" t="s">
        <v>367</v>
      </c>
      <c r="N141" s="647"/>
      <c r="O141" s="647"/>
      <c r="P141" s="647"/>
      <c r="Q141" s="647"/>
      <c r="R141" s="647"/>
      <c r="S141" s="647"/>
      <c r="T141" s="647"/>
      <c r="U141" s="647"/>
      <c r="V141" s="647"/>
      <c r="W141" s="647"/>
      <c r="X141" s="647"/>
      <c r="Y141" s="647"/>
    </row>
    <row r="142" spans="2:25" ht="30" customHeight="1">
      <c r="B142" s="54" t="s">
        <v>368</v>
      </c>
      <c r="N142" s="647"/>
      <c r="O142" s="647"/>
      <c r="P142" s="647"/>
      <c r="Q142" s="647"/>
      <c r="R142" s="647"/>
      <c r="S142" s="647"/>
      <c r="T142" s="647"/>
      <c r="U142" s="647"/>
      <c r="V142" s="647"/>
      <c r="W142" s="647"/>
      <c r="X142" s="647"/>
      <c r="Y142" s="647"/>
    </row>
    <row r="143" spans="2:25" ht="30" customHeight="1">
      <c r="B143" s="54" t="s">
        <v>369</v>
      </c>
      <c r="N143" s="231"/>
      <c r="O143" s="231"/>
      <c r="P143" s="231"/>
      <c r="Q143" s="231"/>
      <c r="R143" s="231"/>
      <c r="S143" s="231"/>
      <c r="T143" s="231"/>
      <c r="U143" s="231"/>
      <c r="V143" s="231"/>
      <c r="W143" s="231"/>
      <c r="X143" s="231"/>
      <c r="Y143" s="231"/>
    </row>
    <row r="144" spans="2:25" ht="30" customHeight="1">
      <c r="B144" s="54" t="s">
        <v>379</v>
      </c>
      <c r="N144" s="406"/>
      <c r="O144" s="406"/>
      <c r="P144" s="406"/>
      <c r="Q144" s="406"/>
      <c r="R144" s="406"/>
      <c r="S144" s="406"/>
      <c r="T144" s="406"/>
      <c r="U144" s="406"/>
      <c r="V144" s="406"/>
      <c r="W144" s="406"/>
      <c r="X144" s="406"/>
      <c r="Y144" s="406"/>
    </row>
    <row r="145" spans="1:25" ht="30" customHeight="1">
      <c r="B145" s="260"/>
      <c r="N145" s="433"/>
      <c r="O145" s="433"/>
      <c r="P145" s="433"/>
      <c r="Q145" s="433"/>
      <c r="R145" s="433"/>
      <c r="S145" s="433"/>
      <c r="T145" s="433"/>
      <c r="U145" s="433"/>
      <c r="V145" s="433"/>
      <c r="W145" s="433"/>
      <c r="X145" s="433"/>
      <c r="Y145" s="433"/>
    </row>
    <row r="146" spans="1:25" ht="30" customHeight="1"/>
    <row r="147" spans="1:25" ht="27" customHeight="1">
      <c r="A147" s="79"/>
      <c r="B147" s="645" t="s">
        <v>174</v>
      </c>
      <c r="C147" s="645"/>
      <c r="D147" s="645"/>
      <c r="E147" s="79"/>
      <c r="F147" s="79"/>
      <c r="G147" s="79"/>
      <c r="H147" s="79"/>
      <c r="I147" s="79"/>
      <c r="J147" s="79"/>
      <c r="K147" s="79"/>
    </row>
    <row r="148" spans="1:25" ht="6.75" customHeight="1">
      <c r="A148" s="79"/>
      <c r="B148" s="79"/>
      <c r="C148" s="79"/>
      <c r="D148" s="79"/>
      <c r="E148" s="79"/>
      <c r="F148" s="79"/>
      <c r="G148" s="79"/>
      <c r="H148" s="79"/>
      <c r="I148" s="79"/>
      <c r="J148" s="79"/>
      <c r="K148" s="79"/>
    </row>
    <row r="149" spans="1:25" s="93" customFormat="1" ht="27" customHeight="1">
      <c r="A149" s="92"/>
      <c r="B149" s="434" t="s">
        <v>380</v>
      </c>
      <c r="C149" s="79"/>
      <c r="D149" s="79"/>
      <c r="E149" s="79"/>
      <c r="F149" s="79"/>
      <c r="G149" s="92"/>
      <c r="H149" s="92"/>
      <c r="I149" s="92"/>
      <c r="J149" s="92"/>
      <c r="K149" s="92"/>
      <c r="N149" s="644"/>
      <c r="O149" s="644"/>
      <c r="P149" s="644"/>
      <c r="Q149" s="644"/>
      <c r="R149" s="644"/>
      <c r="S149" s="644"/>
      <c r="T149" s="644"/>
    </row>
    <row r="150" spans="1:25" s="93" customFormat="1" ht="27" customHeight="1">
      <c r="A150" s="92"/>
      <c r="B150" s="434" t="s">
        <v>303</v>
      </c>
      <c r="C150" s="79"/>
      <c r="D150" s="79"/>
      <c r="E150" s="79"/>
      <c r="F150" s="79"/>
      <c r="G150" s="92"/>
      <c r="H150" s="92"/>
      <c r="I150" s="92"/>
      <c r="J150" s="92"/>
      <c r="K150" s="92"/>
      <c r="N150" s="644"/>
      <c r="O150" s="644"/>
      <c r="P150" s="644"/>
      <c r="Q150" s="644"/>
      <c r="R150" s="644"/>
      <c r="S150" s="644"/>
      <c r="T150" s="644"/>
    </row>
    <row r="151" spans="1:25" s="93" customFormat="1" ht="27" customHeight="1">
      <c r="A151" s="92"/>
      <c r="B151" s="437" t="s">
        <v>336</v>
      </c>
      <c r="C151" s="229"/>
      <c r="D151" s="229"/>
      <c r="E151" s="229"/>
      <c r="F151" s="229"/>
      <c r="G151" s="230"/>
      <c r="H151" s="230"/>
      <c r="I151" s="230"/>
      <c r="J151" s="92"/>
      <c r="K151" s="92"/>
      <c r="N151" s="644"/>
      <c r="O151" s="644"/>
      <c r="P151" s="644"/>
      <c r="Q151" s="644"/>
      <c r="R151" s="644"/>
      <c r="S151" s="644"/>
      <c r="T151" s="644"/>
    </row>
    <row r="152" spans="1:25" ht="27" customHeight="1">
      <c r="A152" s="79"/>
      <c r="B152" s="78"/>
      <c r="C152" s="79"/>
      <c r="D152" s="79"/>
      <c r="E152" s="79"/>
      <c r="F152" s="79"/>
      <c r="G152" s="79"/>
      <c r="H152" s="79"/>
      <c r="I152" s="79"/>
      <c r="J152" s="79"/>
      <c r="K152" s="79"/>
    </row>
    <row r="153" spans="1:25" ht="27" customHeight="1">
      <c r="A153" s="79"/>
      <c r="B153" s="80"/>
      <c r="C153" s="79"/>
      <c r="D153" s="79"/>
      <c r="E153" s="79"/>
      <c r="F153" s="79"/>
      <c r="G153" s="79"/>
      <c r="H153" s="79"/>
      <c r="I153" s="79"/>
      <c r="J153" s="79"/>
      <c r="K153" s="79"/>
    </row>
  </sheetData>
  <mergeCells count="14">
    <mergeCell ref="N149:T151"/>
    <mergeCell ref="B147:D147"/>
    <mergeCell ref="B81:C81"/>
    <mergeCell ref="B120:D120"/>
    <mergeCell ref="B122:J122"/>
    <mergeCell ref="N141:Y142"/>
    <mergeCell ref="B139:G139"/>
    <mergeCell ref="D8:J13"/>
    <mergeCell ref="B43:C43"/>
    <mergeCell ref="D17:J20"/>
    <mergeCell ref="D37:J39"/>
    <mergeCell ref="D24:J26"/>
    <mergeCell ref="D30:J32"/>
    <mergeCell ref="D33:J34"/>
  </mergeCells>
  <phoneticPr fontId="9"/>
  <pageMargins left="0.62992125984251968" right="0.21" top="0.55118110236220474" bottom="0.55118110236220474" header="0.51181102362204722" footer="0.51181102362204722"/>
  <pageSetup paperSize="9" scale="90" fitToHeight="0" orientation="portrait" r:id="rId1"/>
  <headerFooter alignWithMargins="0"/>
  <rowBreaks count="3" manualBreakCount="3">
    <brk id="42" max="16383" man="1"/>
    <brk id="80" max="16383" man="1"/>
    <brk id="119"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4"/>
  <sheetViews>
    <sheetView zoomScale="85" zoomScaleNormal="85" workbookViewId="0">
      <selection activeCell="E17" sqref="E17"/>
    </sheetView>
  </sheetViews>
  <sheetFormatPr defaultRowHeight="13.5"/>
  <cols>
    <col min="1" max="1" width="9.140625" style="69"/>
    <col min="2" max="2" width="13.5703125" style="69" customWidth="1"/>
    <col min="3" max="4" width="16.42578125" style="69" customWidth="1"/>
    <col min="5" max="7" width="14.28515625" style="69" customWidth="1"/>
    <col min="8" max="16384" width="9.140625" style="69"/>
  </cols>
  <sheetData>
    <row r="3" spans="2:7">
      <c r="G3" s="70" t="s">
        <v>162</v>
      </c>
    </row>
    <row r="4" spans="2:7" ht="39" customHeight="1">
      <c r="B4" s="71"/>
      <c r="C4" s="72" t="s">
        <v>163</v>
      </c>
      <c r="D4" s="72" t="s">
        <v>164</v>
      </c>
      <c r="E4" s="73" t="s">
        <v>165</v>
      </c>
      <c r="F4" s="74" t="s">
        <v>166</v>
      </c>
      <c r="G4" s="72" t="s">
        <v>149</v>
      </c>
    </row>
    <row r="5" spans="2:7" ht="33.75" hidden="1" customHeight="1">
      <c r="B5" s="72" t="s">
        <v>167</v>
      </c>
      <c r="C5" s="75">
        <v>1555121</v>
      </c>
      <c r="D5" s="75">
        <v>1552859</v>
      </c>
      <c r="E5" s="75">
        <f>C5-D5</f>
        <v>2262</v>
      </c>
      <c r="F5" s="75">
        <v>1813</v>
      </c>
      <c r="G5" s="75">
        <f>E5-F5</f>
        <v>449</v>
      </c>
    </row>
    <row r="6" spans="2:7" ht="33.75" customHeight="1">
      <c r="B6" s="72" t="s">
        <v>252</v>
      </c>
      <c r="C6" s="75">
        <v>1742817</v>
      </c>
      <c r="D6" s="75">
        <v>1740813</v>
      </c>
      <c r="E6" s="75">
        <v>2004</v>
      </c>
      <c r="F6" s="75">
        <v>1584</v>
      </c>
      <c r="G6" s="75">
        <f>E6-F6</f>
        <v>420</v>
      </c>
    </row>
    <row r="7" spans="2:7" ht="33.75" customHeight="1">
      <c r="B7" s="72" t="s">
        <v>302</v>
      </c>
      <c r="C7" s="75">
        <v>1761138</v>
      </c>
      <c r="D7" s="75">
        <v>1758572</v>
      </c>
      <c r="E7" s="75">
        <v>2566</v>
      </c>
      <c r="F7" s="75">
        <v>2137</v>
      </c>
      <c r="G7" s="75">
        <f>E7-F7</f>
        <v>429</v>
      </c>
    </row>
    <row r="8" spans="2:7" ht="33.75" customHeight="1">
      <c r="B8" s="72" t="s">
        <v>168</v>
      </c>
      <c r="C8" s="120">
        <f>C7-C6</f>
        <v>18321</v>
      </c>
      <c r="D8" s="120">
        <f>D7-D6-1</f>
        <v>17758</v>
      </c>
      <c r="E8" s="120">
        <f>E7-E6+1</f>
        <v>563</v>
      </c>
      <c r="F8" s="120">
        <f>F7-F6</f>
        <v>553</v>
      </c>
      <c r="G8" s="120">
        <f>G7-G6+1</f>
        <v>10</v>
      </c>
    </row>
    <row r="9" spans="2:7" ht="31.5" customHeight="1">
      <c r="B9" s="649"/>
      <c r="C9" s="649"/>
      <c r="D9" s="649"/>
      <c r="E9" s="649"/>
      <c r="F9" s="649"/>
    </row>
    <row r="12" spans="2:7" s="76" customFormat="1" ht="10.7" customHeight="1"/>
    <row r="13" spans="2:7" s="76" customFormat="1" ht="12.75"/>
    <row r="14" spans="2:7" s="76" customFormat="1" ht="14.25" customHeight="1"/>
  </sheetData>
  <mergeCells count="1">
    <mergeCell ref="B9:F9"/>
  </mergeCells>
  <phoneticPr fontId="9"/>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89"/>
  <sheetViews>
    <sheetView view="pageBreakPreview" topLeftCell="A64" zoomScale="70" zoomScaleNormal="100" zoomScaleSheetLayoutView="70" workbookViewId="0">
      <pane xSplit="2" topLeftCell="C1" activePane="topRight" state="frozen"/>
      <selection activeCell="D15" sqref="D15"/>
      <selection pane="topRight" activeCell="S86" sqref="S86"/>
    </sheetView>
  </sheetViews>
  <sheetFormatPr defaultColWidth="10.28515625" defaultRowHeight="13.5"/>
  <cols>
    <col min="1" max="1" width="1" style="121" customWidth="1"/>
    <col min="2" max="2" width="16.7109375" style="121" customWidth="1"/>
    <col min="3" max="4" width="11.5703125" style="121" customWidth="1"/>
    <col min="5" max="5" width="12" style="121" hidden="1" customWidth="1"/>
    <col min="6" max="6" width="11.5703125" style="121" hidden="1" customWidth="1"/>
    <col min="7" max="7" width="12" style="121" customWidth="1"/>
    <col min="8" max="8" width="11.5703125" style="121" hidden="1" customWidth="1"/>
    <col min="9" max="9" width="10.5703125" style="121" hidden="1" customWidth="1"/>
    <col min="10" max="10" width="10.5703125" style="121" customWidth="1"/>
    <col min="11" max="11" width="11.5703125" style="121" customWidth="1"/>
    <col min="12" max="12" width="11" style="121" customWidth="1"/>
    <col min="13" max="13" width="11.5703125" style="121" customWidth="1"/>
    <col min="14" max="20" width="10.7109375" style="121" customWidth="1"/>
    <col min="21" max="25" width="10.5703125" style="121" bestFit="1" customWidth="1"/>
    <col min="26" max="16384" width="10.28515625" style="121"/>
  </cols>
  <sheetData>
    <row r="1" spans="2:25">
      <c r="B1" s="121" t="s">
        <v>99</v>
      </c>
    </row>
    <row r="3" spans="2:25">
      <c r="B3" s="121" t="s">
        <v>79</v>
      </c>
    </row>
    <row r="4" spans="2:25" s="125" customFormat="1">
      <c r="B4" s="122"/>
      <c r="C4" s="123" t="s">
        <v>66</v>
      </c>
      <c r="D4" s="123" t="s">
        <v>80</v>
      </c>
      <c r="E4" s="123" t="s">
        <v>67</v>
      </c>
      <c r="F4" s="123" t="s">
        <v>81</v>
      </c>
      <c r="G4" s="123" t="s">
        <v>68</v>
      </c>
      <c r="H4" s="123" t="s">
        <v>82</v>
      </c>
      <c r="I4" s="123" t="s">
        <v>69</v>
      </c>
      <c r="J4" s="123" t="s">
        <v>83</v>
      </c>
      <c r="K4" s="123" t="s">
        <v>70</v>
      </c>
      <c r="L4" s="123" t="s">
        <v>71</v>
      </c>
      <c r="M4" s="123" t="s">
        <v>72</v>
      </c>
      <c r="N4" s="124" t="s">
        <v>109</v>
      </c>
      <c r="O4" s="124" t="s">
        <v>127</v>
      </c>
      <c r="P4" s="124" t="s">
        <v>131</v>
      </c>
      <c r="Q4" s="124" t="s">
        <v>138</v>
      </c>
      <c r="R4" s="124" t="s">
        <v>169</v>
      </c>
      <c r="S4" s="124" t="s">
        <v>178</v>
      </c>
      <c r="T4" s="124" t="s">
        <v>200</v>
      </c>
      <c r="U4" s="157" t="s">
        <v>207</v>
      </c>
      <c r="V4" s="170" t="s">
        <v>215</v>
      </c>
      <c r="W4" s="214" t="s">
        <v>246</v>
      </c>
      <c r="X4" s="227" t="s">
        <v>253</v>
      </c>
      <c r="Y4" s="261" t="s">
        <v>308</v>
      </c>
    </row>
    <row r="5" spans="2:25" s="125" customFormat="1">
      <c r="B5" s="126" t="s">
        <v>100</v>
      </c>
      <c r="C5" s="127">
        <v>490419</v>
      </c>
      <c r="D5" s="127">
        <v>473096</v>
      </c>
      <c r="E5" s="127">
        <v>555592</v>
      </c>
      <c r="F5" s="127">
        <v>407813</v>
      </c>
      <c r="G5" s="127">
        <v>390207</v>
      </c>
      <c r="H5" s="127">
        <v>357302</v>
      </c>
      <c r="I5" s="127">
        <v>287916</v>
      </c>
      <c r="J5" s="127">
        <v>219703</v>
      </c>
      <c r="K5" s="127">
        <v>185020</v>
      </c>
      <c r="L5" s="127">
        <v>166774</v>
      </c>
      <c r="M5" s="127">
        <v>150545</v>
      </c>
      <c r="N5" s="128">
        <v>162129</v>
      </c>
      <c r="O5" s="128">
        <v>124207</v>
      </c>
      <c r="P5" s="128">
        <v>125825</v>
      </c>
      <c r="Q5" s="128">
        <v>95376</v>
      </c>
      <c r="R5" s="128">
        <v>90088</v>
      </c>
      <c r="S5" s="128">
        <v>76715</v>
      </c>
      <c r="T5" s="128">
        <v>83723</v>
      </c>
      <c r="U5" s="128">
        <v>101864</v>
      </c>
      <c r="V5" s="128">
        <v>100879</v>
      </c>
      <c r="W5" s="129">
        <v>100112</v>
      </c>
      <c r="X5" s="129">
        <v>115757</v>
      </c>
      <c r="Y5" s="129">
        <v>124704</v>
      </c>
    </row>
    <row r="6" spans="2:25" s="125" customFormat="1">
      <c r="B6" s="126" t="s">
        <v>91</v>
      </c>
      <c r="C6" s="127">
        <f t="shared" ref="C6:L6" si="0">C10-C9-C8-C5-C7</f>
        <v>657571</v>
      </c>
      <c r="D6" s="127">
        <f t="shared" si="0"/>
        <v>647421</v>
      </c>
      <c r="E6" s="127">
        <f t="shared" si="0"/>
        <v>658464</v>
      </c>
      <c r="F6" s="127">
        <f t="shared" si="0"/>
        <v>699410</v>
      </c>
      <c r="G6" s="127">
        <f t="shared" si="0"/>
        <v>672493</v>
      </c>
      <c r="H6" s="127">
        <f t="shared" si="0"/>
        <v>672899</v>
      </c>
      <c r="I6" s="127">
        <f t="shared" si="0"/>
        <v>641302</v>
      </c>
      <c r="J6" s="127">
        <f t="shared" si="0"/>
        <v>629351</v>
      </c>
      <c r="K6" s="127">
        <f t="shared" si="0"/>
        <v>640522</v>
      </c>
      <c r="L6" s="127">
        <f t="shared" si="0"/>
        <v>635380</v>
      </c>
      <c r="M6" s="127">
        <v>587893</v>
      </c>
      <c r="N6" s="128">
        <v>553627</v>
      </c>
      <c r="O6" s="128">
        <v>573465</v>
      </c>
      <c r="P6" s="128">
        <v>652275</v>
      </c>
      <c r="Q6" s="128">
        <v>602938</v>
      </c>
      <c r="R6" s="128">
        <v>584309</v>
      </c>
      <c r="S6" s="128">
        <v>631833</v>
      </c>
      <c r="T6" s="129">
        <v>576794</v>
      </c>
      <c r="U6" s="129">
        <v>543322</v>
      </c>
      <c r="V6" s="129">
        <v>518938</v>
      </c>
      <c r="W6" s="129">
        <v>468576</v>
      </c>
      <c r="X6" s="129">
        <v>508666</v>
      </c>
      <c r="Y6" s="129">
        <v>485989</v>
      </c>
    </row>
    <row r="7" spans="2:25" s="125" customFormat="1">
      <c r="B7" s="126" t="s">
        <v>101</v>
      </c>
      <c r="C7" s="127">
        <v>145516</v>
      </c>
      <c r="D7" s="127">
        <v>160175</v>
      </c>
      <c r="E7" s="127">
        <v>166464</v>
      </c>
      <c r="F7" s="127">
        <v>189404</v>
      </c>
      <c r="G7" s="127">
        <v>199166</v>
      </c>
      <c r="H7" s="127">
        <v>209993</v>
      </c>
      <c r="I7" s="127">
        <v>233813</v>
      </c>
      <c r="J7" s="127">
        <v>218849</v>
      </c>
      <c r="K7" s="127">
        <v>217563</v>
      </c>
      <c r="L7" s="127">
        <v>210400</v>
      </c>
      <c r="M7" s="127">
        <v>207507</v>
      </c>
      <c r="N7" s="128">
        <v>207387</v>
      </c>
      <c r="O7" s="128">
        <v>213802</v>
      </c>
      <c r="P7" s="128">
        <v>221510</v>
      </c>
      <c r="Q7" s="128">
        <v>222238</v>
      </c>
      <c r="R7" s="128">
        <v>237153</v>
      </c>
      <c r="S7" s="128">
        <v>260026</v>
      </c>
      <c r="T7" s="128">
        <v>279755</v>
      </c>
      <c r="U7" s="128">
        <v>265954</v>
      </c>
      <c r="V7" s="128">
        <v>278423</v>
      </c>
      <c r="W7" s="129">
        <v>265961</v>
      </c>
      <c r="X7" s="129">
        <v>262980</v>
      </c>
      <c r="Y7" s="129">
        <v>292271</v>
      </c>
    </row>
    <row r="8" spans="2:25" s="125" customFormat="1">
      <c r="B8" s="126" t="s">
        <v>102</v>
      </c>
      <c r="C8" s="127">
        <v>217325</v>
      </c>
      <c r="D8" s="127">
        <v>231951</v>
      </c>
      <c r="E8" s="127">
        <v>246904</v>
      </c>
      <c r="F8" s="127">
        <v>264778</v>
      </c>
      <c r="G8" s="127">
        <v>255380</v>
      </c>
      <c r="H8" s="127">
        <v>275392</v>
      </c>
      <c r="I8" s="127">
        <v>296340</v>
      </c>
      <c r="J8" s="127">
        <v>327848</v>
      </c>
      <c r="K8" s="127">
        <v>346732</v>
      </c>
      <c r="L8" s="127">
        <v>356313</v>
      </c>
      <c r="M8" s="127">
        <v>363149</v>
      </c>
      <c r="N8" s="128">
        <v>374569</v>
      </c>
      <c r="O8" s="128">
        <v>384863</v>
      </c>
      <c r="P8" s="128">
        <v>426249</v>
      </c>
      <c r="Q8" s="128">
        <v>481221</v>
      </c>
      <c r="R8" s="128">
        <v>496850</v>
      </c>
      <c r="S8" s="128">
        <v>498403</v>
      </c>
      <c r="T8" s="128">
        <v>501060</v>
      </c>
      <c r="U8" s="128">
        <v>517168</v>
      </c>
      <c r="V8" s="128">
        <v>528188</v>
      </c>
      <c r="W8" s="129">
        <v>541680</v>
      </c>
      <c r="X8" s="129">
        <v>552538</v>
      </c>
      <c r="Y8" s="129">
        <v>553538</v>
      </c>
    </row>
    <row r="9" spans="2:25" s="125" customFormat="1">
      <c r="B9" s="126" t="s">
        <v>103</v>
      </c>
      <c r="C9" s="127">
        <v>333494</v>
      </c>
      <c r="D9" s="127">
        <v>339766</v>
      </c>
      <c r="E9" s="127">
        <v>344027</v>
      </c>
      <c r="F9" s="127">
        <v>344624</v>
      </c>
      <c r="G9" s="127">
        <v>343620</v>
      </c>
      <c r="H9" s="127">
        <v>342117</v>
      </c>
      <c r="I9" s="127">
        <v>328600</v>
      </c>
      <c r="J9" s="127">
        <v>324236</v>
      </c>
      <c r="K9" s="127">
        <v>312114</v>
      </c>
      <c r="L9" s="127">
        <v>295822</v>
      </c>
      <c r="M9" s="127">
        <v>278549</v>
      </c>
      <c r="N9" s="128">
        <v>275570</v>
      </c>
      <c r="O9" s="128">
        <v>256522</v>
      </c>
      <c r="P9" s="128">
        <v>243904</v>
      </c>
      <c r="Q9" s="128">
        <v>239462</v>
      </c>
      <c r="R9" s="128">
        <v>241497</v>
      </c>
      <c r="S9" s="128">
        <v>232278</v>
      </c>
      <c r="T9" s="128">
        <v>209070</v>
      </c>
      <c r="U9" s="128">
        <v>207535</v>
      </c>
      <c r="V9" s="128">
        <v>203645</v>
      </c>
      <c r="W9" s="129">
        <v>196519</v>
      </c>
      <c r="X9" s="129">
        <v>300874</v>
      </c>
      <c r="Y9" s="129">
        <v>302071</v>
      </c>
    </row>
    <row r="10" spans="2:25" s="125" customFormat="1">
      <c r="B10" s="126" t="s">
        <v>92</v>
      </c>
      <c r="C10" s="127">
        <v>1844325</v>
      </c>
      <c r="D10" s="127">
        <v>1852409</v>
      </c>
      <c r="E10" s="127">
        <v>1971451</v>
      </c>
      <c r="F10" s="127">
        <v>1906029</v>
      </c>
      <c r="G10" s="127">
        <v>1860866</v>
      </c>
      <c r="H10" s="127">
        <v>1857703</v>
      </c>
      <c r="I10" s="127">
        <v>1787971</v>
      </c>
      <c r="J10" s="127">
        <v>1719987</v>
      </c>
      <c r="K10" s="127">
        <v>1701951</v>
      </c>
      <c r="L10" s="127">
        <v>1664689</v>
      </c>
      <c r="M10" s="127">
        <v>1587643</v>
      </c>
      <c r="N10" s="128">
        <v>1573282</v>
      </c>
      <c r="O10" s="128">
        <v>1552859</v>
      </c>
      <c r="P10" s="128">
        <v>1669763</v>
      </c>
      <c r="Q10" s="128">
        <v>1641235</v>
      </c>
      <c r="R10" s="128">
        <v>1649897</v>
      </c>
      <c r="S10" s="128">
        <v>1699255</v>
      </c>
      <c r="T10" s="128">
        <v>1650402</v>
      </c>
      <c r="U10" s="128">
        <v>1635843</v>
      </c>
      <c r="V10" s="128">
        <v>1630073</v>
      </c>
      <c r="W10" s="129">
        <v>1572848</v>
      </c>
      <c r="X10" s="129">
        <v>1740813</v>
      </c>
      <c r="Y10" s="129">
        <v>1758572</v>
      </c>
    </row>
    <row r="11" spans="2:25" s="125" customFormat="1">
      <c r="B11" s="130"/>
      <c r="C11" s="131">
        <f>SUM(C5:C9)-C10</f>
        <v>0</v>
      </c>
      <c r="D11" s="131">
        <f t="shared" ref="D11:P11" si="1">SUM(D5:D9)-D10</f>
        <v>0</v>
      </c>
      <c r="E11" s="131">
        <f t="shared" si="1"/>
        <v>0</v>
      </c>
      <c r="F11" s="131">
        <f t="shared" si="1"/>
        <v>0</v>
      </c>
      <c r="G11" s="131">
        <f t="shared" si="1"/>
        <v>0</v>
      </c>
      <c r="H11" s="131">
        <f t="shared" si="1"/>
        <v>0</v>
      </c>
      <c r="I11" s="131">
        <f t="shared" si="1"/>
        <v>0</v>
      </c>
      <c r="J11" s="131">
        <f t="shared" si="1"/>
        <v>0</v>
      </c>
      <c r="K11" s="131">
        <f t="shared" si="1"/>
        <v>0</v>
      </c>
      <c r="L11" s="131">
        <f t="shared" si="1"/>
        <v>0</v>
      </c>
      <c r="M11" s="131">
        <f t="shared" si="1"/>
        <v>0</v>
      </c>
      <c r="N11" s="131">
        <f t="shared" si="1"/>
        <v>0</v>
      </c>
      <c r="O11" s="131">
        <f t="shared" si="1"/>
        <v>0</v>
      </c>
      <c r="P11" s="131">
        <f t="shared" si="1"/>
        <v>0</v>
      </c>
      <c r="Q11" s="131">
        <f t="shared" ref="Q11:W11" si="2">SUM(Q5:Q9)-Q10</f>
        <v>0</v>
      </c>
      <c r="R11" s="131">
        <f t="shared" si="2"/>
        <v>0</v>
      </c>
      <c r="S11" s="131">
        <f t="shared" si="2"/>
        <v>0</v>
      </c>
      <c r="T11" s="131">
        <f t="shared" si="2"/>
        <v>0</v>
      </c>
      <c r="U11" s="131">
        <f t="shared" si="2"/>
        <v>0</v>
      </c>
      <c r="V11" s="131">
        <f>SUM(V5:V9)-V10</f>
        <v>0</v>
      </c>
      <c r="W11" s="155">
        <f t="shared" si="2"/>
        <v>0</v>
      </c>
      <c r="X11" s="155">
        <f>SUM(X5:X9)-X10</f>
        <v>2</v>
      </c>
      <c r="Y11" s="155">
        <f>SUM(Y5:Y9)-Y10</f>
        <v>1</v>
      </c>
    </row>
    <row r="13" spans="2:25">
      <c r="B13" s="650" t="s">
        <v>104</v>
      </c>
      <c r="C13" s="650"/>
      <c r="D13" s="650"/>
      <c r="E13" s="650"/>
    </row>
    <row r="14" spans="2:25">
      <c r="B14" s="122"/>
      <c r="C14" s="123" t="s">
        <v>66</v>
      </c>
      <c r="D14" s="123" t="s">
        <v>80</v>
      </c>
      <c r="E14" s="123" t="s">
        <v>67</v>
      </c>
      <c r="F14" s="123" t="s">
        <v>81</v>
      </c>
      <c r="G14" s="123" t="s">
        <v>68</v>
      </c>
      <c r="H14" s="123" t="s">
        <v>82</v>
      </c>
      <c r="I14" s="123" t="s">
        <v>69</v>
      </c>
      <c r="J14" s="123" t="s">
        <v>83</v>
      </c>
      <c r="K14" s="123" t="s">
        <v>70</v>
      </c>
      <c r="L14" s="123" t="s">
        <v>71</v>
      </c>
      <c r="M14" s="123" t="s">
        <v>72</v>
      </c>
      <c r="N14" s="132" t="s">
        <v>109</v>
      </c>
      <c r="O14" s="132" t="s">
        <v>127</v>
      </c>
      <c r="P14" s="132" t="s">
        <v>131</v>
      </c>
      <c r="Q14" s="132" t="s">
        <v>138</v>
      </c>
      <c r="R14" s="132" t="s">
        <v>169</v>
      </c>
      <c r="S14" s="124" t="s">
        <v>178</v>
      </c>
      <c r="T14" s="132" t="s">
        <v>200</v>
      </c>
      <c r="U14" s="158" t="s">
        <v>207</v>
      </c>
      <c r="V14" s="170" t="s">
        <v>215</v>
      </c>
      <c r="W14" s="214" t="s">
        <v>246</v>
      </c>
      <c r="X14" s="214" t="s">
        <v>253</v>
      </c>
      <c r="Y14" s="261" t="s">
        <v>308</v>
      </c>
    </row>
    <row r="15" spans="2:25">
      <c r="B15" s="126" t="s">
        <v>101</v>
      </c>
      <c r="C15" s="127">
        <v>145516</v>
      </c>
      <c r="D15" s="127">
        <v>160175</v>
      </c>
      <c r="E15" s="127">
        <v>166464</v>
      </c>
      <c r="F15" s="127">
        <v>189404</v>
      </c>
      <c r="G15" s="127">
        <v>199166</v>
      </c>
      <c r="H15" s="127">
        <v>209993</v>
      </c>
      <c r="I15" s="127">
        <v>233813</v>
      </c>
      <c r="J15" s="127">
        <v>218849</v>
      </c>
      <c r="K15" s="127">
        <v>217563</v>
      </c>
      <c r="L15" s="127">
        <v>210400</v>
      </c>
      <c r="M15" s="127">
        <v>207507</v>
      </c>
      <c r="N15" s="127">
        <v>207387</v>
      </c>
      <c r="O15" s="127">
        <v>213802</v>
      </c>
      <c r="P15" s="127">
        <f t="shared" ref="P15:T17" si="3">P7</f>
        <v>221510</v>
      </c>
      <c r="Q15" s="127">
        <f t="shared" si="3"/>
        <v>222238</v>
      </c>
      <c r="R15" s="127">
        <f t="shared" si="3"/>
        <v>237153</v>
      </c>
      <c r="S15" s="127">
        <f t="shared" si="3"/>
        <v>260026</v>
      </c>
      <c r="T15" s="127">
        <f t="shared" si="3"/>
        <v>279755</v>
      </c>
      <c r="U15" s="127">
        <f t="shared" ref="U15:W17" si="4">U7</f>
        <v>265954</v>
      </c>
      <c r="V15" s="127">
        <f>V7</f>
        <v>278423</v>
      </c>
      <c r="W15" s="216">
        <f t="shared" si="4"/>
        <v>265961</v>
      </c>
      <c r="X15" s="216">
        <f t="shared" ref="X15:Y17" si="5">X7</f>
        <v>262980</v>
      </c>
      <c r="Y15" s="216">
        <f t="shared" si="5"/>
        <v>292271</v>
      </c>
    </row>
    <row r="16" spans="2:25">
      <c r="B16" s="126" t="s">
        <v>102</v>
      </c>
      <c r="C16" s="127">
        <v>217325</v>
      </c>
      <c r="D16" s="127">
        <v>231951</v>
      </c>
      <c r="E16" s="127">
        <v>246904</v>
      </c>
      <c r="F16" s="127">
        <v>264778</v>
      </c>
      <c r="G16" s="127">
        <v>255380</v>
      </c>
      <c r="H16" s="127">
        <v>275392</v>
      </c>
      <c r="I16" s="127">
        <v>296340</v>
      </c>
      <c r="J16" s="127">
        <v>327848</v>
      </c>
      <c r="K16" s="127">
        <v>346732</v>
      </c>
      <c r="L16" s="127">
        <v>356313</v>
      </c>
      <c r="M16" s="127">
        <v>363149</v>
      </c>
      <c r="N16" s="127">
        <v>374569</v>
      </c>
      <c r="O16" s="127">
        <v>384863</v>
      </c>
      <c r="P16" s="127">
        <f t="shared" si="3"/>
        <v>426249</v>
      </c>
      <c r="Q16" s="127">
        <f t="shared" si="3"/>
        <v>481221</v>
      </c>
      <c r="R16" s="127">
        <f t="shared" si="3"/>
        <v>496850</v>
      </c>
      <c r="S16" s="127">
        <f t="shared" si="3"/>
        <v>498403</v>
      </c>
      <c r="T16" s="127">
        <f>T8</f>
        <v>501060</v>
      </c>
      <c r="U16" s="127">
        <f t="shared" si="4"/>
        <v>517168</v>
      </c>
      <c r="V16" s="127">
        <f>V8</f>
        <v>528188</v>
      </c>
      <c r="W16" s="216">
        <f t="shared" si="4"/>
        <v>541680</v>
      </c>
      <c r="X16" s="216">
        <f t="shared" si="5"/>
        <v>552538</v>
      </c>
      <c r="Y16" s="216">
        <f t="shared" si="5"/>
        <v>553538</v>
      </c>
    </row>
    <row r="17" spans="2:25">
      <c r="B17" s="126" t="s">
        <v>103</v>
      </c>
      <c r="C17" s="127">
        <v>333494</v>
      </c>
      <c r="D17" s="127">
        <v>339766</v>
      </c>
      <c r="E17" s="127">
        <v>344027</v>
      </c>
      <c r="F17" s="127">
        <v>344624</v>
      </c>
      <c r="G17" s="127">
        <v>343620</v>
      </c>
      <c r="H17" s="127">
        <v>342117</v>
      </c>
      <c r="I17" s="127">
        <v>328600</v>
      </c>
      <c r="J17" s="127">
        <v>324236</v>
      </c>
      <c r="K17" s="127">
        <v>312114</v>
      </c>
      <c r="L17" s="127">
        <v>295822</v>
      </c>
      <c r="M17" s="127">
        <v>278549</v>
      </c>
      <c r="N17" s="127">
        <v>275570</v>
      </c>
      <c r="O17" s="127">
        <v>256522</v>
      </c>
      <c r="P17" s="127">
        <f t="shared" si="3"/>
        <v>243904</v>
      </c>
      <c r="Q17" s="127">
        <f t="shared" si="3"/>
        <v>239462</v>
      </c>
      <c r="R17" s="127">
        <f t="shared" si="3"/>
        <v>241497</v>
      </c>
      <c r="S17" s="127">
        <f t="shared" si="3"/>
        <v>232278</v>
      </c>
      <c r="T17" s="127">
        <f t="shared" si="3"/>
        <v>209070</v>
      </c>
      <c r="U17" s="127">
        <f t="shared" si="4"/>
        <v>207535</v>
      </c>
      <c r="V17" s="127">
        <f>V9</f>
        <v>203645</v>
      </c>
      <c r="W17" s="216">
        <f t="shared" si="4"/>
        <v>196519</v>
      </c>
      <c r="X17" s="216">
        <f t="shared" si="5"/>
        <v>300874</v>
      </c>
      <c r="Y17" s="216">
        <f t="shared" si="5"/>
        <v>302071</v>
      </c>
    </row>
    <row r="18" spans="2:25" ht="27">
      <c r="B18" s="126" t="s">
        <v>105</v>
      </c>
      <c r="C18" s="127">
        <f>SUM(C15:C17)</f>
        <v>696335</v>
      </c>
      <c r="D18" s="127">
        <f t="shared" ref="D18:T18" si="6">SUM(D15:D17)</f>
        <v>731892</v>
      </c>
      <c r="E18" s="127">
        <f t="shared" si="6"/>
        <v>757395</v>
      </c>
      <c r="F18" s="127">
        <f t="shared" si="6"/>
        <v>798806</v>
      </c>
      <c r="G18" s="127">
        <f t="shared" si="6"/>
        <v>798166</v>
      </c>
      <c r="H18" s="127">
        <f t="shared" si="6"/>
        <v>827502</v>
      </c>
      <c r="I18" s="127">
        <f t="shared" si="6"/>
        <v>858753</v>
      </c>
      <c r="J18" s="127">
        <f t="shared" si="6"/>
        <v>870933</v>
      </c>
      <c r="K18" s="127">
        <f t="shared" si="6"/>
        <v>876409</v>
      </c>
      <c r="L18" s="127">
        <f t="shared" si="6"/>
        <v>862535</v>
      </c>
      <c r="M18" s="127">
        <f t="shared" si="6"/>
        <v>849205</v>
      </c>
      <c r="N18" s="127">
        <f t="shared" si="6"/>
        <v>857526</v>
      </c>
      <c r="O18" s="127">
        <f t="shared" si="6"/>
        <v>855187</v>
      </c>
      <c r="P18" s="127">
        <f t="shared" si="6"/>
        <v>891663</v>
      </c>
      <c r="Q18" s="127">
        <f t="shared" si="6"/>
        <v>942921</v>
      </c>
      <c r="R18" s="127">
        <f t="shared" si="6"/>
        <v>975500</v>
      </c>
      <c r="S18" s="127">
        <f t="shared" si="6"/>
        <v>990707</v>
      </c>
      <c r="T18" s="127">
        <f t="shared" si="6"/>
        <v>989885</v>
      </c>
      <c r="U18" s="127">
        <f>SUM(U15:U17)</f>
        <v>990657</v>
      </c>
      <c r="V18" s="127">
        <f>SUM(V15:V17)</f>
        <v>1010256</v>
      </c>
      <c r="W18" s="216">
        <f>SUM(W15:W17)</f>
        <v>1004160</v>
      </c>
      <c r="X18" s="216">
        <f>SUM(X15:X17)</f>
        <v>1116392</v>
      </c>
      <c r="Y18" s="216">
        <f>SUM(Y15:Y17)</f>
        <v>1147880</v>
      </c>
    </row>
    <row r="19" spans="2:25">
      <c r="B19" s="130"/>
      <c r="C19" s="131"/>
      <c r="D19" s="131"/>
      <c r="E19" s="131"/>
      <c r="F19" s="131"/>
      <c r="G19" s="131"/>
      <c r="H19" s="131"/>
      <c r="I19" s="131"/>
      <c r="J19" s="131"/>
      <c r="K19" s="131"/>
      <c r="L19" s="131"/>
      <c r="M19" s="131"/>
    </row>
    <row r="20" spans="2:25">
      <c r="B20" s="651" t="s">
        <v>96</v>
      </c>
      <c r="C20" s="651"/>
      <c r="D20" s="651"/>
      <c r="E20" s="651"/>
    </row>
    <row r="21" spans="2:25">
      <c r="B21" s="122"/>
      <c r="C21" s="123" t="s">
        <v>66</v>
      </c>
      <c r="D21" s="123" t="s">
        <v>80</v>
      </c>
      <c r="E21" s="123" t="s">
        <v>67</v>
      </c>
      <c r="F21" s="123" t="s">
        <v>81</v>
      </c>
      <c r="G21" s="123" t="s">
        <v>68</v>
      </c>
      <c r="H21" s="123" t="s">
        <v>82</v>
      </c>
      <c r="I21" s="123" t="s">
        <v>69</v>
      </c>
      <c r="J21" s="123" t="s">
        <v>83</v>
      </c>
      <c r="K21" s="123" t="s">
        <v>70</v>
      </c>
      <c r="L21" s="123" t="s">
        <v>71</v>
      </c>
      <c r="M21" s="123" t="s">
        <v>72</v>
      </c>
      <c r="N21" s="132" t="s">
        <v>109</v>
      </c>
      <c r="O21" s="132" t="s">
        <v>127</v>
      </c>
      <c r="P21" s="132" t="s">
        <v>131</v>
      </c>
      <c r="Q21" s="132" t="s">
        <v>138</v>
      </c>
      <c r="R21" s="132" t="s">
        <v>169</v>
      </c>
      <c r="S21" s="124" t="s">
        <v>178</v>
      </c>
      <c r="T21" s="132" t="s">
        <v>200</v>
      </c>
      <c r="U21" s="158" t="s">
        <v>207</v>
      </c>
      <c r="V21" s="170" t="s">
        <v>215</v>
      </c>
      <c r="W21" s="214" t="s">
        <v>246</v>
      </c>
      <c r="X21" s="214" t="s">
        <v>253</v>
      </c>
      <c r="Y21" s="261" t="s">
        <v>308</v>
      </c>
    </row>
    <row r="22" spans="2:25">
      <c r="B22" s="126" t="s">
        <v>100</v>
      </c>
      <c r="C22" s="133">
        <f>C5/C$10*100</f>
        <v>26.590703916066854</v>
      </c>
      <c r="D22" s="133">
        <f t="shared" ref="D22:S26" si="7">D5/D$10*100</f>
        <v>25.539500185974045</v>
      </c>
      <c r="E22" s="133">
        <f t="shared" si="7"/>
        <v>28.181882278585675</v>
      </c>
      <c r="F22" s="133">
        <f t="shared" si="7"/>
        <v>21.395949379573974</v>
      </c>
      <c r="G22" s="133">
        <f t="shared" si="7"/>
        <v>20.969107931468468</v>
      </c>
      <c r="H22" s="133">
        <f t="shared" si="7"/>
        <v>19.233537330778923</v>
      </c>
      <c r="I22" s="133">
        <f t="shared" si="7"/>
        <v>16.102945741289986</v>
      </c>
      <c r="J22" s="133">
        <f t="shared" si="7"/>
        <v>12.773526776655869</v>
      </c>
      <c r="K22" s="133">
        <f t="shared" si="7"/>
        <v>10.87105327944224</v>
      </c>
      <c r="L22" s="133">
        <f t="shared" si="7"/>
        <v>10.018327747705428</v>
      </c>
      <c r="M22" s="133">
        <f t="shared" si="7"/>
        <v>9.482295453071</v>
      </c>
      <c r="N22" s="133">
        <f t="shared" si="7"/>
        <v>10.305145549240377</v>
      </c>
      <c r="O22" s="133">
        <f t="shared" si="7"/>
        <v>7.9986012896212726</v>
      </c>
      <c r="P22" s="133">
        <f t="shared" si="7"/>
        <v>7.5355005470836272</v>
      </c>
      <c r="Q22" s="133">
        <f t="shared" si="7"/>
        <v>5.8112336137116261</v>
      </c>
      <c r="R22" s="133">
        <f t="shared" si="7"/>
        <v>5.4602196379531573</v>
      </c>
      <c r="S22" s="133">
        <f t="shared" si="7"/>
        <v>4.5146255270692155</v>
      </c>
      <c r="T22" s="133">
        <f t="shared" ref="T22:Y22" si="8">T5/T$10*100</f>
        <v>5.0728852728002023</v>
      </c>
      <c r="U22" s="133">
        <f t="shared" si="8"/>
        <v>6.2270034471523248</v>
      </c>
      <c r="V22" s="133">
        <f t="shared" si="8"/>
        <v>6.1886185465313517</v>
      </c>
      <c r="W22" s="217">
        <f t="shared" si="8"/>
        <v>6.3650142925444797</v>
      </c>
      <c r="X22" s="217">
        <f t="shared" si="8"/>
        <v>6.6495941838669639</v>
      </c>
      <c r="Y22" s="217">
        <f t="shared" si="8"/>
        <v>7.091208093839775</v>
      </c>
    </row>
    <row r="23" spans="2:25">
      <c r="B23" s="126" t="s">
        <v>91</v>
      </c>
      <c r="C23" s="133">
        <f t="shared" ref="C23:K26" si="9">C6/C$10*100</f>
        <v>35.653748661434399</v>
      </c>
      <c r="D23" s="133">
        <f t="shared" si="9"/>
        <v>34.950218877148622</v>
      </c>
      <c r="E23" s="133">
        <f t="shared" si="9"/>
        <v>33.399967840945578</v>
      </c>
      <c r="F23" s="133">
        <f t="shared" si="9"/>
        <v>36.69461482485314</v>
      </c>
      <c r="G23" s="133">
        <f t="shared" si="9"/>
        <v>36.138711761083279</v>
      </c>
      <c r="H23" s="133">
        <f t="shared" si="9"/>
        <v>36.222097934922857</v>
      </c>
      <c r="I23" s="133">
        <f t="shared" si="9"/>
        <v>35.867583982066826</v>
      </c>
      <c r="J23" s="133">
        <f t="shared" si="9"/>
        <v>36.590450974338765</v>
      </c>
      <c r="K23" s="133">
        <f t="shared" si="9"/>
        <v>37.634573498296952</v>
      </c>
      <c r="L23" s="133">
        <f t="shared" si="7"/>
        <v>38.168090255897646</v>
      </c>
      <c r="M23" s="133">
        <f t="shared" si="7"/>
        <v>37.029294369074158</v>
      </c>
      <c r="N23" s="133">
        <f t="shared" si="7"/>
        <v>35.189304905287166</v>
      </c>
      <c r="O23" s="133">
        <f t="shared" si="7"/>
        <v>36.929624647183033</v>
      </c>
      <c r="P23" s="133">
        <f t="shared" si="7"/>
        <v>39.063927036351863</v>
      </c>
      <c r="Q23" s="133">
        <f t="shared" si="7"/>
        <v>36.736847556870281</v>
      </c>
      <c r="R23" s="133">
        <f t="shared" si="7"/>
        <v>35.414877413559751</v>
      </c>
      <c r="S23" s="133">
        <f t="shared" si="7"/>
        <v>37.182941936319153</v>
      </c>
      <c r="T23" s="133">
        <f>T6/T$10*100</f>
        <v>34.948697347676507</v>
      </c>
      <c r="U23" s="133">
        <f t="shared" ref="U23:W26" si="10">U6/U$10*100</f>
        <v>33.213578564691112</v>
      </c>
      <c r="V23" s="133">
        <f>V6/V$10*100</f>
        <v>31.835261365595287</v>
      </c>
      <c r="W23" s="217">
        <f t="shared" si="10"/>
        <v>29.791562821073619</v>
      </c>
      <c r="X23" s="217">
        <f t="shared" ref="X23:Y26" si="11">X6/X$10*100</f>
        <v>29.220025355968733</v>
      </c>
      <c r="Y23" s="217">
        <f t="shared" si="11"/>
        <v>27.63543374965597</v>
      </c>
    </row>
    <row r="24" spans="2:25">
      <c r="B24" s="126" t="s">
        <v>101</v>
      </c>
      <c r="C24" s="133">
        <f t="shared" si="9"/>
        <v>7.8899326311794287</v>
      </c>
      <c r="D24" s="133">
        <f t="shared" si="9"/>
        <v>8.6468485091575342</v>
      </c>
      <c r="E24" s="133">
        <f t="shared" si="9"/>
        <v>8.4437300242308826</v>
      </c>
      <c r="F24" s="133">
        <f t="shared" si="9"/>
        <v>9.9370995929232979</v>
      </c>
      <c r="G24" s="133">
        <f t="shared" si="9"/>
        <v>10.702866299884032</v>
      </c>
      <c r="H24" s="133">
        <f t="shared" si="9"/>
        <v>11.303905952673812</v>
      </c>
      <c r="I24" s="133">
        <f t="shared" si="9"/>
        <v>13.077001808194877</v>
      </c>
      <c r="J24" s="133">
        <f t="shared" si="9"/>
        <v>12.723875238591919</v>
      </c>
      <c r="K24" s="133">
        <f t="shared" si="9"/>
        <v>12.783152981490067</v>
      </c>
      <c r="L24" s="133">
        <f t="shared" si="7"/>
        <v>12.638997434355606</v>
      </c>
      <c r="M24" s="133">
        <f t="shared" si="7"/>
        <v>13.070129745792977</v>
      </c>
      <c r="N24" s="133">
        <f t="shared" si="7"/>
        <v>13.181807203031623</v>
      </c>
      <c r="O24" s="133">
        <f t="shared" si="7"/>
        <v>13.768281601871129</v>
      </c>
      <c r="P24" s="133">
        <f t="shared" si="7"/>
        <v>13.265954509711857</v>
      </c>
      <c r="Q24" s="133">
        <f t="shared" si="7"/>
        <v>13.540900602290348</v>
      </c>
      <c r="R24" s="133">
        <f t="shared" si="7"/>
        <v>14.373806364882173</v>
      </c>
      <c r="S24" s="133">
        <f t="shared" si="7"/>
        <v>15.302353090030632</v>
      </c>
      <c r="T24" s="133">
        <f>T7/T$10*100</f>
        <v>16.950718673389879</v>
      </c>
      <c r="U24" s="133">
        <f t="shared" si="10"/>
        <v>16.257917171757924</v>
      </c>
      <c r="V24" s="133">
        <f>V7/V$10*100</f>
        <v>17.080400693711265</v>
      </c>
      <c r="W24" s="217">
        <f t="shared" si="10"/>
        <v>16.909517003550249</v>
      </c>
      <c r="X24" s="217">
        <f t="shared" si="11"/>
        <v>15.106734611931321</v>
      </c>
      <c r="Y24" s="217">
        <f t="shared" si="11"/>
        <v>16.619791512659134</v>
      </c>
    </row>
    <row r="25" spans="2:25">
      <c r="B25" s="126" t="s">
        <v>102</v>
      </c>
      <c r="C25" s="133">
        <f t="shared" si="9"/>
        <v>11.783443807354994</v>
      </c>
      <c r="D25" s="133">
        <f t="shared" si="9"/>
        <v>12.521586755408768</v>
      </c>
      <c r="E25" s="133">
        <f t="shared" si="9"/>
        <v>12.523973459142528</v>
      </c>
      <c r="F25" s="133">
        <f t="shared" si="9"/>
        <v>13.891603957757201</v>
      </c>
      <c r="G25" s="133">
        <f t="shared" si="9"/>
        <v>13.723717881889399</v>
      </c>
      <c r="H25" s="133">
        <f t="shared" si="9"/>
        <v>14.824328754381083</v>
      </c>
      <c r="I25" s="133">
        <f t="shared" si="9"/>
        <v>16.574094322558921</v>
      </c>
      <c r="J25" s="133">
        <f t="shared" si="9"/>
        <v>19.061074298817374</v>
      </c>
      <c r="K25" s="133">
        <f t="shared" si="9"/>
        <v>20.37261942323839</v>
      </c>
      <c r="L25" s="133">
        <f t="shared" si="7"/>
        <v>21.404178197849568</v>
      </c>
      <c r="M25" s="133">
        <f t="shared" si="7"/>
        <v>22.873467145951576</v>
      </c>
      <c r="N25" s="133">
        <f t="shared" si="7"/>
        <v>23.808128485548043</v>
      </c>
      <c r="O25" s="133">
        <f t="shared" si="7"/>
        <v>24.78415619190152</v>
      </c>
      <c r="P25" s="133">
        <f t="shared" si="7"/>
        <v>25.527514982665206</v>
      </c>
      <c r="Q25" s="133">
        <f t="shared" si="7"/>
        <v>29.320664012161572</v>
      </c>
      <c r="R25" s="133">
        <f t="shared" si="7"/>
        <v>30.114001055823486</v>
      </c>
      <c r="S25" s="133">
        <f t="shared" si="7"/>
        <v>29.330677267390708</v>
      </c>
      <c r="T25" s="133">
        <f>T8/T$10*100</f>
        <v>30.359875957493994</v>
      </c>
      <c r="U25" s="133">
        <f t="shared" si="10"/>
        <v>31.614769877060329</v>
      </c>
      <c r="V25" s="133">
        <f>V8/V$10*100</f>
        <v>32.402720614352852</v>
      </c>
      <c r="W25" s="217">
        <f t="shared" si="10"/>
        <v>34.439437250134787</v>
      </c>
      <c r="X25" s="217">
        <f t="shared" si="11"/>
        <v>31.740227123763436</v>
      </c>
      <c r="Y25" s="217">
        <f t="shared" si="11"/>
        <v>31.47656166480531</v>
      </c>
    </row>
    <row r="26" spans="2:25">
      <c r="B26" s="126" t="s">
        <v>103</v>
      </c>
      <c r="C26" s="133">
        <f t="shared" si="9"/>
        <v>18.082170983964325</v>
      </c>
      <c r="D26" s="133">
        <f t="shared" si="9"/>
        <v>18.341845672311027</v>
      </c>
      <c r="E26" s="133">
        <f t="shared" si="9"/>
        <v>17.450446397095337</v>
      </c>
      <c r="F26" s="133">
        <f t="shared" si="9"/>
        <v>18.080732244892392</v>
      </c>
      <c r="G26" s="133">
        <f t="shared" si="9"/>
        <v>18.465596125674821</v>
      </c>
      <c r="H26" s="133">
        <f t="shared" si="9"/>
        <v>18.416130027243323</v>
      </c>
      <c r="I26" s="133">
        <f t="shared" si="9"/>
        <v>18.378374145889389</v>
      </c>
      <c r="J26" s="133">
        <f t="shared" si="9"/>
        <v>18.851072711596075</v>
      </c>
      <c r="K26" s="133">
        <f t="shared" si="9"/>
        <v>18.338600817532349</v>
      </c>
      <c r="L26" s="133">
        <f t="shared" si="7"/>
        <v>17.77040636419175</v>
      </c>
      <c r="M26" s="133">
        <f t="shared" si="7"/>
        <v>17.544813286110291</v>
      </c>
      <c r="N26" s="133">
        <f t="shared" si="7"/>
        <v>17.515613856892788</v>
      </c>
      <c r="O26" s="133">
        <f t="shared" si="7"/>
        <v>16.519336269423047</v>
      </c>
      <c r="P26" s="133">
        <f t="shared" si="7"/>
        <v>14.607102924187446</v>
      </c>
      <c r="Q26" s="133">
        <f t="shared" si="7"/>
        <v>14.590354214966169</v>
      </c>
      <c r="R26" s="133">
        <f t="shared" si="7"/>
        <v>14.637095527781433</v>
      </c>
      <c r="S26" s="133">
        <f t="shared" si="7"/>
        <v>13.669402179190293</v>
      </c>
      <c r="T26" s="133">
        <f>T9/T$10*100</f>
        <v>12.667822748639423</v>
      </c>
      <c r="U26" s="133">
        <f t="shared" si="10"/>
        <v>12.686730939338311</v>
      </c>
      <c r="V26" s="133">
        <f>V9/V$10*100</f>
        <v>12.492998779809247</v>
      </c>
      <c r="W26" s="217">
        <f t="shared" si="10"/>
        <v>12.494468632696867</v>
      </c>
      <c r="X26" s="217">
        <f t="shared" si="11"/>
        <v>17.283533613317456</v>
      </c>
      <c r="Y26" s="217">
        <f t="shared" si="11"/>
        <v>17.177061843359269</v>
      </c>
    </row>
    <row r="27" spans="2:25">
      <c r="B27" s="126" t="s">
        <v>92</v>
      </c>
      <c r="C27" s="133">
        <f>SUM(C22:C26)</f>
        <v>100</v>
      </c>
      <c r="D27" s="133">
        <f t="shared" ref="D27:P27" si="12">SUM(D22:D26)</f>
        <v>99.999999999999986</v>
      </c>
      <c r="E27" s="133">
        <f t="shared" si="12"/>
        <v>100</v>
      </c>
      <c r="F27" s="133">
        <f t="shared" si="12"/>
        <v>100</v>
      </c>
      <c r="G27" s="133">
        <f t="shared" si="12"/>
        <v>100</v>
      </c>
      <c r="H27" s="133">
        <f t="shared" si="12"/>
        <v>100</v>
      </c>
      <c r="I27" s="133">
        <f t="shared" si="12"/>
        <v>100</v>
      </c>
      <c r="J27" s="133">
        <f t="shared" si="12"/>
        <v>100</v>
      </c>
      <c r="K27" s="133">
        <f t="shared" si="12"/>
        <v>100</v>
      </c>
      <c r="L27" s="133">
        <f t="shared" si="12"/>
        <v>100</v>
      </c>
      <c r="M27" s="133">
        <f t="shared" si="12"/>
        <v>100</v>
      </c>
      <c r="N27" s="133">
        <f t="shared" si="12"/>
        <v>100</v>
      </c>
      <c r="O27" s="133">
        <f t="shared" si="12"/>
        <v>100</v>
      </c>
      <c r="P27" s="133">
        <f t="shared" si="12"/>
        <v>100</v>
      </c>
      <c r="Q27" s="133">
        <f t="shared" ref="Q27:W27" si="13">SUM(Q22:Q26)</f>
        <v>100</v>
      </c>
      <c r="R27" s="133">
        <f t="shared" si="13"/>
        <v>100</v>
      </c>
      <c r="S27" s="133">
        <f t="shared" si="13"/>
        <v>100</v>
      </c>
      <c r="T27" s="133">
        <f t="shared" si="13"/>
        <v>100</v>
      </c>
      <c r="U27" s="133">
        <f t="shared" si="13"/>
        <v>100</v>
      </c>
      <c r="V27" s="133">
        <f>SUM(V22:V26)</f>
        <v>99.999999999999986</v>
      </c>
      <c r="W27" s="217">
        <f t="shared" si="13"/>
        <v>100</v>
      </c>
      <c r="X27" s="217">
        <f>SUM(X22:X26)</f>
        <v>100.00011488884792</v>
      </c>
      <c r="Y27" s="217">
        <f>SUM(Y22:Y26)</f>
        <v>100.00005686431945</v>
      </c>
    </row>
    <row r="29" spans="2:25">
      <c r="B29" s="651" t="s">
        <v>97</v>
      </c>
      <c r="C29" s="651"/>
      <c r="D29" s="651"/>
      <c r="E29" s="651"/>
    </row>
    <row r="30" spans="2:25">
      <c r="B30" s="122"/>
      <c r="C30" s="123" t="s">
        <v>66</v>
      </c>
      <c r="D30" s="123" t="s">
        <v>80</v>
      </c>
      <c r="E30" s="123" t="s">
        <v>67</v>
      </c>
      <c r="F30" s="123" t="s">
        <v>81</v>
      </c>
      <c r="G30" s="123" t="s">
        <v>68</v>
      </c>
      <c r="H30" s="123" t="s">
        <v>82</v>
      </c>
      <c r="I30" s="123" t="s">
        <v>69</v>
      </c>
      <c r="J30" s="123" t="s">
        <v>83</v>
      </c>
      <c r="K30" s="123" t="s">
        <v>70</v>
      </c>
      <c r="L30" s="123" t="s">
        <v>71</v>
      </c>
      <c r="M30" s="123" t="s">
        <v>72</v>
      </c>
      <c r="N30" s="132" t="s">
        <v>109</v>
      </c>
      <c r="O30" s="132" t="s">
        <v>127</v>
      </c>
      <c r="P30" s="132" t="s">
        <v>131</v>
      </c>
      <c r="Q30" s="132" t="s">
        <v>138</v>
      </c>
      <c r="R30" s="132" t="s">
        <v>169</v>
      </c>
      <c r="S30" s="124" t="s">
        <v>178</v>
      </c>
      <c r="T30" s="132" t="s">
        <v>200</v>
      </c>
      <c r="U30" s="158" t="s">
        <v>207</v>
      </c>
      <c r="V30" s="170" t="s">
        <v>215</v>
      </c>
      <c r="W30" s="214" t="s">
        <v>246</v>
      </c>
      <c r="X30" s="227" t="s">
        <v>254</v>
      </c>
      <c r="Y30" s="261" t="s">
        <v>311</v>
      </c>
    </row>
    <row r="31" spans="2:25">
      <c r="B31" s="126" t="s">
        <v>100</v>
      </c>
      <c r="C31" s="134">
        <f>ROUND(C22,1)</f>
        <v>26.6</v>
      </c>
      <c r="D31" s="134">
        <f t="shared" ref="D31:T35" si="14">ROUND(D22,1)</f>
        <v>25.5</v>
      </c>
      <c r="E31" s="134">
        <f t="shared" si="14"/>
        <v>28.2</v>
      </c>
      <c r="F31" s="134">
        <f t="shared" si="14"/>
        <v>21.4</v>
      </c>
      <c r="G31" s="134">
        <f t="shared" si="14"/>
        <v>21</v>
      </c>
      <c r="H31" s="134">
        <f t="shared" si="14"/>
        <v>19.2</v>
      </c>
      <c r="I31" s="134">
        <f t="shared" si="14"/>
        <v>16.100000000000001</v>
      </c>
      <c r="J31" s="134">
        <f t="shared" si="14"/>
        <v>12.8</v>
      </c>
      <c r="K31" s="134">
        <f t="shared" si="14"/>
        <v>10.9</v>
      </c>
      <c r="L31" s="134">
        <f t="shared" si="14"/>
        <v>10</v>
      </c>
      <c r="M31" s="134">
        <f t="shared" si="14"/>
        <v>9.5</v>
      </c>
      <c r="N31" s="134">
        <f t="shared" si="14"/>
        <v>10.3</v>
      </c>
      <c r="O31" s="134">
        <f t="shared" si="14"/>
        <v>8</v>
      </c>
      <c r="P31" s="134">
        <f t="shared" si="14"/>
        <v>7.5</v>
      </c>
      <c r="Q31" s="134">
        <f t="shared" si="14"/>
        <v>5.8</v>
      </c>
      <c r="R31" s="134">
        <f t="shared" si="14"/>
        <v>5.5</v>
      </c>
      <c r="S31" s="134">
        <f t="shared" si="14"/>
        <v>4.5</v>
      </c>
      <c r="T31" s="134">
        <f t="shared" si="14"/>
        <v>5.0999999999999996</v>
      </c>
      <c r="U31" s="134">
        <f t="shared" ref="U31:W35" si="15">ROUND(U22,1)</f>
        <v>6.2</v>
      </c>
      <c r="V31" s="134">
        <f>ROUND(V22,1)</f>
        <v>6.2</v>
      </c>
      <c r="W31" s="154">
        <f t="shared" si="15"/>
        <v>6.4</v>
      </c>
      <c r="X31" s="154">
        <f t="shared" ref="X31:Y35" si="16">ROUND(X22,1)</f>
        <v>6.6</v>
      </c>
      <c r="Y31" s="154">
        <f t="shared" si="16"/>
        <v>7.1</v>
      </c>
    </row>
    <row r="32" spans="2:25">
      <c r="B32" s="126" t="s">
        <v>91</v>
      </c>
      <c r="C32" s="134">
        <f>ROUND(C23,1)-0.1</f>
        <v>35.6</v>
      </c>
      <c r="D32" s="134">
        <f t="shared" si="14"/>
        <v>35</v>
      </c>
      <c r="E32" s="134">
        <f t="shared" si="14"/>
        <v>33.4</v>
      </c>
      <c r="F32" s="134">
        <f t="shared" si="14"/>
        <v>36.700000000000003</v>
      </c>
      <c r="G32" s="134">
        <f t="shared" si="14"/>
        <v>36.1</v>
      </c>
      <c r="H32" s="134">
        <f>ROUND(H23,1)+0.1</f>
        <v>36.300000000000004</v>
      </c>
      <c r="I32" s="134">
        <f>ROUND(I23,1)-0.1</f>
        <v>35.799999999999997</v>
      </c>
      <c r="J32" s="134">
        <f t="shared" si="14"/>
        <v>36.6</v>
      </c>
      <c r="K32" s="134">
        <f t="shared" si="14"/>
        <v>37.6</v>
      </c>
      <c r="L32" s="134">
        <f t="shared" si="14"/>
        <v>38.200000000000003</v>
      </c>
      <c r="M32" s="134">
        <f t="shared" si="14"/>
        <v>37</v>
      </c>
      <c r="N32" s="134">
        <f t="shared" si="14"/>
        <v>35.200000000000003</v>
      </c>
      <c r="O32" s="134">
        <f t="shared" si="14"/>
        <v>36.9</v>
      </c>
      <c r="P32" s="134">
        <f t="shared" si="14"/>
        <v>39.1</v>
      </c>
      <c r="Q32" s="135">
        <f>ROUND(Q23,1)+0.1</f>
        <v>36.800000000000004</v>
      </c>
      <c r="R32" s="136">
        <f>ROUND(R23,1)</f>
        <v>35.4</v>
      </c>
      <c r="S32" s="136">
        <f>ROUND(S23,1)</f>
        <v>37.200000000000003</v>
      </c>
      <c r="T32" s="136">
        <f>ROUND(T23,1)</f>
        <v>34.9</v>
      </c>
      <c r="U32" s="136">
        <f t="shared" si="15"/>
        <v>33.200000000000003</v>
      </c>
      <c r="V32" s="136">
        <f>ROUND(V23,1)</f>
        <v>31.8</v>
      </c>
      <c r="W32" s="218">
        <f t="shared" si="15"/>
        <v>29.8</v>
      </c>
      <c r="X32" s="218">
        <f t="shared" si="16"/>
        <v>29.2</v>
      </c>
      <c r="Y32" s="218">
        <f t="shared" si="16"/>
        <v>27.6</v>
      </c>
    </row>
    <row r="33" spans="2:25">
      <c r="B33" s="126" t="s">
        <v>101</v>
      </c>
      <c r="C33" s="134">
        <f t="shared" ref="C33:K35" si="17">ROUND(C24,1)</f>
        <v>7.9</v>
      </c>
      <c r="D33" s="134">
        <f>ROUND(D24,1)+0.1</f>
        <v>8.6999999999999993</v>
      </c>
      <c r="E33" s="134">
        <f t="shared" si="17"/>
        <v>8.4</v>
      </c>
      <c r="F33" s="134">
        <f t="shared" si="17"/>
        <v>9.9</v>
      </c>
      <c r="G33" s="134">
        <f t="shared" si="17"/>
        <v>10.7</v>
      </c>
      <c r="H33" s="134">
        <f t="shared" si="17"/>
        <v>11.3</v>
      </c>
      <c r="I33" s="134">
        <f t="shared" si="17"/>
        <v>13.1</v>
      </c>
      <c r="J33" s="134">
        <f t="shared" si="17"/>
        <v>12.7</v>
      </c>
      <c r="K33" s="134">
        <f t="shared" si="17"/>
        <v>12.8</v>
      </c>
      <c r="L33" s="134">
        <f t="shared" si="14"/>
        <v>12.6</v>
      </c>
      <c r="M33" s="134">
        <f t="shared" si="14"/>
        <v>13.1</v>
      </c>
      <c r="N33" s="134">
        <f t="shared" si="14"/>
        <v>13.2</v>
      </c>
      <c r="O33" s="134">
        <f t="shared" si="14"/>
        <v>13.8</v>
      </c>
      <c r="P33" s="134">
        <f t="shared" si="14"/>
        <v>13.3</v>
      </c>
      <c r="Q33" s="134">
        <f t="shared" si="14"/>
        <v>13.5</v>
      </c>
      <c r="R33" s="134">
        <f t="shared" si="14"/>
        <v>14.4</v>
      </c>
      <c r="S33" s="134">
        <f t="shared" si="14"/>
        <v>15.3</v>
      </c>
      <c r="T33" s="135">
        <f>ROUND(T24,1)-0.1</f>
        <v>16.899999999999999</v>
      </c>
      <c r="U33" s="159">
        <f t="shared" si="15"/>
        <v>16.3</v>
      </c>
      <c r="V33" s="159">
        <f>ROUND(V24,1)</f>
        <v>17.100000000000001</v>
      </c>
      <c r="W33" s="219">
        <f t="shared" si="15"/>
        <v>16.899999999999999</v>
      </c>
      <c r="X33" s="219">
        <f t="shared" si="16"/>
        <v>15.1</v>
      </c>
      <c r="Y33" s="219">
        <f t="shared" si="16"/>
        <v>16.600000000000001</v>
      </c>
    </row>
    <row r="34" spans="2:25">
      <c r="B34" s="126" t="s">
        <v>102</v>
      </c>
      <c r="C34" s="134">
        <f t="shared" si="17"/>
        <v>11.8</v>
      </c>
      <c r="D34" s="134">
        <f t="shared" si="17"/>
        <v>12.5</v>
      </c>
      <c r="E34" s="134">
        <f t="shared" si="17"/>
        <v>12.5</v>
      </c>
      <c r="F34" s="134">
        <f t="shared" si="17"/>
        <v>13.9</v>
      </c>
      <c r="G34" s="134">
        <f t="shared" si="17"/>
        <v>13.7</v>
      </c>
      <c r="H34" s="134">
        <f t="shared" si="17"/>
        <v>14.8</v>
      </c>
      <c r="I34" s="134">
        <f t="shared" si="17"/>
        <v>16.600000000000001</v>
      </c>
      <c r="J34" s="134">
        <f t="shared" si="17"/>
        <v>19.100000000000001</v>
      </c>
      <c r="K34" s="134">
        <f t="shared" si="17"/>
        <v>20.399999999999999</v>
      </c>
      <c r="L34" s="134">
        <f t="shared" si="14"/>
        <v>21.4</v>
      </c>
      <c r="M34" s="134">
        <f t="shared" si="14"/>
        <v>22.9</v>
      </c>
      <c r="N34" s="134">
        <f t="shared" si="14"/>
        <v>23.8</v>
      </c>
      <c r="O34" s="134">
        <f t="shared" si="14"/>
        <v>24.8</v>
      </c>
      <c r="P34" s="134">
        <f t="shared" si="14"/>
        <v>25.5</v>
      </c>
      <c r="Q34" s="134">
        <f t="shared" si="14"/>
        <v>29.3</v>
      </c>
      <c r="R34" s="134">
        <f t="shared" si="14"/>
        <v>30.1</v>
      </c>
      <c r="S34" s="134">
        <f t="shared" si="14"/>
        <v>29.3</v>
      </c>
      <c r="T34" s="134">
        <f t="shared" si="14"/>
        <v>30.4</v>
      </c>
      <c r="U34" s="134">
        <f t="shared" si="15"/>
        <v>31.6</v>
      </c>
      <c r="V34" s="134">
        <f>ROUND(V25,1)</f>
        <v>32.4</v>
      </c>
      <c r="W34" s="154">
        <f t="shared" si="15"/>
        <v>34.4</v>
      </c>
      <c r="X34" s="154">
        <f t="shared" si="16"/>
        <v>31.7</v>
      </c>
      <c r="Y34" s="154">
        <f t="shared" si="16"/>
        <v>31.5</v>
      </c>
    </row>
    <row r="35" spans="2:25">
      <c r="B35" s="126" t="s">
        <v>103</v>
      </c>
      <c r="C35" s="134">
        <f t="shared" si="17"/>
        <v>18.100000000000001</v>
      </c>
      <c r="D35" s="134">
        <f t="shared" si="17"/>
        <v>18.3</v>
      </c>
      <c r="E35" s="134">
        <f t="shared" si="17"/>
        <v>17.5</v>
      </c>
      <c r="F35" s="134">
        <f t="shared" si="17"/>
        <v>18.100000000000001</v>
      </c>
      <c r="G35" s="134">
        <f t="shared" si="17"/>
        <v>18.5</v>
      </c>
      <c r="H35" s="134">
        <f t="shared" si="17"/>
        <v>18.399999999999999</v>
      </c>
      <c r="I35" s="134">
        <f t="shared" si="17"/>
        <v>18.399999999999999</v>
      </c>
      <c r="J35" s="134">
        <f>ROUND(J26,1)-0.1</f>
        <v>18.799999999999997</v>
      </c>
      <c r="K35" s="134">
        <f t="shared" si="17"/>
        <v>18.3</v>
      </c>
      <c r="L35" s="134">
        <f t="shared" si="14"/>
        <v>17.8</v>
      </c>
      <c r="M35" s="134">
        <f t="shared" si="14"/>
        <v>17.5</v>
      </c>
      <c r="N35" s="134">
        <f t="shared" si="14"/>
        <v>17.5</v>
      </c>
      <c r="O35" s="134">
        <f t="shared" si="14"/>
        <v>16.5</v>
      </c>
      <c r="P35" s="134">
        <f t="shared" si="14"/>
        <v>14.6</v>
      </c>
      <c r="Q35" s="134">
        <f t="shared" si="14"/>
        <v>14.6</v>
      </c>
      <c r="R35" s="134">
        <f t="shared" si="14"/>
        <v>14.6</v>
      </c>
      <c r="S35" s="134">
        <f t="shared" si="14"/>
        <v>13.7</v>
      </c>
      <c r="T35" s="134">
        <f t="shared" si="14"/>
        <v>12.7</v>
      </c>
      <c r="U35" s="134">
        <f t="shared" si="15"/>
        <v>12.7</v>
      </c>
      <c r="V35" s="134">
        <f>ROUND(V26,1)</f>
        <v>12.5</v>
      </c>
      <c r="W35" s="154">
        <f t="shared" si="15"/>
        <v>12.5</v>
      </c>
      <c r="X35" s="154">
        <f t="shared" si="16"/>
        <v>17.3</v>
      </c>
      <c r="Y35" s="154">
        <f t="shared" si="16"/>
        <v>17.2</v>
      </c>
    </row>
    <row r="36" spans="2:25">
      <c r="B36" s="126" t="s">
        <v>92</v>
      </c>
      <c r="C36" s="134">
        <f t="shared" ref="C36:P36" si="18">SUM(C31:C35)</f>
        <v>100</v>
      </c>
      <c r="D36" s="134">
        <f t="shared" si="18"/>
        <v>100</v>
      </c>
      <c r="E36" s="134">
        <f t="shared" si="18"/>
        <v>100</v>
      </c>
      <c r="F36" s="134">
        <f t="shared" si="18"/>
        <v>100</v>
      </c>
      <c r="G36" s="134">
        <f t="shared" si="18"/>
        <v>100</v>
      </c>
      <c r="H36" s="134">
        <f t="shared" si="18"/>
        <v>100</v>
      </c>
      <c r="I36" s="134">
        <f t="shared" si="18"/>
        <v>100</v>
      </c>
      <c r="J36" s="134">
        <f t="shared" si="18"/>
        <v>100.00000000000001</v>
      </c>
      <c r="K36" s="134">
        <f t="shared" si="18"/>
        <v>99.999999999999986</v>
      </c>
      <c r="L36" s="134">
        <f t="shared" si="18"/>
        <v>100</v>
      </c>
      <c r="M36" s="134">
        <f t="shared" si="18"/>
        <v>100</v>
      </c>
      <c r="N36" s="134">
        <f t="shared" si="18"/>
        <v>100</v>
      </c>
      <c r="O36" s="134">
        <f t="shared" si="18"/>
        <v>100</v>
      </c>
      <c r="P36" s="134">
        <f t="shared" si="18"/>
        <v>100</v>
      </c>
      <c r="Q36" s="134">
        <f t="shared" ref="Q36:W36" si="19">SUM(Q31:Q35)</f>
        <v>100</v>
      </c>
      <c r="R36" s="134">
        <f t="shared" si="19"/>
        <v>100</v>
      </c>
      <c r="S36" s="134">
        <f t="shared" si="19"/>
        <v>100</v>
      </c>
      <c r="T36" s="134">
        <f t="shared" si="19"/>
        <v>100</v>
      </c>
      <c r="U36" s="134">
        <f t="shared" si="19"/>
        <v>100.00000000000001</v>
      </c>
      <c r="V36" s="134">
        <f>SUM(V31:V35)</f>
        <v>100</v>
      </c>
      <c r="W36" s="154">
        <f t="shared" si="19"/>
        <v>100</v>
      </c>
      <c r="X36" s="154">
        <f>SUM(X31:X35)</f>
        <v>99.899999999999991</v>
      </c>
      <c r="Y36" s="154">
        <f>SUM(Y31:Y35)</f>
        <v>100.00000000000001</v>
      </c>
    </row>
    <row r="38" spans="2:25">
      <c r="B38" s="121" t="s">
        <v>79</v>
      </c>
    </row>
    <row r="39" spans="2:25" s="125" customFormat="1">
      <c r="B39" s="122"/>
      <c r="C39" s="132" t="s">
        <v>66</v>
      </c>
      <c r="D39" s="123" t="s">
        <v>67</v>
      </c>
      <c r="E39" s="123" t="s">
        <v>68</v>
      </c>
      <c r="F39" s="123" t="s">
        <v>69</v>
      </c>
      <c r="G39" s="132" t="s">
        <v>83</v>
      </c>
      <c r="H39" s="123" t="s">
        <v>72</v>
      </c>
      <c r="I39" s="124" t="s">
        <v>127</v>
      </c>
      <c r="J39" s="132" t="s">
        <v>127</v>
      </c>
      <c r="K39" s="228" t="s">
        <v>215</v>
      </c>
      <c r="L39" s="228" t="s">
        <v>255</v>
      </c>
      <c r="M39" s="261" t="s">
        <v>304</v>
      </c>
      <c r="N39" s="261" t="s">
        <v>305</v>
      </c>
    </row>
    <row r="40" spans="2:25" s="125" customFormat="1">
      <c r="B40" s="126" t="s">
        <v>100</v>
      </c>
      <c r="C40" s="127">
        <v>490419</v>
      </c>
      <c r="D40" s="127">
        <v>555592</v>
      </c>
      <c r="E40" s="127">
        <v>390207</v>
      </c>
      <c r="F40" s="127">
        <v>287916</v>
      </c>
      <c r="G40" s="127">
        <v>219703</v>
      </c>
      <c r="H40" s="127">
        <f>M5</f>
        <v>150545</v>
      </c>
      <c r="I40" s="128">
        <f>O5</f>
        <v>124207</v>
      </c>
      <c r="J40" s="128">
        <f t="shared" ref="J40:J45" si="20">O5</f>
        <v>124207</v>
      </c>
      <c r="K40" s="128">
        <f t="shared" ref="K40:N45" si="21">V5</f>
        <v>100879</v>
      </c>
      <c r="L40" s="128">
        <f t="shared" si="21"/>
        <v>100112</v>
      </c>
      <c r="M40" s="129">
        <f t="shared" si="21"/>
        <v>115757</v>
      </c>
      <c r="N40" s="129">
        <f t="shared" si="21"/>
        <v>124704</v>
      </c>
    </row>
    <row r="41" spans="2:25" s="125" customFormat="1">
      <c r="B41" s="126" t="s">
        <v>91</v>
      </c>
      <c r="C41" s="127">
        <f>C45-C44-C43-C40-C42</f>
        <v>657571</v>
      </c>
      <c r="D41" s="127">
        <f>D45-D44-D43-D40-D42</f>
        <v>658464</v>
      </c>
      <c r="E41" s="127">
        <f>E45-E44-E43-E40-E42</f>
        <v>672493</v>
      </c>
      <c r="F41" s="127">
        <f>F45-F44-F43-F40-F42</f>
        <v>641302</v>
      </c>
      <c r="G41" s="127">
        <f>G45-G44-G43-G40-G42</f>
        <v>629351</v>
      </c>
      <c r="H41" s="127">
        <f>M6</f>
        <v>587893</v>
      </c>
      <c r="I41" s="128">
        <f>O6</f>
        <v>573465</v>
      </c>
      <c r="J41" s="128">
        <f t="shared" si="20"/>
        <v>573465</v>
      </c>
      <c r="K41" s="128">
        <f t="shared" si="21"/>
        <v>518938</v>
      </c>
      <c r="L41" s="128">
        <f t="shared" si="21"/>
        <v>468576</v>
      </c>
      <c r="M41" s="129">
        <f t="shared" si="21"/>
        <v>508666</v>
      </c>
      <c r="N41" s="129">
        <f t="shared" si="21"/>
        <v>485989</v>
      </c>
    </row>
    <row r="42" spans="2:25" s="125" customFormat="1">
      <c r="B42" s="126" t="s">
        <v>101</v>
      </c>
      <c r="C42" s="127">
        <v>145516</v>
      </c>
      <c r="D42" s="127">
        <v>166464</v>
      </c>
      <c r="E42" s="127">
        <v>199166</v>
      </c>
      <c r="F42" s="127">
        <v>233813</v>
      </c>
      <c r="G42" s="127">
        <v>218849</v>
      </c>
      <c r="H42" s="127">
        <f>M7</f>
        <v>207507</v>
      </c>
      <c r="I42" s="128">
        <f>O7</f>
        <v>213802</v>
      </c>
      <c r="J42" s="128">
        <f t="shared" si="20"/>
        <v>213802</v>
      </c>
      <c r="K42" s="128">
        <f t="shared" si="21"/>
        <v>278423</v>
      </c>
      <c r="L42" s="128">
        <f t="shared" si="21"/>
        <v>265961</v>
      </c>
      <c r="M42" s="129">
        <f t="shared" si="21"/>
        <v>262980</v>
      </c>
      <c r="N42" s="129">
        <f t="shared" si="21"/>
        <v>292271</v>
      </c>
    </row>
    <row r="43" spans="2:25" s="125" customFormat="1">
      <c r="B43" s="126" t="s">
        <v>102</v>
      </c>
      <c r="C43" s="127">
        <v>217325</v>
      </c>
      <c r="D43" s="127">
        <v>246904</v>
      </c>
      <c r="E43" s="127">
        <v>255380</v>
      </c>
      <c r="F43" s="127">
        <v>296340</v>
      </c>
      <c r="G43" s="127">
        <v>327848</v>
      </c>
      <c r="H43" s="127">
        <f>M8</f>
        <v>363149</v>
      </c>
      <c r="I43" s="128">
        <f>O8</f>
        <v>384863</v>
      </c>
      <c r="J43" s="128">
        <f t="shared" si="20"/>
        <v>384863</v>
      </c>
      <c r="K43" s="128">
        <f t="shared" si="21"/>
        <v>528188</v>
      </c>
      <c r="L43" s="128">
        <f t="shared" si="21"/>
        <v>541680</v>
      </c>
      <c r="M43" s="129">
        <f t="shared" si="21"/>
        <v>552538</v>
      </c>
      <c r="N43" s="129">
        <f t="shared" si="21"/>
        <v>553538</v>
      </c>
    </row>
    <row r="44" spans="2:25" s="125" customFormat="1">
      <c r="B44" s="126" t="s">
        <v>103</v>
      </c>
      <c r="C44" s="127">
        <v>333494</v>
      </c>
      <c r="D44" s="127">
        <v>344027</v>
      </c>
      <c r="E44" s="127">
        <v>343620</v>
      </c>
      <c r="F44" s="127">
        <v>328600</v>
      </c>
      <c r="G44" s="127">
        <v>324236</v>
      </c>
      <c r="H44" s="127">
        <f>M9</f>
        <v>278549</v>
      </c>
      <c r="I44" s="128">
        <f>O9</f>
        <v>256522</v>
      </c>
      <c r="J44" s="128">
        <f t="shared" si="20"/>
        <v>256522</v>
      </c>
      <c r="K44" s="128">
        <f t="shared" si="21"/>
        <v>203645</v>
      </c>
      <c r="L44" s="128">
        <f t="shared" si="21"/>
        <v>196519</v>
      </c>
      <c r="M44" s="129">
        <f t="shared" si="21"/>
        <v>300874</v>
      </c>
      <c r="N44" s="129">
        <f t="shared" si="21"/>
        <v>302071</v>
      </c>
    </row>
    <row r="45" spans="2:25" s="125" customFormat="1">
      <c r="B45" s="126" t="s">
        <v>92</v>
      </c>
      <c r="C45" s="127">
        <v>1844325</v>
      </c>
      <c r="D45" s="127">
        <v>1971451</v>
      </c>
      <c r="E45" s="127">
        <v>1860866</v>
      </c>
      <c r="F45" s="127">
        <v>1787971</v>
      </c>
      <c r="G45" s="127">
        <v>1719987</v>
      </c>
      <c r="H45" s="127">
        <f>SUM(H40:H44)</f>
        <v>1587643</v>
      </c>
      <c r="I45" s="127">
        <f>SUM(I40:I44)</f>
        <v>1552859</v>
      </c>
      <c r="J45" s="127">
        <f t="shared" si="20"/>
        <v>1552859</v>
      </c>
      <c r="K45" s="127">
        <f t="shared" si="21"/>
        <v>1630073</v>
      </c>
      <c r="L45" s="127">
        <f t="shared" si="21"/>
        <v>1572848</v>
      </c>
      <c r="M45" s="216">
        <f t="shared" si="21"/>
        <v>1740813</v>
      </c>
      <c r="N45" s="216">
        <f t="shared" si="21"/>
        <v>1758572</v>
      </c>
    </row>
    <row r="46" spans="2:25" s="125" customFormat="1">
      <c r="B46" s="130"/>
      <c r="C46" s="131">
        <f t="shared" ref="C46:K46" si="22">SUM(C40:C44)-C45</f>
        <v>0</v>
      </c>
      <c r="D46" s="131">
        <f t="shared" si="22"/>
        <v>0</v>
      </c>
      <c r="E46" s="131">
        <f t="shared" si="22"/>
        <v>0</v>
      </c>
      <c r="F46" s="131">
        <f t="shared" si="22"/>
        <v>0</v>
      </c>
      <c r="G46" s="131">
        <f t="shared" si="22"/>
        <v>0</v>
      </c>
      <c r="H46" s="131">
        <f t="shared" si="22"/>
        <v>0</v>
      </c>
      <c r="I46" s="131">
        <f t="shared" si="22"/>
        <v>0</v>
      </c>
      <c r="J46" s="131">
        <f>SUM(J40:J44)-J45</f>
        <v>0</v>
      </c>
      <c r="K46" s="131">
        <f t="shared" si="22"/>
        <v>0</v>
      </c>
      <c r="L46" s="131">
        <f>SUM(L40:L44)-L45</f>
        <v>0</v>
      </c>
      <c r="M46" s="131">
        <f>SUM(M40:M44)-M45</f>
        <v>2</v>
      </c>
      <c r="N46" s="131">
        <f>SUM(N40:N44)-N45</f>
        <v>1</v>
      </c>
    </row>
    <row r="47" spans="2:25">
      <c r="B47" s="220" t="s">
        <v>140</v>
      </c>
    </row>
    <row r="48" spans="2:25" s="125" customFormat="1">
      <c r="B48" s="122"/>
      <c r="C48" s="123" t="s">
        <v>66</v>
      </c>
      <c r="D48" s="123" t="s">
        <v>67</v>
      </c>
      <c r="E48" s="123" t="s">
        <v>68</v>
      </c>
      <c r="F48" s="123" t="s">
        <v>69</v>
      </c>
      <c r="G48" s="132" t="s">
        <v>83</v>
      </c>
      <c r="H48" s="123" t="s">
        <v>72</v>
      </c>
      <c r="I48" s="124" t="s">
        <v>127</v>
      </c>
      <c r="J48" s="132" t="s">
        <v>127</v>
      </c>
      <c r="K48" s="160" t="s">
        <v>256</v>
      </c>
      <c r="L48" s="171" t="s">
        <v>257</v>
      </c>
      <c r="M48" s="261" t="s">
        <v>306</v>
      </c>
      <c r="N48" s="261" t="s">
        <v>308</v>
      </c>
    </row>
    <row r="49" spans="2:14" s="125" customFormat="1">
      <c r="B49" s="126" t="s">
        <v>100</v>
      </c>
      <c r="C49" s="444">
        <f t="shared" ref="C49:J49" si="23">ROUND(C40/100,0)</f>
        <v>4904</v>
      </c>
      <c r="D49" s="444">
        <f t="shared" si="23"/>
        <v>5556</v>
      </c>
      <c r="E49" s="444">
        <f t="shared" si="23"/>
        <v>3902</v>
      </c>
      <c r="F49" s="444">
        <f t="shared" si="23"/>
        <v>2879</v>
      </c>
      <c r="G49" s="444">
        <f t="shared" si="23"/>
        <v>2197</v>
      </c>
      <c r="H49" s="444">
        <f t="shared" si="23"/>
        <v>1505</v>
      </c>
      <c r="I49" s="444">
        <f t="shared" si="23"/>
        <v>1242</v>
      </c>
      <c r="J49" s="444">
        <f t="shared" si="23"/>
        <v>1242</v>
      </c>
      <c r="K49" s="444">
        <f t="shared" ref="K49:N50" si="24">ROUND(K40/100,0)</f>
        <v>1009</v>
      </c>
      <c r="L49" s="444">
        <f t="shared" si="24"/>
        <v>1001</v>
      </c>
      <c r="M49" s="445">
        <f t="shared" ref="M49:M54" si="25">ROUND(M40/100,0)</f>
        <v>1158</v>
      </c>
      <c r="N49" s="445">
        <f t="shared" si="24"/>
        <v>1247</v>
      </c>
    </row>
    <row r="50" spans="2:14" s="125" customFormat="1">
      <c r="B50" s="126" t="s">
        <v>91</v>
      </c>
      <c r="C50" s="444">
        <f t="shared" ref="C50:J54" si="26">ROUND(C41/100,0)</f>
        <v>6576</v>
      </c>
      <c r="D50" s="444">
        <f t="shared" si="26"/>
        <v>6585</v>
      </c>
      <c r="E50" s="444">
        <f t="shared" si="26"/>
        <v>6725</v>
      </c>
      <c r="F50" s="444">
        <f t="shared" si="26"/>
        <v>6413</v>
      </c>
      <c r="G50" s="444">
        <f>ROUND(G41/100,0)+1</f>
        <v>6295</v>
      </c>
      <c r="H50" s="444">
        <f t="shared" si="26"/>
        <v>5879</v>
      </c>
      <c r="I50" s="444">
        <f t="shared" si="26"/>
        <v>5735</v>
      </c>
      <c r="J50" s="444">
        <f>ROUND(J41/100,0)</f>
        <v>5735</v>
      </c>
      <c r="K50" s="444">
        <f t="shared" si="24"/>
        <v>5189</v>
      </c>
      <c r="L50" s="444">
        <f t="shared" si="24"/>
        <v>4686</v>
      </c>
      <c r="M50" s="445">
        <f t="shared" si="25"/>
        <v>5087</v>
      </c>
      <c r="N50" s="445">
        <f t="shared" si="24"/>
        <v>4860</v>
      </c>
    </row>
    <row r="51" spans="2:14" s="125" customFormat="1">
      <c r="B51" s="126" t="s">
        <v>101</v>
      </c>
      <c r="C51" s="444">
        <f t="shared" si="26"/>
        <v>1455</v>
      </c>
      <c r="D51" s="444">
        <f t="shared" si="26"/>
        <v>1665</v>
      </c>
      <c r="E51" s="444">
        <f t="shared" si="26"/>
        <v>1992</v>
      </c>
      <c r="F51" s="444">
        <f t="shared" si="26"/>
        <v>2338</v>
      </c>
      <c r="G51" s="444">
        <f t="shared" si="26"/>
        <v>2188</v>
      </c>
      <c r="H51" s="444">
        <f t="shared" si="26"/>
        <v>2075</v>
      </c>
      <c r="I51" s="444">
        <f t="shared" si="26"/>
        <v>2138</v>
      </c>
      <c r="J51" s="444">
        <f>ROUND(J42/100,0)</f>
        <v>2138</v>
      </c>
      <c r="K51" s="444">
        <f>ROUND(K42/100,0)+1</f>
        <v>2785</v>
      </c>
      <c r="L51" s="444">
        <f t="shared" ref="L51:N54" si="27">ROUND(L42/100,0)</f>
        <v>2660</v>
      </c>
      <c r="M51" s="445">
        <f t="shared" si="25"/>
        <v>2630</v>
      </c>
      <c r="N51" s="445">
        <f t="shared" si="27"/>
        <v>2923</v>
      </c>
    </row>
    <row r="52" spans="2:14" s="125" customFormat="1">
      <c r="B52" s="126" t="s">
        <v>102</v>
      </c>
      <c r="C52" s="444">
        <f t="shared" si="26"/>
        <v>2173</v>
      </c>
      <c r="D52" s="444">
        <f t="shared" si="26"/>
        <v>2469</v>
      </c>
      <c r="E52" s="444">
        <f t="shared" si="26"/>
        <v>2554</v>
      </c>
      <c r="F52" s="444">
        <f>ROUND(F43/100,0)+1</f>
        <v>2964</v>
      </c>
      <c r="G52" s="444">
        <f>ROUND(G43/100,0)</f>
        <v>3278</v>
      </c>
      <c r="H52" s="444">
        <f t="shared" si="26"/>
        <v>3631</v>
      </c>
      <c r="I52" s="444">
        <f t="shared" si="26"/>
        <v>3849</v>
      </c>
      <c r="J52" s="444">
        <f>ROUND(J43/100,0)+1</f>
        <v>3850</v>
      </c>
      <c r="K52" s="444">
        <f>ROUND(K43/100,0)</f>
        <v>5282</v>
      </c>
      <c r="L52" s="444">
        <f t="shared" si="27"/>
        <v>5417</v>
      </c>
      <c r="M52" s="445">
        <f t="shared" si="25"/>
        <v>5525</v>
      </c>
      <c r="N52" s="445">
        <f t="shared" si="27"/>
        <v>5535</v>
      </c>
    </row>
    <row r="53" spans="2:14" s="125" customFormat="1">
      <c r="B53" s="126" t="s">
        <v>103</v>
      </c>
      <c r="C53" s="444">
        <f t="shared" si="26"/>
        <v>3335</v>
      </c>
      <c r="D53" s="444">
        <f t="shared" si="26"/>
        <v>3440</v>
      </c>
      <c r="E53" s="444">
        <f t="shared" si="26"/>
        <v>3436</v>
      </c>
      <c r="F53" s="444">
        <f t="shared" si="26"/>
        <v>3286</v>
      </c>
      <c r="G53" s="444">
        <f t="shared" si="26"/>
        <v>3242</v>
      </c>
      <c r="H53" s="444">
        <f>ROUND(H44/100,0)+1</f>
        <v>2786</v>
      </c>
      <c r="I53" s="444">
        <f t="shared" si="26"/>
        <v>2565</v>
      </c>
      <c r="J53" s="444">
        <f t="shared" si="26"/>
        <v>2565</v>
      </c>
      <c r="K53" s="444">
        <f>ROUND(K44/100,0)</f>
        <v>2036</v>
      </c>
      <c r="L53" s="444">
        <f t="shared" si="27"/>
        <v>1965</v>
      </c>
      <c r="M53" s="445">
        <f t="shared" si="25"/>
        <v>3009</v>
      </c>
      <c r="N53" s="445">
        <f t="shared" si="27"/>
        <v>3021</v>
      </c>
    </row>
    <row r="54" spans="2:14" s="125" customFormat="1">
      <c r="B54" s="126" t="s">
        <v>92</v>
      </c>
      <c r="C54" s="444">
        <f t="shared" si="26"/>
        <v>18443</v>
      </c>
      <c r="D54" s="444">
        <f t="shared" si="26"/>
        <v>19715</v>
      </c>
      <c r="E54" s="444">
        <f t="shared" si="26"/>
        <v>18609</v>
      </c>
      <c r="F54" s="444">
        <f t="shared" si="26"/>
        <v>17880</v>
      </c>
      <c r="G54" s="444">
        <f t="shared" si="26"/>
        <v>17200</v>
      </c>
      <c r="H54" s="444">
        <f t="shared" si="26"/>
        <v>15876</v>
      </c>
      <c r="I54" s="444">
        <f t="shared" si="26"/>
        <v>15529</v>
      </c>
      <c r="J54" s="444">
        <f t="shared" si="26"/>
        <v>15529</v>
      </c>
      <c r="K54" s="444">
        <f>ROUND(K45/100,0)</f>
        <v>16301</v>
      </c>
      <c r="L54" s="444">
        <f t="shared" si="27"/>
        <v>15728</v>
      </c>
      <c r="M54" s="445">
        <f t="shared" si="25"/>
        <v>17408</v>
      </c>
      <c r="N54" s="445">
        <f t="shared" si="27"/>
        <v>17586</v>
      </c>
    </row>
    <row r="55" spans="2:14">
      <c r="M55" s="220"/>
      <c r="N55" s="220"/>
    </row>
    <row r="56" spans="2:14">
      <c r="B56" s="137" t="s">
        <v>104</v>
      </c>
      <c r="C56" s="137"/>
      <c r="D56" s="137"/>
      <c r="E56" s="138"/>
      <c r="F56" s="138"/>
      <c r="G56" s="138"/>
      <c r="M56" s="220"/>
      <c r="N56" s="220"/>
    </row>
    <row r="57" spans="2:14">
      <c r="B57" s="139"/>
      <c r="C57" s="215" t="s">
        <v>66</v>
      </c>
      <c r="D57" s="215" t="s">
        <v>67</v>
      </c>
      <c r="E57" s="215" t="s">
        <v>68</v>
      </c>
      <c r="F57" s="215" t="s">
        <v>69</v>
      </c>
      <c r="G57" s="215" t="s">
        <v>83</v>
      </c>
      <c r="H57" s="215" t="s">
        <v>72</v>
      </c>
      <c r="I57" s="215" t="s">
        <v>127</v>
      </c>
      <c r="J57" s="215" t="s">
        <v>127</v>
      </c>
      <c r="K57" s="214" t="s">
        <v>256</v>
      </c>
      <c r="L57" s="214" t="s">
        <v>257</v>
      </c>
      <c r="M57" s="262" t="s">
        <v>307</v>
      </c>
      <c r="N57" s="262" t="s">
        <v>309</v>
      </c>
    </row>
    <row r="58" spans="2:14">
      <c r="B58" s="140" t="s">
        <v>101</v>
      </c>
      <c r="C58" s="141">
        <v>145516</v>
      </c>
      <c r="D58" s="141">
        <v>166464</v>
      </c>
      <c r="E58" s="141">
        <v>199166</v>
      </c>
      <c r="F58" s="141">
        <v>233813</v>
      </c>
      <c r="G58" s="141">
        <v>218849</v>
      </c>
      <c r="H58" s="141">
        <f>M15</f>
        <v>207507</v>
      </c>
      <c r="I58" s="141">
        <f>O15</f>
        <v>213802</v>
      </c>
      <c r="J58" s="141">
        <f>O15</f>
        <v>213802</v>
      </c>
      <c r="K58" s="141">
        <f t="shared" ref="K58:N60" si="28">V15</f>
        <v>278423</v>
      </c>
      <c r="L58" s="141">
        <f t="shared" si="28"/>
        <v>265961</v>
      </c>
      <c r="M58" s="221">
        <f t="shared" si="28"/>
        <v>262980</v>
      </c>
      <c r="N58" s="221">
        <f t="shared" si="28"/>
        <v>292271</v>
      </c>
    </row>
    <row r="59" spans="2:14">
      <c r="B59" s="140" t="s">
        <v>102</v>
      </c>
      <c r="C59" s="141">
        <v>217325</v>
      </c>
      <c r="D59" s="141">
        <v>246904</v>
      </c>
      <c r="E59" s="141">
        <v>255380</v>
      </c>
      <c r="F59" s="141">
        <v>296340</v>
      </c>
      <c r="G59" s="141">
        <v>327848</v>
      </c>
      <c r="H59" s="141">
        <f>M16</f>
        <v>363149</v>
      </c>
      <c r="I59" s="141">
        <f>O16</f>
        <v>384863</v>
      </c>
      <c r="J59" s="141">
        <f>O16</f>
        <v>384863</v>
      </c>
      <c r="K59" s="141">
        <f t="shared" si="28"/>
        <v>528188</v>
      </c>
      <c r="L59" s="141">
        <f t="shared" si="28"/>
        <v>541680</v>
      </c>
      <c r="M59" s="221">
        <f t="shared" si="28"/>
        <v>552538</v>
      </c>
      <c r="N59" s="221">
        <f t="shared" si="28"/>
        <v>553538</v>
      </c>
    </row>
    <row r="60" spans="2:14">
      <c r="B60" s="140" t="s">
        <v>103</v>
      </c>
      <c r="C60" s="141">
        <v>333494</v>
      </c>
      <c r="D60" s="141">
        <v>344027</v>
      </c>
      <c r="E60" s="141">
        <v>343620</v>
      </c>
      <c r="F60" s="141">
        <v>328600</v>
      </c>
      <c r="G60" s="141">
        <v>324236</v>
      </c>
      <c r="H60" s="141">
        <f>M17</f>
        <v>278549</v>
      </c>
      <c r="I60" s="141">
        <f>O17</f>
        <v>256522</v>
      </c>
      <c r="J60" s="141">
        <f>O17</f>
        <v>256522</v>
      </c>
      <c r="K60" s="141">
        <f t="shared" si="28"/>
        <v>203645</v>
      </c>
      <c r="L60" s="141">
        <f t="shared" si="28"/>
        <v>196519</v>
      </c>
      <c r="M60" s="221">
        <f t="shared" si="28"/>
        <v>300874</v>
      </c>
      <c r="N60" s="221">
        <f t="shared" si="28"/>
        <v>302071</v>
      </c>
    </row>
    <row r="61" spans="2:14">
      <c r="B61" s="140" t="s">
        <v>105</v>
      </c>
      <c r="C61" s="141">
        <f t="shared" ref="C61:J61" si="29">SUM(C58:C60)</f>
        <v>696335</v>
      </c>
      <c r="D61" s="141">
        <f t="shared" si="29"/>
        <v>757395</v>
      </c>
      <c r="E61" s="141">
        <f t="shared" si="29"/>
        <v>798166</v>
      </c>
      <c r="F61" s="141">
        <f t="shared" si="29"/>
        <v>858753</v>
      </c>
      <c r="G61" s="141">
        <f t="shared" si="29"/>
        <v>870933</v>
      </c>
      <c r="H61" s="141">
        <f t="shared" si="29"/>
        <v>849205</v>
      </c>
      <c r="I61" s="141">
        <f t="shared" si="29"/>
        <v>855187</v>
      </c>
      <c r="J61" s="141">
        <f t="shared" si="29"/>
        <v>855187</v>
      </c>
      <c r="K61" s="141">
        <f>SUM(K58:K60)</f>
        <v>1010256</v>
      </c>
      <c r="L61" s="141">
        <f>SUM(L58:L60)</f>
        <v>1004160</v>
      </c>
      <c r="M61" s="221">
        <f>SUM(M58:M60)</f>
        <v>1116392</v>
      </c>
      <c r="N61" s="221">
        <f>SUM(N58:N60)</f>
        <v>1147880</v>
      </c>
    </row>
    <row r="62" spans="2:14">
      <c r="B62" s="130"/>
      <c r="C62" s="131"/>
      <c r="D62" s="131"/>
      <c r="E62" s="131"/>
      <c r="F62" s="131"/>
      <c r="G62" s="131"/>
    </row>
    <row r="63" spans="2:14">
      <c r="B63" s="130"/>
      <c r="C63" s="131"/>
      <c r="D63" s="131"/>
      <c r="E63" s="131"/>
      <c r="F63" s="131"/>
      <c r="G63" s="131"/>
    </row>
    <row r="64" spans="2:14">
      <c r="B64" s="142" t="s">
        <v>104</v>
      </c>
      <c r="C64" s="143"/>
      <c r="D64" s="143"/>
      <c r="E64" s="144"/>
      <c r="F64" s="144"/>
      <c r="G64" s="144"/>
      <c r="H64" s="145"/>
      <c r="I64" s="145"/>
      <c r="J64" s="145"/>
      <c r="K64" s="145"/>
      <c r="L64" s="145"/>
      <c r="M64" s="145"/>
      <c r="N64" s="145"/>
    </row>
    <row r="65" spans="2:14">
      <c r="B65" s="146"/>
      <c r="C65" s="215" t="s">
        <v>66</v>
      </c>
      <c r="D65" s="215" t="s">
        <v>67</v>
      </c>
      <c r="E65" s="215" t="s">
        <v>68</v>
      </c>
      <c r="F65" s="215" t="s">
        <v>69</v>
      </c>
      <c r="G65" s="215" t="s">
        <v>83</v>
      </c>
      <c r="H65" s="215" t="s">
        <v>72</v>
      </c>
      <c r="I65" s="215" t="s">
        <v>127</v>
      </c>
      <c r="J65" s="215" t="s">
        <v>127</v>
      </c>
      <c r="K65" s="214" t="s">
        <v>256</v>
      </c>
      <c r="L65" s="214" t="s">
        <v>257</v>
      </c>
      <c r="M65" s="262" t="s">
        <v>307</v>
      </c>
      <c r="N65" s="262" t="s">
        <v>310</v>
      </c>
    </row>
    <row r="66" spans="2:14" ht="14.25">
      <c r="B66" s="147" t="s">
        <v>101</v>
      </c>
      <c r="C66" s="148">
        <f>C51</f>
        <v>1455</v>
      </c>
      <c r="D66" s="148">
        <f t="shared" ref="D66:K68" si="30">D51</f>
        <v>1665</v>
      </c>
      <c r="E66" s="148">
        <f t="shared" si="30"/>
        <v>1992</v>
      </c>
      <c r="F66" s="148">
        <f t="shared" si="30"/>
        <v>2338</v>
      </c>
      <c r="G66" s="148">
        <f>G51+1</f>
        <v>2189</v>
      </c>
      <c r="H66" s="148">
        <f t="shared" si="30"/>
        <v>2075</v>
      </c>
      <c r="I66" s="148">
        <f t="shared" si="30"/>
        <v>2138</v>
      </c>
      <c r="J66" s="148">
        <f t="shared" si="30"/>
        <v>2138</v>
      </c>
      <c r="K66" s="148">
        <f>K51</f>
        <v>2785</v>
      </c>
      <c r="L66" s="148">
        <f t="shared" ref="L66:N68" si="31">L51</f>
        <v>2660</v>
      </c>
      <c r="M66" s="222">
        <f>M51</f>
        <v>2630</v>
      </c>
      <c r="N66" s="222">
        <f t="shared" si="31"/>
        <v>2923</v>
      </c>
    </row>
    <row r="67" spans="2:14" ht="14.25">
      <c r="B67" s="147" t="s">
        <v>102</v>
      </c>
      <c r="C67" s="148">
        <f>C52</f>
        <v>2173</v>
      </c>
      <c r="D67" s="148">
        <f t="shared" si="30"/>
        <v>2469</v>
      </c>
      <c r="E67" s="148">
        <f t="shared" si="30"/>
        <v>2554</v>
      </c>
      <c r="F67" s="148">
        <f t="shared" si="30"/>
        <v>2964</v>
      </c>
      <c r="G67" s="148">
        <f t="shared" si="30"/>
        <v>3278</v>
      </c>
      <c r="H67" s="148">
        <f t="shared" si="30"/>
        <v>3631</v>
      </c>
      <c r="I67" s="148">
        <f t="shared" si="30"/>
        <v>3849</v>
      </c>
      <c r="J67" s="148">
        <f>J52-1</f>
        <v>3849</v>
      </c>
      <c r="K67" s="148">
        <f>K52</f>
        <v>5282</v>
      </c>
      <c r="L67" s="148">
        <f t="shared" si="31"/>
        <v>5417</v>
      </c>
      <c r="M67" s="222">
        <f>M52</f>
        <v>5525</v>
      </c>
      <c r="N67" s="222">
        <f t="shared" si="31"/>
        <v>5535</v>
      </c>
    </row>
    <row r="68" spans="2:14" ht="14.25">
      <c r="B68" s="147" t="s">
        <v>103</v>
      </c>
      <c r="C68" s="148">
        <f>C53</f>
        <v>3335</v>
      </c>
      <c r="D68" s="148">
        <f t="shared" si="30"/>
        <v>3440</v>
      </c>
      <c r="E68" s="148">
        <f t="shared" si="30"/>
        <v>3436</v>
      </c>
      <c r="F68" s="148">
        <f t="shared" si="30"/>
        <v>3286</v>
      </c>
      <c r="G68" s="148">
        <f t="shared" si="30"/>
        <v>3242</v>
      </c>
      <c r="H68" s="148">
        <f t="shared" si="30"/>
        <v>2786</v>
      </c>
      <c r="I68" s="148">
        <f t="shared" si="30"/>
        <v>2565</v>
      </c>
      <c r="J68" s="148">
        <f t="shared" si="30"/>
        <v>2565</v>
      </c>
      <c r="K68" s="148">
        <f t="shared" si="30"/>
        <v>2036</v>
      </c>
      <c r="L68" s="148">
        <f t="shared" si="31"/>
        <v>1965</v>
      </c>
      <c r="M68" s="222">
        <f>M53</f>
        <v>3009</v>
      </c>
      <c r="N68" s="222">
        <f t="shared" si="31"/>
        <v>3021</v>
      </c>
    </row>
    <row r="69" spans="2:14" ht="14.25">
      <c r="B69" s="147" t="s">
        <v>105</v>
      </c>
      <c r="C69" s="148">
        <f>SUM(C66:C68)</f>
        <v>6963</v>
      </c>
      <c r="D69" s="148">
        <f t="shared" ref="D69:J69" si="32">SUM(D66:D68)</f>
        <v>7574</v>
      </c>
      <c r="E69" s="148">
        <f t="shared" si="32"/>
        <v>7982</v>
      </c>
      <c r="F69" s="148">
        <f t="shared" si="32"/>
        <v>8588</v>
      </c>
      <c r="G69" s="148">
        <f t="shared" si="32"/>
        <v>8709</v>
      </c>
      <c r="H69" s="148">
        <f t="shared" si="32"/>
        <v>8492</v>
      </c>
      <c r="I69" s="148">
        <f t="shared" si="32"/>
        <v>8552</v>
      </c>
      <c r="J69" s="148">
        <f t="shared" si="32"/>
        <v>8552</v>
      </c>
      <c r="K69" s="148">
        <f>SUM(K66:K68)</f>
        <v>10103</v>
      </c>
      <c r="L69" s="148">
        <f>SUM(L66:L68)</f>
        <v>10042</v>
      </c>
      <c r="M69" s="222">
        <f>SUM(M66:M68)</f>
        <v>11164</v>
      </c>
      <c r="N69" s="222">
        <f>SUM(N66:N68)</f>
        <v>11479</v>
      </c>
    </row>
    <row r="70" spans="2:14" ht="14.25">
      <c r="B70" s="149" t="s">
        <v>141</v>
      </c>
      <c r="C70" s="150">
        <f>ROUND(C61/100,0)</f>
        <v>6963</v>
      </c>
      <c r="D70" s="150">
        <f t="shared" ref="D70:K70" si="33">ROUND(D61/100,0)</f>
        <v>7574</v>
      </c>
      <c r="E70" s="150">
        <f t="shared" si="33"/>
        <v>7982</v>
      </c>
      <c r="F70" s="150">
        <f t="shared" si="33"/>
        <v>8588</v>
      </c>
      <c r="G70" s="150">
        <f t="shared" si="33"/>
        <v>8709</v>
      </c>
      <c r="H70" s="150">
        <f t="shared" si="33"/>
        <v>8492</v>
      </c>
      <c r="I70" s="150">
        <f t="shared" si="33"/>
        <v>8552</v>
      </c>
      <c r="J70" s="150">
        <f t="shared" si="33"/>
        <v>8552</v>
      </c>
      <c r="K70" s="150">
        <f t="shared" si="33"/>
        <v>10103</v>
      </c>
      <c r="L70" s="150">
        <f>ROUND(L61/100,0)</f>
        <v>10042</v>
      </c>
      <c r="M70" s="150">
        <f>ROUND(M61/100,0)</f>
        <v>11164</v>
      </c>
      <c r="N70" s="150">
        <f>ROUND(N61/100,0)</f>
        <v>11479</v>
      </c>
    </row>
    <row r="71" spans="2:14" ht="14.25">
      <c r="B71" s="151"/>
      <c r="C71" s="152">
        <f>C69-C70</f>
        <v>0</v>
      </c>
      <c r="D71" s="152">
        <f t="shared" ref="D71:K71" si="34">D69-D70</f>
        <v>0</v>
      </c>
      <c r="E71" s="152">
        <f t="shared" si="34"/>
        <v>0</v>
      </c>
      <c r="F71" s="152">
        <f t="shared" si="34"/>
        <v>0</v>
      </c>
      <c r="G71" s="152">
        <f t="shared" si="34"/>
        <v>0</v>
      </c>
      <c r="H71" s="152">
        <f t="shared" si="34"/>
        <v>0</v>
      </c>
      <c r="I71" s="152">
        <f t="shared" si="34"/>
        <v>0</v>
      </c>
      <c r="J71" s="152">
        <f t="shared" si="34"/>
        <v>0</v>
      </c>
      <c r="K71" s="152">
        <f t="shared" si="34"/>
        <v>0</v>
      </c>
      <c r="L71" s="152">
        <f>L69-L70</f>
        <v>0</v>
      </c>
      <c r="M71" s="152">
        <f>M69-M70</f>
        <v>0</v>
      </c>
      <c r="N71" s="152">
        <f>N69-N70</f>
        <v>0</v>
      </c>
    </row>
    <row r="72" spans="2:14">
      <c r="B72" s="130"/>
      <c r="C72" s="131"/>
      <c r="D72" s="131"/>
      <c r="E72" s="131"/>
      <c r="F72" s="131"/>
      <c r="G72" s="131"/>
    </row>
    <row r="73" spans="2:14">
      <c r="B73" s="153" t="s">
        <v>96</v>
      </c>
      <c r="C73" s="153"/>
      <c r="D73" s="153"/>
    </row>
    <row r="74" spans="2:14">
      <c r="B74" s="122"/>
      <c r="C74" s="215" t="s">
        <v>66</v>
      </c>
      <c r="D74" s="215" t="s">
        <v>67</v>
      </c>
      <c r="E74" s="215" t="s">
        <v>68</v>
      </c>
      <c r="F74" s="215" t="s">
        <v>69</v>
      </c>
      <c r="G74" s="215" t="s">
        <v>83</v>
      </c>
      <c r="H74" s="215" t="s">
        <v>72</v>
      </c>
      <c r="I74" s="215" t="s">
        <v>127</v>
      </c>
      <c r="J74" s="215" t="s">
        <v>127</v>
      </c>
      <c r="K74" s="214" t="s">
        <v>256</v>
      </c>
      <c r="L74" s="214" t="s">
        <v>257</v>
      </c>
      <c r="M74" s="261" t="s">
        <v>307</v>
      </c>
      <c r="N74" s="261" t="s">
        <v>309</v>
      </c>
    </row>
    <row r="75" spans="2:14">
      <c r="B75" s="126" t="s">
        <v>100</v>
      </c>
      <c r="C75" s="133">
        <f>C40/C$10*100</f>
        <v>26.590703916066854</v>
      </c>
      <c r="D75" s="133">
        <f>D40/E$10*100</f>
        <v>28.181882278585675</v>
      </c>
      <c r="E75" s="133">
        <f>E40/G$10*100</f>
        <v>20.969107931468468</v>
      </c>
      <c r="F75" s="133">
        <f>F40/I$10*100</f>
        <v>16.102945741289986</v>
      </c>
      <c r="G75" s="133">
        <f>G40/K$10*100</f>
        <v>12.908891031527936</v>
      </c>
      <c r="H75" s="133">
        <f>H40/M$10*100</f>
        <v>9.482295453071</v>
      </c>
      <c r="I75" s="133">
        <f>I40/O$10*100</f>
        <v>7.9986012896212726</v>
      </c>
      <c r="J75" s="133">
        <f>J40/O$10*100</f>
        <v>7.9986012896212726</v>
      </c>
      <c r="K75" s="133">
        <f t="shared" ref="K75:N79" si="35">K40/V$10*100</f>
        <v>6.1886185465313517</v>
      </c>
      <c r="L75" s="133">
        <f t="shared" si="35"/>
        <v>6.3650142925444797</v>
      </c>
      <c r="M75" s="217">
        <f t="shared" si="35"/>
        <v>6.6495941838669639</v>
      </c>
      <c r="N75" s="217">
        <f t="shared" si="35"/>
        <v>7.091208093839775</v>
      </c>
    </row>
    <row r="76" spans="2:14">
      <c r="B76" s="126" t="s">
        <v>91</v>
      </c>
      <c r="C76" s="133">
        <f>C41/C$10*100</f>
        <v>35.653748661434399</v>
      </c>
      <c r="D76" s="133">
        <f>D41/E$10*100</f>
        <v>33.399967840945578</v>
      </c>
      <c r="E76" s="133">
        <f>E41/G$10*100</f>
        <v>36.138711761083279</v>
      </c>
      <c r="F76" s="133">
        <f>F41/I$10*100</f>
        <v>35.867583982066826</v>
      </c>
      <c r="G76" s="133">
        <f>G41/K$10*100</f>
        <v>36.978209125879651</v>
      </c>
      <c r="H76" s="133">
        <f>H41/M$10*100</f>
        <v>37.029294369074158</v>
      </c>
      <c r="I76" s="133">
        <f>I41/O$10*100</f>
        <v>36.929624647183033</v>
      </c>
      <c r="J76" s="133">
        <f>J41/O$10*100</f>
        <v>36.929624647183033</v>
      </c>
      <c r="K76" s="133">
        <f t="shared" si="35"/>
        <v>31.835261365595287</v>
      </c>
      <c r="L76" s="133">
        <f t="shared" si="35"/>
        <v>29.791562821073619</v>
      </c>
      <c r="M76" s="217">
        <f t="shared" si="35"/>
        <v>29.220025355968733</v>
      </c>
      <c r="N76" s="217">
        <f t="shared" si="35"/>
        <v>27.63543374965597</v>
      </c>
    </row>
    <row r="77" spans="2:14">
      <c r="B77" s="126" t="s">
        <v>101</v>
      </c>
      <c r="C77" s="133">
        <f>C42/C$10*100</f>
        <v>7.8899326311794287</v>
      </c>
      <c r="D77" s="133">
        <f>D42/E$10*100</f>
        <v>8.4437300242308826</v>
      </c>
      <c r="E77" s="133">
        <f>E42/G$10*100</f>
        <v>10.702866299884032</v>
      </c>
      <c r="F77" s="133">
        <f>F42/I$10*100</f>
        <v>13.077001808194877</v>
      </c>
      <c r="G77" s="133">
        <f>G42/K$10*100</f>
        <v>12.858713323709084</v>
      </c>
      <c r="H77" s="133">
        <f>H42/M$10*100</f>
        <v>13.070129745792977</v>
      </c>
      <c r="I77" s="133">
        <f>I42/O$10*100</f>
        <v>13.768281601871129</v>
      </c>
      <c r="J77" s="133">
        <f>J42/O$10*100</f>
        <v>13.768281601871129</v>
      </c>
      <c r="K77" s="133">
        <f t="shared" si="35"/>
        <v>17.080400693711265</v>
      </c>
      <c r="L77" s="133">
        <f t="shared" si="35"/>
        <v>16.909517003550249</v>
      </c>
      <c r="M77" s="217">
        <f t="shared" si="35"/>
        <v>15.106734611931321</v>
      </c>
      <c r="N77" s="217">
        <f t="shared" si="35"/>
        <v>16.619791512659134</v>
      </c>
    </row>
    <row r="78" spans="2:14">
      <c r="B78" s="126" t="s">
        <v>102</v>
      </c>
      <c r="C78" s="133">
        <f>C43/C$10*100</f>
        <v>11.783443807354994</v>
      </c>
      <c r="D78" s="133">
        <f>D43/E$10*100</f>
        <v>12.523973459142528</v>
      </c>
      <c r="E78" s="133">
        <f>E43/G$10*100</f>
        <v>13.723717881889399</v>
      </c>
      <c r="F78" s="133">
        <f>F43/I$10*100</f>
        <v>16.574094322558921</v>
      </c>
      <c r="G78" s="133">
        <f>G43/K$10*100</f>
        <v>19.263069265801423</v>
      </c>
      <c r="H78" s="133">
        <f>H43/M$10*100</f>
        <v>22.873467145951576</v>
      </c>
      <c r="I78" s="133">
        <f>I43/O$10*100</f>
        <v>24.78415619190152</v>
      </c>
      <c r="J78" s="133">
        <f>J43/O$10*100</f>
        <v>24.78415619190152</v>
      </c>
      <c r="K78" s="133">
        <f t="shared" si="35"/>
        <v>32.402720614352852</v>
      </c>
      <c r="L78" s="133">
        <f t="shared" si="35"/>
        <v>34.439437250134787</v>
      </c>
      <c r="M78" s="217">
        <f t="shared" si="35"/>
        <v>31.740227123763436</v>
      </c>
      <c r="N78" s="217">
        <f t="shared" si="35"/>
        <v>31.47656166480531</v>
      </c>
    </row>
    <row r="79" spans="2:14">
      <c r="B79" s="126" t="s">
        <v>103</v>
      </c>
      <c r="C79" s="133">
        <f>C44/C$10*100</f>
        <v>18.082170983964325</v>
      </c>
      <c r="D79" s="133">
        <f>D44/E$10*100</f>
        <v>17.450446397095337</v>
      </c>
      <c r="E79" s="133">
        <f>E44/G$10*100</f>
        <v>18.465596125674821</v>
      </c>
      <c r="F79" s="133">
        <f>F44/I$10*100</f>
        <v>18.378374145889389</v>
      </c>
      <c r="G79" s="133">
        <f>G44/K$10*100</f>
        <v>19.050842239288908</v>
      </c>
      <c r="H79" s="133">
        <f>H44/M$10*100</f>
        <v>17.544813286110291</v>
      </c>
      <c r="I79" s="133">
        <f>I44/O$10*100</f>
        <v>16.519336269423047</v>
      </c>
      <c r="J79" s="133">
        <f>J44/O$10*100</f>
        <v>16.519336269423047</v>
      </c>
      <c r="K79" s="133">
        <f t="shared" si="35"/>
        <v>12.492998779809247</v>
      </c>
      <c r="L79" s="133">
        <f t="shared" si="35"/>
        <v>12.494468632696867</v>
      </c>
      <c r="M79" s="217">
        <f t="shared" si="35"/>
        <v>17.283533613317456</v>
      </c>
      <c r="N79" s="217">
        <f t="shared" si="35"/>
        <v>17.177061843359269</v>
      </c>
    </row>
    <row r="80" spans="2:14">
      <c r="B80" s="126" t="s">
        <v>92</v>
      </c>
      <c r="C80" s="133">
        <f t="shared" ref="C80:I80" si="36">SUM(C75:C79)</f>
        <v>100</v>
      </c>
      <c r="D80" s="133">
        <f t="shared" si="36"/>
        <v>100</v>
      </c>
      <c r="E80" s="133">
        <f t="shared" si="36"/>
        <v>100</v>
      </c>
      <c r="F80" s="133">
        <f t="shared" si="36"/>
        <v>100</v>
      </c>
      <c r="G80" s="133">
        <f t="shared" si="36"/>
        <v>101.059724986207</v>
      </c>
      <c r="H80" s="133">
        <f t="shared" si="36"/>
        <v>100</v>
      </c>
      <c r="I80" s="133">
        <f t="shared" si="36"/>
        <v>100</v>
      </c>
      <c r="J80" s="133">
        <f>SUM(J75:J79)</f>
        <v>100</v>
      </c>
      <c r="K80" s="133">
        <f>SUM(K75:K79)</f>
        <v>99.999999999999986</v>
      </c>
      <c r="L80" s="133">
        <f>SUM(L75:L79)</f>
        <v>100</v>
      </c>
      <c r="M80" s="133">
        <f>SUM(M75:M79)</f>
        <v>100.00011488884792</v>
      </c>
      <c r="N80" s="133">
        <f>SUM(N75:N79)</f>
        <v>100.00005686431945</v>
      </c>
    </row>
    <row r="82" spans="2:14">
      <c r="B82" s="153" t="s">
        <v>97</v>
      </c>
      <c r="C82" s="153"/>
      <c r="D82" s="153"/>
    </row>
    <row r="83" spans="2:14">
      <c r="B83" s="122"/>
      <c r="C83" s="215" t="s">
        <v>66</v>
      </c>
      <c r="D83" s="215" t="s">
        <v>67</v>
      </c>
      <c r="E83" s="215" t="s">
        <v>68</v>
      </c>
      <c r="F83" s="215" t="s">
        <v>69</v>
      </c>
      <c r="G83" s="215" t="s">
        <v>83</v>
      </c>
      <c r="H83" s="215" t="s">
        <v>72</v>
      </c>
      <c r="I83" s="215" t="s">
        <v>127</v>
      </c>
      <c r="J83" s="215" t="s">
        <v>127</v>
      </c>
      <c r="K83" s="214" t="s">
        <v>256</v>
      </c>
      <c r="L83" s="214" t="s">
        <v>257</v>
      </c>
      <c r="M83" s="261" t="s">
        <v>307</v>
      </c>
      <c r="N83" s="261" t="s">
        <v>308</v>
      </c>
    </row>
    <row r="84" spans="2:14">
      <c r="B84" s="126" t="s">
        <v>100</v>
      </c>
      <c r="C84" s="134">
        <f t="shared" ref="C84:K88" si="37">ROUND(C75,1)</f>
        <v>26.6</v>
      </c>
      <c r="D84" s="134">
        <f t="shared" si="37"/>
        <v>28.2</v>
      </c>
      <c r="E84" s="134">
        <f t="shared" si="37"/>
        <v>21</v>
      </c>
      <c r="F84" s="134">
        <f t="shared" si="37"/>
        <v>16.100000000000001</v>
      </c>
      <c r="G84" s="134">
        <f t="shared" si="37"/>
        <v>12.9</v>
      </c>
      <c r="H84" s="134">
        <f t="shared" si="37"/>
        <v>9.5</v>
      </c>
      <c r="I84" s="134">
        <f t="shared" si="37"/>
        <v>8</v>
      </c>
      <c r="J84" s="134">
        <f t="shared" si="37"/>
        <v>8</v>
      </c>
      <c r="K84" s="134">
        <f t="shared" si="37"/>
        <v>6.2</v>
      </c>
      <c r="L84" s="134">
        <f t="shared" ref="L84:N88" si="38">ROUND(L75,1)</f>
        <v>6.4</v>
      </c>
      <c r="M84" s="154">
        <f>ROUND(M75,1)</f>
        <v>6.6</v>
      </c>
      <c r="N84" s="154">
        <f t="shared" si="38"/>
        <v>7.1</v>
      </c>
    </row>
    <row r="85" spans="2:14">
      <c r="B85" s="126" t="s">
        <v>91</v>
      </c>
      <c r="C85" s="134">
        <f>ROUND(C76,1)-0.1</f>
        <v>35.6</v>
      </c>
      <c r="D85" s="134">
        <f t="shared" si="37"/>
        <v>33.4</v>
      </c>
      <c r="E85" s="134">
        <f t="shared" si="37"/>
        <v>36.1</v>
      </c>
      <c r="F85" s="134">
        <f>ROUND(F76,1)-0.1</f>
        <v>35.799999999999997</v>
      </c>
      <c r="G85" s="134">
        <f t="shared" si="37"/>
        <v>37</v>
      </c>
      <c r="H85" s="134">
        <f t="shared" si="37"/>
        <v>37</v>
      </c>
      <c r="I85" s="134">
        <f t="shared" si="37"/>
        <v>36.9</v>
      </c>
      <c r="J85" s="134">
        <f t="shared" si="37"/>
        <v>36.9</v>
      </c>
      <c r="K85" s="134">
        <f t="shared" si="37"/>
        <v>31.8</v>
      </c>
      <c r="L85" s="134">
        <f t="shared" si="38"/>
        <v>29.8</v>
      </c>
      <c r="M85" s="154">
        <f>ROUND(M76,1)</f>
        <v>29.2</v>
      </c>
      <c r="N85" s="154">
        <f t="shared" si="38"/>
        <v>27.6</v>
      </c>
    </row>
    <row r="86" spans="2:14">
      <c r="B86" s="126" t="s">
        <v>101</v>
      </c>
      <c r="C86" s="134">
        <f t="shared" si="37"/>
        <v>7.9</v>
      </c>
      <c r="D86" s="134">
        <f t="shared" si="37"/>
        <v>8.4</v>
      </c>
      <c r="E86" s="134">
        <f t="shared" si="37"/>
        <v>10.7</v>
      </c>
      <c r="F86" s="134">
        <f t="shared" si="37"/>
        <v>13.1</v>
      </c>
      <c r="G86" s="134">
        <f t="shared" si="37"/>
        <v>12.9</v>
      </c>
      <c r="H86" s="134">
        <f t="shared" si="37"/>
        <v>13.1</v>
      </c>
      <c r="I86" s="134">
        <f t="shared" si="37"/>
        <v>13.8</v>
      </c>
      <c r="J86" s="134">
        <f t="shared" si="37"/>
        <v>13.8</v>
      </c>
      <c r="K86" s="135">
        <f>ROUND(K77,1)</f>
        <v>17.100000000000001</v>
      </c>
      <c r="L86" s="134">
        <f t="shared" si="38"/>
        <v>16.899999999999999</v>
      </c>
      <c r="M86" s="154">
        <f>ROUND(M77,1)</f>
        <v>15.1</v>
      </c>
      <c r="N86" s="154">
        <f t="shared" si="38"/>
        <v>16.600000000000001</v>
      </c>
    </row>
    <row r="87" spans="2:14">
      <c r="B87" s="126" t="s">
        <v>102</v>
      </c>
      <c r="C87" s="134">
        <f t="shared" si="37"/>
        <v>11.8</v>
      </c>
      <c r="D87" s="134">
        <f t="shared" si="37"/>
        <v>12.5</v>
      </c>
      <c r="E87" s="134">
        <f t="shared" si="37"/>
        <v>13.7</v>
      </c>
      <c r="F87" s="134">
        <f t="shared" si="37"/>
        <v>16.600000000000001</v>
      </c>
      <c r="G87" s="134">
        <f t="shared" si="37"/>
        <v>19.3</v>
      </c>
      <c r="H87" s="134">
        <f t="shared" si="37"/>
        <v>22.9</v>
      </c>
      <c r="I87" s="134">
        <f t="shared" si="37"/>
        <v>24.8</v>
      </c>
      <c r="J87" s="134">
        <f t="shared" si="37"/>
        <v>24.8</v>
      </c>
      <c r="K87" s="134">
        <f t="shared" si="37"/>
        <v>32.4</v>
      </c>
      <c r="L87" s="134">
        <f t="shared" si="38"/>
        <v>34.4</v>
      </c>
      <c r="M87" s="154">
        <f>ROUND(M78,1)</f>
        <v>31.7</v>
      </c>
      <c r="N87" s="154">
        <f t="shared" si="38"/>
        <v>31.5</v>
      </c>
    </row>
    <row r="88" spans="2:14">
      <c r="B88" s="126" t="s">
        <v>103</v>
      </c>
      <c r="C88" s="134">
        <f t="shared" si="37"/>
        <v>18.100000000000001</v>
      </c>
      <c r="D88" s="134">
        <f t="shared" si="37"/>
        <v>17.5</v>
      </c>
      <c r="E88" s="134">
        <f t="shared" si="37"/>
        <v>18.5</v>
      </c>
      <c r="F88" s="134">
        <f t="shared" si="37"/>
        <v>18.399999999999999</v>
      </c>
      <c r="G88" s="134">
        <f t="shared" si="37"/>
        <v>19.100000000000001</v>
      </c>
      <c r="H88" s="134">
        <f t="shared" si="37"/>
        <v>17.5</v>
      </c>
      <c r="I88" s="134">
        <f t="shared" si="37"/>
        <v>16.5</v>
      </c>
      <c r="J88" s="134">
        <f t="shared" si="37"/>
        <v>16.5</v>
      </c>
      <c r="K88" s="134">
        <f t="shared" si="37"/>
        <v>12.5</v>
      </c>
      <c r="L88" s="134">
        <f t="shared" si="38"/>
        <v>12.5</v>
      </c>
      <c r="M88" s="154">
        <f>ROUND(M79,1)</f>
        <v>17.3</v>
      </c>
      <c r="N88" s="154">
        <f t="shared" si="38"/>
        <v>17.2</v>
      </c>
    </row>
    <row r="89" spans="2:14">
      <c r="B89" s="126" t="s">
        <v>92</v>
      </c>
      <c r="C89" s="134">
        <f t="shared" ref="C89:J89" si="39">SUM(C84:C88)</f>
        <v>100</v>
      </c>
      <c r="D89" s="134">
        <f t="shared" si="39"/>
        <v>100</v>
      </c>
      <c r="E89" s="134">
        <f t="shared" si="39"/>
        <v>100</v>
      </c>
      <c r="F89" s="134">
        <f t="shared" si="39"/>
        <v>100</v>
      </c>
      <c r="G89" s="134">
        <f t="shared" si="39"/>
        <v>101.19999999999999</v>
      </c>
      <c r="H89" s="134">
        <f t="shared" si="39"/>
        <v>100</v>
      </c>
      <c r="I89" s="134">
        <f t="shared" si="39"/>
        <v>100</v>
      </c>
      <c r="J89" s="134">
        <f t="shared" si="39"/>
        <v>100</v>
      </c>
      <c r="K89" s="134">
        <f>SUM(K84:K88)</f>
        <v>100</v>
      </c>
      <c r="L89" s="134">
        <f>SUM(L84:L88)</f>
        <v>100</v>
      </c>
      <c r="M89" s="154">
        <f>SUM(M84:M88)</f>
        <v>99.899999999999991</v>
      </c>
      <c r="N89" s="154">
        <f>SUM(N84:N88)</f>
        <v>100.00000000000001</v>
      </c>
    </row>
  </sheetData>
  <mergeCells count="3">
    <mergeCell ref="B13:E13"/>
    <mergeCell ref="B20:E20"/>
    <mergeCell ref="B29:E29"/>
  </mergeCells>
  <phoneticPr fontId="9"/>
  <pageMargins left="0" right="0" top="0.98425196850393704" bottom="0.98425196850393704" header="0.51181102362204722" footer="0.51181102362204722"/>
  <pageSetup paperSize="9" scale="46" orientation="portrait" horizontalDpi="300" verticalDpi="300" r:id="rId1"/>
  <headerFooter alignWithMargins="0"/>
  <ignoredErrors>
    <ignoredError sqref="G66 J6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view="pageBreakPreview" zoomScale="66" zoomScaleNormal="100" zoomScaleSheetLayoutView="66" workbookViewId="0">
      <pane xSplit="1" topLeftCell="B1" activePane="topRight" state="frozen"/>
      <selection activeCell="S11" sqref="S11"/>
      <selection pane="topRight" activeCell="C96" sqref="C96:I101"/>
    </sheetView>
  </sheetViews>
  <sheetFormatPr defaultColWidth="10.28515625" defaultRowHeight="13.5"/>
  <cols>
    <col min="1" max="1" width="17.28515625" style="354" bestFit="1" customWidth="1"/>
    <col min="2" max="8" width="10" style="354" customWidth="1"/>
    <col min="9" max="9" width="12" style="354" customWidth="1"/>
    <col min="10" max="12" width="12" style="354" bestFit="1" customWidth="1"/>
    <col min="13" max="18" width="12" style="354" customWidth="1"/>
    <col min="19" max="19" width="11.140625" style="354" customWidth="1"/>
    <col min="20" max="24" width="10.5703125" style="354" bestFit="1" customWidth="1"/>
    <col min="25" max="16384" width="10.28515625" style="354"/>
  </cols>
  <sheetData>
    <row r="1" spans="1:24">
      <c r="A1" s="354" t="s">
        <v>78</v>
      </c>
    </row>
    <row r="3" spans="1:24">
      <c r="A3" s="354" t="s">
        <v>79</v>
      </c>
    </row>
    <row r="4" spans="1:24" s="358" customFormat="1">
      <c r="A4" s="355"/>
      <c r="B4" s="356" t="s">
        <v>66</v>
      </c>
      <c r="C4" s="356" t="s">
        <v>80</v>
      </c>
      <c r="D4" s="356" t="s">
        <v>67</v>
      </c>
      <c r="E4" s="356" t="s">
        <v>81</v>
      </c>
      <c r="F4" s="356" t="s">
        <v>68</v>
      </c>
      <c r="G4" s="356" t="s">
        <v>82</v>
      </c>
      <c r="H4" s="356" t="s">
        <v>69</v>
      </c>
      <c r="I4" s="356" t="s">
        <v>83</v>
      </c>
      <c r="J4" s="356" t="s">
        <v>70</v>
      </c>
      <c r="K4" s="356" t="s">
        <v>71</v>
      </c>
      <c r="L4" s="356" t="s">
        <v>84</v>
      </c>
      <c r="M4" s="357" t="s">
        <v>109</v>
      </c>
      <c r="N4" s="357" t="s">
        <v>127</v>
      </c>
      <c r="O4" s="357" t="s">
        <v>133</v>
      </c>
      <c r="P4" s="357" t="s">
        <v>137</v>
      </c>
      <c r="Q4" s="357" t="s">
        <v>170</v>
      </c>
      <c r="R4" s="357" t="s">
        <v>179</v>
      </c>
      <c r="S4" s="357" t="s">
        <v>201</v>
      </c>
      <c r="T4" s="357" t="s">
        <v>208</v>
      </c>
      <c r="U4" s="357" t="s">
        <v>217</v>
      </c>
      <c r="V4" s="357" t="s">
        <v>247</v>
      </c>
      <c r="W4" s="357" t="s">
        <v>258</v>
      </c>
      <c r="X4" s="357" t="s">
        <v>316</v>
      </c>
    </row>
    <row r="5" spans="1:24" s="358" customFormat="1">
      <c r="A5" s="359" t="s">
        <v>85</v>
      </c>
      <c r="B5" s="360">
        <v>777637</v>
      </c>
      <c r="C5" s="360">
        <v>775187</v>
      </c>
      <c r="D5" s="360">
        <v>738656</v>
      </c>
      <c r="E5" s="360">
        <v>712955</v>
      </c>
      <c r="F5" s="360">
        <v>686522</v>
      </c>
      <c r="G5" s="360">
        <v>665501</v>
      </c>
      <c r="H5" s="360">
        <v>635039</v>
      </c>
      <c r="I5" s="360">
        <v>613049</v>
      </c>
      <c r="J5" s="360">
        <v>618500</v>
      </c>
      <c r="K5" s="360">
        <v>628573</v>
      </c>
      <c r="L5" s="360">
        <v>652624</v>
      </c>
      <c r="M5" s="361">
        <v>678485</v>
      </c>
      <c r="N5" s="361">
        <v>670787</v>
      </c>
      <c r="O5" s="361">
        <v>623613</v>
      </c>
      <c r="P5" s="361">
        <v>626018</v>
      </c>
      <c r="Q5" s="361">
        <v>636066</v>
      </c>
      <c r="R5" s="361">
        <v>627006</v>
      </c>
      <c r="S5" s="361">
        <v>641870</v>
      </c>
      <c r="T5" s="361">
        <v>659256</v>
      </c>
      <c r="U5" s="361">
        <v>660088</v>
      </c>
      <c r="V5" s="361">
        <v>659473</v>
      </c>
      <c r="W5" s="361">
        <v>675404</v>
      </c>
      <c r="X5" s="361">
        <v>737441</v>
      </c>
    </row>
    <row r="6" spans="1:24" s="358" customFormat="1">
      <c r="A6" s="359" t="s">
        <v>86</v>
      </c>
      <c r="B6" s="360">
        <v>12844</v>
      </c>
      <c r="C6" s="360">
        <v>3779</v>
      </c>
      <c r="D6" s="360">
        <v>15155</v>
      </c>
      <c r="E6" s="360">
        <v>58810</v>
      </c>
      <c r="F6" s="360">
        <v>76659</v>
      </c>
      <c r="G6" s="360">
        <v>79853</v>
      </c>
      <c r="H6" s="360">
        <v>84384</v>
      </c>
      <c r="I6" s="360">
        <v>80475</v>
      </c>
      <c r="J6" s="360">
        <v>72843</v>
      </c>
      <c r="K6" s="360">
        <v>60716</v>
      </c>
      <c r="L6" s="360">
        <v>47208</v>
      </c>
      <c r="M6" s="361">
        <v>10499</v>
      </c>
      <c r="N6" s="361">
        <v>16903</v>
      </c>
      <c r="O6" s="361">
        <v>38032</v>
      </c>
      <c r="P6" s="361">
        <v>47970</v>
      </c>
      <c r="Q6" s="361">
        <v>54195</v>
      </c>
      <c r="R6" s="361">
        <v>50172</v>
      </c>
      <c r="S6" s="361">
        <v>48640</v>
      </c>
      <c r="T6" s="361">
        <v>36787</v>
      </c>
      <c r="U6" s="361">
        <v>41891</v>
      </c>
      <c r="V6" s="361">
        <v>32905</v>
      </c>
      <c r="W6" s="361">
        <v>52770</v>
      </c>
      <c r="X6" s="361">
        <v>43642</v>
      </c>
    </row>
    <row r="7" spans="1:24" s="358" customFormat="1">
      <c r="A7" s="359" t="s">
        <v>87</v>
      </c>
      <c r="B7" s="360">
        <v>72801</v>
      </c>
      <c r="C7" s="360">
        <v>65665</v>
      </c>
      <c r="D7" s="360">
        <v>86341</v>
      </c>
      <c r="E7" s="360">
        <v>90488</v>
      </c>
      <c r="F7" s="360">
        <v>106576</v>
      </c>
      <c r="G7" s="360">
        <v>103628</v>
      </c>
      <c r="H7" s="360">
        <v>86693</v>
      </c>
      <c r="I7" s="360">
        <v>87878</v>
      </c>
      <c r="J7" s="360">
        <v>97431</v>
      </c>
      <c r="K7" s="360">
        <v>101895</v>
      </c>
      <c r="L7" s="360">
        <v>107866</v>
      </c>
      <c r="M7" s="361">
        <v>77359</v>
      </c>
      <c r="N7" s="361">
        <v>73366</v>
      </c>
      <c r="O7" s="361">
        <v>70908</v>
      </c>
      <c r="P7" s="361">
        <v>68134</v>
      </c>
      <c r="Q7" s="361">
        <v>67480</v>
      </c>
      <c r="R7" s="361">
        <v>64840</v>
      </c>
      <c r="S7" s="361">
        <f>6305+58065+1964+924</f>
        <v>67258</v>
      </c>
      <c r="T7" s="362">
        <f>5987+63133+1804+815</f>
        <v>71739</v>
      </c>
      <c r="U7" s="362">
        <f>6149+1622+87348+877</f>
        <v>95996</v>
      </c>
      <c r="V7" s="362">
        <v>86249</v>
      </c>
      <c r="W7" s="362">
        <v>137989</v>
      </c>
      <c r="X7" s="362">
        <v>95356</v>
      </c>
    </row>
    <row r="8" spans="1:24" s="358" customFormat="1">
      <c r="A8" s="359" t="s">
        <v>88</v>
      </c>
      <c r="B8" s="360">
        <v>219549</v>
      </c>
      <c r="C8" s="360">
        <v>229498</v>
      </c>
      <c r="D8" s="360">
        <v>250785</v>
      </c>
      <c r="E8" s="360">
        <v>278818</v>
      </c>
      <c r="F8" s="360">
        <v>247802</v>
      </c>
      <c r="G8" s="360">
        <v>254842</v>
      </c>
      <c r="H8" s="360">
        <v>250342</v>
      </c>
      <c r="I8" s="360">
        <v>263563</v>
      </c>
      <c r="J8" s="360">
        <v>273692</v>
      </c>
      <c r="K8" s="360">
        <v>273575</v>
      </c>
      <c r="L8" s="360">
        <v>252668</v>
      </c>
      <c r="M8" s="361">
        <v>257413</v>
      </c>
      <c r="N8" s="361">
        <v>258256</v>
      </c>
      <c r="O8" s="361">
        <v>345023</v>
      </c>
      <c r="P8" s="361">
        <v>333440</v>
      </c>
      <c r="Q8" s="361">
        <v>344384</v>
      </c>
      <c r="R8" s="361">
        <v>333309</v>
      </c>
      <c r="S8" s="361">
        <v>348442</v>
      </c>
      <c r="T8" s="362">
        <v>349428</v>
      </c>
      <c r="U8" s="362">
        <v>357597</v>
      </c>
      <c r="V8" s="362">
        <v>366554</v>
      </c>
      <c r="W8" s="362">
        <v>403887</v>
      </c>
      <c r="X8" s="362">
        <v>396685</v>
      </c>
    </row>
    <row r="9" spans="1:24" s="358" customFormat="1">
      <c r="A9" s="359" t="s">
        <v>89</v>
      </c>
      <c r="B9" s="360">
        <v>228236</v>
      </c>
      <c r="C9" s="360">
        <v>239120</v>
      </c>
      <c r="D9" s="360">
        <v>316678</v>
      </c>
      <c r="E9" s="360">
        <v>195979</v>
      </c>
      <c r="F9" s="360">
        <v>206034</v>
      </c>
      <c r="G9" s="360">
        <v>182995</v>
      </c>
      <c r="H9" s="360">
        <v>169411</v>
      </c>
      <c r="I9" s="360">
        <v>133221</v>
      </c>
      <c r="J9" s="360">
        <v>121194</v>
      </c>
      <c r="K9" s="360">
        <v>117210</v>
      </c>
      <c r="L9" s="360">
        <v>90315</v>
      </c>
      <c r="M9" s="361">
        <v>67958</v>
      </c>
      <c r="N9" s="361">
        <v>64878</v>
      </c>
      <c r="O9" s="361">
        <v>50198</v>
      </c>
      <c r="P9" s="361">
        <v>33538</v>
      </c>
      <c r="Q9" s="657">
        <v>164084</v>
      </c>
      <c r="R9" s="657">
        <v>129579</v>
      </c>
      <c r="S9" s="657">
        <v>154833</v>
      </c>
      <c r="T9" s="652">
        <v>121124</v>
      </c>
      <c r="U9" s="652">
        <v>101857</v>
      </c>
      <c r="V9" s="652">
        <v>91432</v>
      </c>
      <c r="W9" s="652">
        <v>117973</v>
      </c>
      <c r="X9" s="652">
        <v>103599</v>
      </c>
    </row>
    <row r="10" spans="1:24" s="358" customFormat="1">
      <c r="A10" s="359" t="s">
        <v>90</v>
      </c>
      <c r="B10" s="360">
        <v>57633</v>
      </c>
      <c r="C10" s="360">
        <v>70028</v>
      </c>
      <c r="D10" s="360">
        <v>90586</v>
      </c>
      <c r="E10" s="360">
        <v>66805</v>
      </c>
      <c r="F10" s="360">
        <v>38553</v>
      </c>
      <c r="G10" s="360">
        <v>49494</v>
      </c>
      <c r="H10" s="360">
        <v>81705</v>
      </c>
      <c r="I10" s="360">
        <v>109678</v>
      </c>
      <c r="J10" s="360">
        <v>96554</v>
      </c>
      <c r="K10" s="360">
        <v>69787</v>
      </c>
      <c r="L10" s="360">
        <v>51873</v>
      </c>
      <c r="M10" s="361">
        <v>73058</v>
      </c>
      <c r="N10" s="361">
        <v>80197</v>
      </c>
      <c r="O10" s="361">
        <v>104121</v>
      </c>
      <c r="P10" s="361">
        <v>113831</v>
      </c>
      <c r="Q10" s="658"/>
      <c r="R10" s="658"/>
      <c r="S10" s="658"/>
      <c r="T10" s="653"/>
      <c r="U10" s="653"/>
      <c r="V10" s="653"/>
      <c r="W10" s="653"/>
      <c r="X10" s="653"/>
    </row>
    <row r="11" spans="1:24" s="358" customFormat="1">
      <c r="A11" s="359" t="s">
        <v>91</v>
      </c>
      <c r="B11" s="360">
        <v>489083</v>
      </c>
      <c r="C11" s="360">
        <v>477612</v>
      </c>
      <c r="D11" s="360">
        <f>D12-D5-D6-D7-D8-D9-D10</f>
        <v>487374</v>
      </c>
      <c r="E11" s="360">
        <f t="shared" ref="E11:J11" si="0">E12-E5-E6-E7-E8-E9-E10</f>
        <v>506475</v>
      </c>
      <c r="F11" s="360">
        <f t="shared" si="0"/>
        <v>507486</v>
      </c>
      <c r="G11" s="360">
        <f t="shared" si="0"/>
        <v>525814</v>
      </c>
      <c r="H11" s="360">
        <f t="shared" si="0"/>
        <v>483132</v>
      </c>
      <c r="I11" s="360">
        <f t="shared" si="0"/>
        <v>434793</v>
      </c>
      <c r="J11" s="360">
        <f t="shared" si="0"/>
        <v>423651</v>
      </c>
      <c r="K11" s="360">
        <f>K12-K5-K6-K7-K8-K9-K10</f>
        <v>414619</v>
      </c>
      <c r="L11" s="360">
        <f>L12-L5-L6-L7-L8-L9-L10</f>
        <v>387952</v>
      </c>
      <c r="M11" s="360">
        <f>M12-M5-M6-M7-M8-M9-M10</f>
        <v>412513</v>
      </c>
      <c r="N11" s="360">
        <v>390734</v>
      </c>
      <c r="O11" s="360">
        <v>439752</v>
      </c>
      <c r="P11" s="360">
        <v>419712</v>
      </c>
      <c r="Q11" s="360">
        <v>384947</v>
      </c>
      <c r="R11" s="360">
        <v>495875</v>
      </c>
      <c r="S11" s="363">
        <f>61828+53265+47472+1526+251556-924</f>
        <v>414723</v>
      </c>
      <c r="T11" s="363">
        <f>62205+56187+50918+25364+208965-815</f>
        <v>402824</v>
      </c>
      <c r="U11" s="363">
        <f>U12-SUM(U5:U10)</f>
        <v>374554</v>
      </c>
      <c r="V11" s="363">
        <f>V12-SUM(V5:V10)</f>
        <v>338225</v>
      </c>
      <c r="W11" s="363">
        <f>W12-SUM(W5:W10)</f>
        <v>354794</v>
      </c>
      <c r="X11" s="363">
        <v>384415</v>
      </c>
    </row>
    <row r="12" spans="1:24" s="358" customFormat="1">
      <c r="A12" s="359" t="s">
        <v>92</v>
      </c>
      <c r="B12" s="360">
        <v>1857783</v>
      </c>
      <c r="C12" s="360">
        <v>1860889</v>
      </c>
      <c r="D12" s="360">
        <v>1985575</v>
      </c>
      <c r="E12" s="360">
        <v>1910330</v>
      </c>
      <c r="F12" s="360">
        <v>1869632</v>
      </c>
      <c r="G12" s="360">
        <v>1862127</v>
      </c>
      <c r="H12" s="360">
        <v>1790706</v>
      </c>
      <c r="I12" s="360">
        <v>1722657</v>
      </c>
      <c r="J12" s="360">
        <v>1703865</v>
      </c>
      <c r="K12" s="360">
        <v>1666375</v>
      </c>
      <c r="L12" s="360">
        <v>1590506</v>
      </c>
      <c r="M12" s="361">
        <v>1577285</v>
      </c>
      <c r="N12" s="361">
        <v>1555121</v>
      </c>
      <c r="O12" s="361">
        <v>1671647</v>
      </c>
      <c r="P12" s="361">
        <v>1642643</v>
      </c>
      <c r="Q12" s="361">
        <v>1651156</v>
      </c>
      <c r="R12" s="361">
        <v>1700781</v>
      </c>
      <c r="S12" s="361">
        <v>1675766</v>
      </c>
      <c r="T12" s="361">
        <v>1641158</v>
      </c>
      <c r="U12" s="361">
        <v>1631983</v>
      </c>
      <c r="V12" s="361">
        <v>1574838</v>
      </c>
      <c r="W12" s="361">
        <v>1742817</v>
      </c>
      <c r="X12" s="361">
        <v>1761138</v>
      </c>
    </row>
    <row r="13" spans="1:24">
      <c r="B13" s="364">
        <f>SUM(B5:B11)-B12</f>
        <v>0</v>
      </c>
      <c r="C13" s="364">
        <f t="shared" ref="C13:O13" si="1">SUM(C5:C11)-C12</f>
        <v>0</v>
      </c>
      <c r="D13" s="364">
        <f t="shared" si="1"/>
        <v>0</v>
      </c>
      <c r="E13" s="364">
        <f t="shared" si="1"/>
        <v>0</v>
      </c>
      <c r="F13" s="364">
        <f t="shared" si="1"/>
        <v>0</v>
      </c>
      <c r="G13" s="364">
        <f t="shared" si="1"/>
        <v>0</v>
      </c>
      <c r="H13" s="364">
        <f t="shared" si="1"/>
        <v>0</v>
      </c>
      <c r="I13" s="364">
        <f t="shared" si="1"/>
        <v>0</v>
      </c>
      <c r="J13" s="364">
        <f t="shared" si="1"/>
        <v>0</v>
      </c>
      <c r="K13" s="364">
        <f t="shared" si="1"/>
        <v>0</v>
      </c>
      <c r="L13" s="364">
        <f t="shared" si="1"/>
        <v>0</v>
      </c>
      <c r="M13" s="364">
        <f t="shared" si="1"/>
        <v>0</v>
      </c>
      <c r="N13" s="364">
        <f t="shared" si="1"/>
        <v>0</v>
      </c>
      <c r="O13" s="364">
        <f t="shared" si="1"/>
        <v>0</v>
      </c>
      <c r="P13" s="364">
        <f t="shared" ref="P13:U13" si="2">SUM(P5:P11)-P12</f>
        <v>0</v>
      </c>
      <c r="Q13" s="364">
        <f t="shared" si="2"/>
        <v>0</v>
      </c>
      <c r="R13" s="364">
        <f t="shared" si="2"/>
        <v>0</v>
      </c>
      <c r="S13" s="364">
        <f t="shared" si="2"/>
        <v>0</v>
      </c>
      <c r="T13" s="364">
        <f t="shared" si="2"/>
        <v>0</v>
      </c>
      <c r="U13" s="364">
        <f t="shared" si="2"/>
        <v>0</v>
      </c>
      <c r="V13" s="364">
        <f>SUM(V5:V11)-V12</f>
        <v>0</v>
      </c>
      <c r="W13" s="364">
        <f>SUM(W5:W11)-W12</f>
        <v>0</v>
      </c>
      <c r="X13" s="364">
        <f>SUM(X5:X11)-X12</f>
        <v>0</v>
      </c>
    </row>
    <row r="14" spans="1:24">
      <c r="A14" s="365" t="s">
        <v>93</v>
      </c>
      <c r="B14" s="360">
        <v>285869</v>
      </c>
      <c r="C14" s="360">
        <v>309148</v>
      </c>
      <c r="D14" s="360">
        <v>407264</v>
      </c>
      <c r="E14" s="360">
        <v>262784</v>
      </c>
      <c r="F14" s="360">
        <v>244587</v>
      </c>
      <c r="G14" s="360">
        <v>232489</v>
      </c>
      <c r="H14" s="360">
        <v>251116</v>
      </c>
      <c r="I14" s="360">
        <v>242899</v>
      </c>
      <c r="J14" s="360">
        <v>217748</v>
      </c>
      <c r="K14" s="360">
        <v>186997</v>
      </c>
      <c r="L14" s="360">
        <f>90315+51873</f>
        <v>142188</v>
      </c>
      <c r="M14" s="360">
        <f>67958+73058</f>
        <v>141016</v>
      </c>
      <c r="N14" s="360">
        <f>64878+80197</f>
        <v>145075</v>
      </c>
      <c r="O14" s="360">
        <v>154319</v>
      </c>
      <c r="P14" s="360">
        <v>147369</v>
      </c>
      <c r="Q14" s="366" t="s">
        <v>77</v>
      </c>
      <c r="R14" s="366" t="s">
        <v>334</v>
      </c>
      <c r="S14" s="366" t="s">
        <v>77</v>
      </c>
      <c r="T14" s="366" t="s">
        <v>334</v>
      </c>
      <c r="U14" s="366" t="s">
        <v>77</v>
      </c>
      <c r="V14" s="366" t="s">
        <v>334</v>
      </c>
      <c r="W14" s="366" t="s">
        <v>334</v>
      </c>
      <c r="X14" s="366" t="s">
        <v>77</v>
      </c>
    </row>
    <row r="15" spans="1:24">
      <c r="A15" s="365"/>
      <c r="B15" s="367">
        <f>B14-B9-B10</f>
        <v>0</v>
      </c>
      <c r="C15" s="367">
        <f t="shared" ref="C15:K15" si="3">C14-C9-C10</f>
        <v>0</v>
      </c>
      <c r="D15" s="367">
        <f t="shared" si="3"/>
        <v>0</v>
      </c>
      <c r="E15" s="367">
        <f t="shared" si="3"/>
        <v>0</v>
      </c>
      <c r="F15" s="367">
        <f t="shared" si="3"/>
        <v>0</v>
      </c>
      <c r="G15" s="367">
        <f t="shared" si="3"/>
        <v>0</v>
      </c>
      <c r="H15" s="367">
        <f t="shared" si="3"/>
        <v>0</v>
      </c>
      <c r="I15" s="367">
        <f t="shared" si="3"/>
        <v>0</v>
      </c>
      <c r="J15" s="367">
        <f t="shared" si="3"/>
        <v>0</v>
      </c>
      <c r="K15" s="367">
        <f t="shared" si="3"/>
        <v>0</v>
      </c>
      <c r="L15" s="367">
        <f>L14-L9-L10</f>
        <v>0</v>
      </c>
      <c r="M15" s="367">
        <f>M14-M9-M10</f>
        <v>0</v>
      </c>
      <c r="N15" s="367">
        <f>N14-N9-N10</f>
        <v>0</v>
      </c>
      <c r="O15" s="367">
        <f>O14-O9-O10</f>
        <v>0</v>
      </c>
      <c r="P15" s="367">
        <f>P14-P9-P10</f>
        <v>0</v>
      </c>
      <c r="Q15" s="367"/>
      <c r="R15" s="367"/>
      <c r="S15" s="367"/>
    </row>
    <row r="16" spans="1:24">
      <c r="B16" s="364"/>
      <c r="C16" s="364"/>
      <c r="D16" s="364"/>
      <c r="E16" s="364"/>
      <c r="F16" s="364"/>
      <c r="G16" s="364"/>
      <c r="H16" s="364"/>
      <c r="I16" s="364"/>
      <c r="J16" s="364"/>
      <c r="K16" s="364"/>
      <c r="L16" s="364"/>
    </row>
    <row r="17" spans="1:24" ht="13.5" hidden="1" customHeight="1">
      <c r="A17" s="654" t="s">
        <v>94</v>
      </c>
      <c r="B17" s="654"/>
      <c r="C17" s="654"/>
      <c r="D17" s="654"/>
    </row>
    <row r="18" spans="1:24" ht="13.5" hidden="1" customHeight="1">
      <c r="A18" s="355"/>
      <c r="B18" s="356" t="s">
        <v>66</v>
      </c>
      <c r="C18" s="356" t="s">
        <v>80</v>
      </c>
      <c r="D18" s="356" t="s">
        <v>67</v>
      </c>
      <c r="E18" s="356" t="s">
        <v>81</v>
      </c>
      <c r="F18" s="356" t="s">
        <v>68</v>
      </c>
      <c r="G18" s="356" t="s">
        <v>82</v>
      </c>
      <c r="H18" s="356" t="s">
        <v>69</v>
      </c>
      <c r="I18" s="356" t="s">
        <v>83</v>
      </c>
      <c r="J18" s="356" t="s">
        <v>70</v>
      </c>
      <c r="K18" s="356" t="s">
        <v>71</v>
      </c>
      <c r="L18" s="356" t="s">
        <v>84</v>
      </c>
    </row>
    <row r="19" spans="1:24" ht="13.5" hidden="1" customHeight="1">
      <c r="A19" s="359" t="s">
        <v>85</v>
      </c>
      <c r="B19" s="360">
        <v>777637</v>
      </c>
      <c r="C19" s="360">
        <v>775187</v>
      </c>
      <c r="D19" s="360">
        <v>738656</v>
      </c>
      <c r="E19" s="360">
        <v>712955</v>
      </c>
      <c r="F19" s="360">
        <v>686522</v>
      </c>
      <c r="G19" s="360">
        <v>665501</v>
      </c>
      <c r="H19" s="360">
        <v>635039</v>
      </c>
      <c r="I19" s="360">
        <v>613049</v>
      </c>
      <c r="J19" s="360">
        <v>618500</v>
      </c>
      <c r="K19" s="360">
        <v>628573</v>
      </c>
      <c r="L19" s="360">
        <v>652624</v>
      </c>
    </row>
    <row r="20" spans="1:24" ht="13.5" hidden="1" customHeight="1">
      <c r="A20" s="359" t="s">
        <v>86</v>
      </c>
      <c r="B20" s="360">
        <v>12844</v>
      </c>
      <c r="C20" s="360">
        <v>3779</v>
      </c>
      <c r="D20" s="360">
        <v>15155</v>
      </c>
      <c r="E20" s="360">
        <v>58810</v>
      </c>
      <c r="F20" s="360">
        <v>76659</v>
      </c>
      <c r="G20" s="360">
        <v>79853</v>
      </c>
      <c r="H20" s="360">
        <v>84384</v>
      </c>
      <c r="I20" s="360">
        <v>80475</v>
      </c>
      <c r="J20" s="360">
        <v>72843</v>
      </c>
      <c r="K20" s="360">
        <v>60716</v>
      </c>
      <c r="L20" s="360">
        <v>47208</v>
      </c>
    </row>
    <row r="21" spans="1:24" ht="13.5" hidden="1" customHeight="1">
      <c r="A21" s="359" t="s">
        <v>95</v>
      </c>
      <c r="B21" s="360" t="s">
        <v>334</v>
      </c>
      <c r="C21" s="360" t="s">
        <v>334</v>
      </c>
      <c r="D21" s="360" t="s">
        <v>77</v>
      </c>
      <c r="E21" s="360" t="s">
        <v>77</v>
      </c>
      <c r="F21" s="360" t="s">
        <v>77</v>
      </c>
      <c r="G21" s="360">
        <v>15666</v>
      </c>
      <c r="H21" s="360">
        <v>36732</v>
      </c>
      <c r="I21" s="360">
        <v>61138</v>
      </c>
      <c r="J21" s="360">
        <v>44086</v>
      </c>
      <c r="K21" s="360">
        <v>33826</v>
      </c>
      <c r="L21" s="360">
        <v>30150</v>
      </c>
    </row>
    <row r="22" spans="1:24" ht="13.5" hidden="1" customHeight="1">
      <c r="A22" s="359" t="s">
        <v>92</v>
      </c>
      <c r="B22" s="360">
        <f>SUM(B19:B21)</f>
        <v>790481</v>
      </c>
      <c r="C22" s="360">
        <f t="shared" ref="C22:L22" si="4">SUM(C19:C21)</f>
        <v>778966</v>
      </c>
      <c r="D22" s="360">
        <f t="shared" si="4"/>
        <v>753811</v>
      </c>
      <c r="E22" s="360">
        <f t="shared" si="4"/>
        <v>771765</v>
      </c>
      <c r="F22" s="360">
        <f t="shared" si="4"/>
        <v>763181</v>
      </c>
      <c r="G22" s="360">
        <f t="shared" si="4"/>
        <v>761020</v>
      </c>
      <c r="H22" s="360">
        <f t="shared" si="4"/>
        <v>756155</v>
      </c>
      <c r="I22" s="360">
        <f t="shared" si="4"/>
        <v>754662</v>
      </c>
      <c r="J22" s="360">
        <f t="shared" si="4"/>
        <v>735429</v>
      </c>
      <c r="K22" s="360">
        <f t="shared" si="4"/>
        <v>723115</v>
      </c>
      <c r="L22" s="360">
        <f t="shared" si="4"/>
        <v>729982</v>
      </c>
    </row>
    <row r="23" spans="1:24" ht="13.5" hidden="1" customHeight="1">
      <c r="B23" s="368"/>
      <c r="C23" s="368"/>
      <c r="D23" s="368"/>
      <c r="E23" s="368"/>
      <c r="F23" s="368"/>
      <c r="G23" s="368"/>
      <c r="H23" s="368"/>
      <c r="I23" s="368"/>
      <c r="J23" s="368"/>
      <c r="K23" s="368"/>
      <c r="L23" s="368"/>
    </row>
    <row r="24" spans="1:24">
      <c r="A24" s="654" t="s">
        <v>96</v>
      </c>
      <c r="B24" s="654"/>
      <c r="C24" s="654"/>
      <c r="D24" s="654"/>
    </row>
    <row r="25" spans="1:24">
      <c r="A25" s="355"/>
      <c r="B25" s="356" t="s">
        <v>66</v>
      </c>
      <c r="C25" s="356" t="s">
        <v>80</v>
      </c>
      <c r="D25" s="356" t="s">
        <v>67</v>
      </c>
      <c r="E25" s="356" t="s">
        <v>81</v>
      </c>
      <c r="F25" s="356" t="s">
        <v>68</v>
      </c>
      <c r="G25" s="356" t="s">
        <v>82</v>
      </c>
      <c r="H25" s="356" t="s">
        <v>69</v>
      </c>
      <c r="I25" s="356" t="s">
        <v>83</v>
      </c>
      <c r="J25" s="356" t="s">
        <v>70</v>
      </c>
      <c r="K25" s="356" t="s">
        <v>71</v>
      </c>
      <c r="L25" s="356" t="s">
        <v>330</v>
      </c>
      <c r="M25" s="369" t="s">
        <v>202</v>
      </c>
      <c r="N25" s="369" t="s">
        <v>128</v>
      </c>
      <c r="O25" s="369" t="s">
        <v>132</v>
      </c>
      <c r="P25" s="369" t="s">
        <v>138</v>
      </c>
      <c r="Q25" s="369" t="s">
        <v>169</v>
      </c>
      <c r="R25" s="357" t="s">
        <v>179</v>
      </c>
      <c r="S25" s="357" t="s">
        <v>203</v>
      </c>
      <c r="T25" s="357" t="s">
        <v>209</v>
      </c>
      <c r="U25" s="357" t="s">
        <v>218</v>
      </c>
      <c r="V25" s="357" t="s">
        <v>247</v>
      </c>
      <c r="W25" s="357" t="s">
        <v>258</v>
      </c>
      <c r="X25" s="357" t="s">
        <v>316</v>
      </c>
    </row>
    <row r="26" spans="1:24">
      <c r="A26" s="359" t="s">
        <v>85</v>
      </c>
      <c r="B26" s="370">
        <f t="shared" ref="B26:N32" si="5">B5/B$12*100</f>
        <v>41.858333292962634</v>
      </c>
      <c r="C26" s="370">
        <f t="shared" si="5"/>
        <v>41.656810266490908</v>
      </c>
      <c r="D26" s="370">
        <f t="shared" si="5"/>
        <v>37.201113027712374</v>
      </c>
      <c r="E26" s="370">
        <f t="shared" si="5"/>
        <v>37.32103877340564</v>
      </c>
      <c r="F26" s="370">
        <f t="shared" si="5"/>
        <v>36.719632526614866</v>
      </c>
      <c r="G26" s="370">
        <f t="shared" si="5"/>
        <v>35.738754660664931</v>
      </c>
      <c r="H26" s="370">
        <f t="shared" si="5"/>
        <v>35.463052002953027</v>
      </c>
      <c r="I26" s="370">
        <f t="shared" si="5"/>
        <v>35.587409449472531</v>
      </c>
      <c r="J26" s="370">
        <f>J5/J$12*100</f>
        <v>36.29982422316322</v>
      </c>
      <c r="K26" s="370">
        <f>K5/K$12*100</f>
        <v>37.720981171705048</v>
      </c>
      <c r="L26" s="370">
        <f>L5/L$12*100</f>
        <v>41.032476457177779</v>
      </c>
      <c r="M26" s="370">
        <f>M5/M$12*100</f>
        <v>43.016005350967006</v>
      </c>
      <c r="N26" s="370">
        <f>N5/N$12*100</f>
        <v>43.134071239472682</v>
      </c>
      <c r="O26" s="371">
        <f t="shared" ref="O26:X32" si="6">O5/O$12*100</f>
        <v>37.305304289721455</v>
      </c>
      <c r="P26" s="371">
        <f t="shared" si="6"/>
        <v>38.110411087497404</v>
      </c>
      <c r="Q26" s="371">
        <f t="shared" si="6"/>
        <v>38.522465472674902</v>
      </c>
      <c r="R26" s="371">
        <f t="shared" si="6"/>
        <v>36.865769314215058</v>
      </c>
      <c r="S26" s="371">
        <f t="shared" si="6"/>
        <v>38.303080501692961</v>
      </c>
      <c r="T26" s="371">
        <f t="shared" si="6"/>
        <v>40.170172524522322</v>
      </c>
      <c r="U26" s="371">
        <f t="shared" si="6"/>
        <v>40.44698995026296</v>
      </c>
      <c r="V26" s="371">
        <f t="shared" si="6"/>
        <v>41.875608792777413</v>
      </c>
      <c r="W26" s="371">
        <f t="shared" si="6"/>
        <v>38.753581127565319</v>
      </c>
      <c r="X26" s="371">
        <f t="shared" si="6"/>
        <v>41.872982128600938</v>
      </c>
    </row>
    <row r="27" spans="1:24">
      <c r="A27" s="359" t="s">
        <v>86</v>
      </c>
      <c r="B27" s="370">
        <f t="shared" si="5"/>
        <v>0.69136169294260952</v>
      </c>
      <c r="C27" s="370">
        <f t="shared" si="5"/>
        <v>0.20307498190381049</v>
      </c>
      <c r="D27" s="370">
        <f t="shared" si="5"/>
        <v>0.76325497651813701</v>
      </c>
      <c r="E27" s="370">
        <f t="shared" si="5"/>
        <v>3.0785256997482113</v>
      </c>
      <c r="F27" s="370">
        <f t="shared" si="5"/>
        <v>4.1002186526546396</v>
      </c>
      <c r="G27" s="370">
        <f t="shared" si="5"/>
        <v>4.28826820082626</v>
      </c>
      <c r="H27" s="370">
        <f t="shared" si="5"/>
        <v>4.7123313374724827</v>
      </c>
      <c r="I27" s="370">
        <f t="shared" si="5"/>
        <v>4.6715625919727488</v>
      </c>
      <c r="J27" s="370">
        <f t="shared" si="5"/>
        <v>4.275162644927855</v>
      </c>
      <c r="K27" s="370">
        <f t="shared" si="5"/>
        <v>3.6435976295851775</v>
      </c>
      <c r="L27" s="370">
        <f t="shared" si="5"/>
        <v>2.9681120347864138</v>
      </c>
      <c r="M27" s="370">
        <f t="shared" si="5"/>
        <v>0.66563747198508838</v>
      </c>
      <c r="N27" s="370">
        <f t="shared" si="5"/>
        <v>1.0869250688531631</v>
      </c>
      <c r="O27" s="371">
        <f t="shared" si="6"/>
        <v>2.275121481987525</v>
      </c>
      <c r="P27" s="371">
        <f t="shared" si="6"/>
        <v>2.9202936974132543</v>
      </c>
      <c r="Q27" s="371">
        <f t="shared" si="6"/>
        <v>3.2822458931802934</v>
      </c>
      <c r="R27" s="371">
        <f t="shared" si="6"/>
        <v>2.9499388810199552</v>
      </c>
      <c r="S27" s="371">
        <f t="shared" si="6"/>
        <v>2.9025532204376985</v>
      </c>
      <c r="T27" s="371">
        <f t="shared" si="6"/>
        <v>2.2415270193363463</v>
      </c>
      <c r="U27" s="371">
        <f t="shared" si="6"/>
        <v>2.5668772285005423</v>
      </c>
      <c r="V27" s="371">
        <f t="shared" si="6"/>
        <v>2.0894212611074918</v>
      </c>
      <c r="W27" s="371">
        <f t="shared" si="6"/>
        <v>3.0278566252222694</v>
      </c>
      <c r="X27" s="371">
        <f t="shared" si="6"/>
        <v>2.4780568019087656</v>
      </c>
    </row>
    <row r="28" spans="1:24">
      <c r="A28" s="359" t="s">
        <v>87</v>
      </c>
      <c r="B28" s="370">
        <f t="shared" si="5"/>
        <v>3.9187030993393739</v>
      </c>
      <c r="C28" s="370">
        <f t="shared" si="5"/>
        <v>3.5286897821417611</v>
      </c>
      <c r="D28" s="370">
        <f t="shared" si="5"/>
        <v>4.3484129282449668</v>
      </c>
      <c r="E28" s="370">
        <f t="shared" si="5"/>
        <v>4.736773227662237</v>
      </c>
      <c r="F28" s="370">
        <f t="shared" si="5"/>
        <v>5.7003731215554723</v>
      </c>
      <c r="G28" s="370">
        <f t="shared" si="5"/>
        <v>5.5650339638488671</v>
      </c>
      <c r="H28" s="370">
        <f t="shared" si="5"/>
        <v>4.841274893812832</v>
      </c>
      <c r="I28" s="370">
        <f t="shared" si="5"/>
        <v>5.1013057155312982</v>
      </c>
      <c r="J28" s="370">
        <f t="shared" si="5"/>
        <v>5.7182347192999448</v>
      </c>
      <c r="K28" s="370">
        <f t="shared" si="5"/>
        <v>6.1147700847648343</v>
      </c>
      <c r="L28" s="370">
        <f t="shared" si="5"/>
        <v>6.781866902734099</v>
      </c>
      <c r="M28" s="370">
        <f t="shared" si="5"/>
        <v>4.9045670249828026</v>
      </c>
      <c r="N28" s="370">
        <f t="shared" si="5"/>
        <v>4.7177036384950108</v>
      </c>
      <c r="O28" s="371">
        <f t="shared" si="6"/>
        <v>4.2418046393766149</v>
      </c>
      <c r="P28" s="371">
        <f t="shared" si="6"/>
        <v>4.1478276168345767</v>
      </c>
      <c r="Q28" s="371">
        <f t="shared" si="6"/>
        <v>4.0868337092315929</v>
      </c>
      <c r="R28" s="371">
        <f t="shared" si="6"/>
        <v>3.8123662011746369</v>
      </c>
      <c r="S28" s="371">
        <f t="shared" si="6"/>
        <v>4.0135675267310589</v>
      </c>
      <c r="T28" s="371">
        <f t="shared" si="6"/>
        <v>4.3712427444523927</v>
      </c>
      <c r="U28" s="371">
        <f t="shared" si="6"/>
        <v>5.8821691157322098</v>
      </c>
      <c r="V28" s="371">
        <f t="shared" si="6"/>
        <v>5.4766903008436421</v>
      </c>
      <c r="W28" s="371">
        <f t="shared" si="6"/>
        <v>7.9175840033692575</v>
      </c>
      <c r="X28" s="371">
        <f t="shared" si="6"/>
        <v>5.4144536089732886</v>
      </c>
    </row>
    <row r="29" spans="1:24">
      <c r="A29" s="359" t="s">
        <v>88</v>
      </c>
      <c r="B29" s="370">
        <f t="shared" si="5"/>
        <v>11.817795727488086</v>
      </c>
      <c r="C29" s="370">
        <f t="shared" si="5"/>
        <v>12.33270764672154</v>
      </c>
      <c r="D29" s="370">
        <f t="shared" si="5"/>
        <v>12.630346373216828</v>
      </c>
      <c r="E29" s="370">
        <f t="shared" si="5"/>
        <v>14.59527934964116</v>
      </c>
      <c r="F29" s="370">
        <f t="shared" si="5"/>
        <v>13.254052134323761</v>
      </c>
      <c r="G29" s="370">
        <f t="shared" si="5"/>
        <v>13.685532726822608</v>
      </c>
      <c r="H29" s="370">
        <f t="shared" si="5"/>
        <v>13.980072664077744</v>
      </c>
      <c r="I29" s="370">
        <f t="shared" si="5"/>
        <v>15.299795606438193</v>
      </c>
      <c r="J29" s="370">
        <f t="shared" si="5"/>
        <v>16.063009686800303</v>
      </c>
      <c r="K29" s="370">
        <f t="shared" si="5"/>
        <v>16.417373040282047</v>
      </c>
      <c r="L29" s="370">
        <f t="shared" si="5"/>
        <v>15.88601363339717</v>
      </c>
      <c r="M29" s="370">
        <f t="shared" si="5"/>
        <v>16.320005579207308</v>
      </c>
      <c r="N29" s="370">
        <f t="shared" si="5"/>
        <v>16.606810659749303</v>
      </c>
      <c r="O29" s="371">
        <f t="shared" si="6"/>
        <v>20.639704435206717</v>
      </c>
      <c r="P29" s="371">
        <f t="shared" si="6"/>
        <v>20.298993755794779</v>
      </c>
      <c r="Q29" s="371">
        <f t="shared" si="6"/>
        <v>20.857144933610151</v>
      </c>
      <c r="R29" s="371">
        <f t="shared" si="6"/>
        <v>19.597408484690266</v>
      </c>
      <c r="S29" s="371">
        <f t="shared" si="6"/>
        <v>20.792998545142936</v>
      </c>
      <c r="T29" s="371">
        <f t="shared" si="6"/>
        <v>21.291551453303097</v>
      </c>
      <c r="U29" s="371">
        <f t="shared" si="6"/>
        <v>21.911809130364716</v>
      </c>
      <c r="V29" s="371">
        <f t="shared" si="6"/>
        <v>23.275663909557682</v>
      </c>
      <c r="W29" s="371">
        <f t="shared" si="6"/>
        <v>23.17437803280551</v>
      </c>
      <c r="X29" s="371">
        <f t="shared" si="6"/>
        <v>22.52435641045733</v>
      </c>
    </row>
    <row r="30" spans="1:24">
      <c r="A30" s="359" t="s">
        <v>89</v>
      </c>
      <c r="B30" s="370">
        <f t="shared" si="5"/>
        <v>12.285396087702386</v>
      </c>
      <c r="C30" s="370">
        <f t="shared" si="5"/>
        <v>12.849772339994486</v>
      </c>
      <c r="D30" s="370">
        <f t="shared" si="5"/>
        <v>15.948931669667477</v>
      </c>
      <c r="E30" s="370">
        <f t="shared" si="5"/>
        <v>10.258908146759984</v>
      </c>
      <c r="F30" s="370">
        <f t="shared" si="5"/>
        <v>11.020029610105091</v>
      </c>
      <c r="G30" s="370">
        <f t="shared" si="5"/>
        <v>9.8272029780997752</v>
      </c>
      <c r="H30" s="370">
        <f t="shared" si="5"/>
        <v>9.4605703002056174</v>
      </c>
      <c r="I30" s="370">
        <f t="shared" si="5"/>
        <v>7.7334605786294084</v>
      </c>
      <c r="J30" s="370">
        <f t="shared" si="5"/>
        <v>7.1128874646758984</v>
      </c>
      <c r="K30" s="370">
        <f t="shared" si="5"/>
        <v>7.0338309204110718</v>
      </c>
      <c r="L30" s="370">
        <f t="shared" si="5"/>
        <v>5.678381596800012</v>
      </c>
      <c r="M30" s="370">
        <f t="shared" si="5"/>
        <v>4.308542844191126</v>
      </c>
      <c r="N30" s="370">
        <f t="shared" si="5"/>
        <v>4.1718940198222514</v>
      </c>
      <c r="O30" s="371">
        <f t="shared" si="6"/>
        <v>3.0029067141567567</v>
      </c>
      <c r="P30" s="371">
        <f t="shared" si="6"/>
        <v>2.0417096106701211</v>
      </c>
      <c r="Q30" s="655">
        <f t="shared" si="6"/>
        <v>9.9375225599519368</v>
      </c>
      <c r="R30" s="655">
        <f t="shared" si="6"/>
        <v>7.6187939540716885</v>
      </c>
      <c r="S30" s="655">
        <f t="shared" si="6"/>
        <v>9.2395358301815396</v>
      </c>
      <c r="T30" s="655">
        <f t="shared" si="6"/>
        <v>7.3803984747355225</v>
      </c>
      <c r="U30" s="655">
        <f t="shared" si="6"/>
        <v>6.241302758668442</v>
      </c>
      <c r="V30" s="655">
        <f t="shared" si="6"/>
        <v>5.8058035175681564</v>
      </c>
      <c r="W30" s="655">
        <f t="shared" si="6"/>
        <v>6.7690985341547618</v>
      </c>
      <c r="X30" s="655">
        <f t="shared" si="6"/>
        <v>5.8825032450608639</v>
      </c>
    </row>
    <row r="31" spans="1:24">
      <c r="A31" s="359" t="s">
        <v>90</v>
      </c>
      <c r="B31" s="370">
        <f t="shared" si="5"/>
        <v>3.102246064260465</v>
      </c>
      <c r="C31" s="370">
        <f t="shared" si="5"/>
        <v>3.7631476138555282</v>
      </c>
      <c r="D31" s="370">
        <f t="shared" si="5"/>
        <v>4.5622049028618914</v>
      </c>
      <c r="E31" s="370">
        <f t="shared" si="5"/>
        <v>3.4970397784675948</v>
      </c>
      <c r="F31" s="370">
        <f t="shared" si="5"/>
        <v>2.0620635504741038</v>
      </c>
      <c r="G31" s="370">
        <f t="shared" si="5"/>
        <v>2.6579282723466231</v>
      </c>
      <c r="H31" s="370">
        <f t="shared" si="5"/>
        <v>4.5627255395358031</v>
      </c>
      <c r="I31" s="370">
        <f t="shared" si="5"/>
        <v>6.3667926929156531</v>
      </c>
      <c r="J31" s="370">
        <f t="shared" si="5"/>
        <v>5.666763505324659</v>
      </c>
      <c r="K31" s="370">
        <f t="shared" si="5"/>
        <v>4.1879528917560576</v>
      </c>
      <c r="L31" s="370">
        <f t="shared" si="5"/>
        <v>3.2614149207862155</v>
      </c>
      <c r="M31" s="370">
        <f t="shared" si="5"/>
        <v>4.6318832677670807</v>
      </c>
      <c r="N31" s="370">
        <f t="shared" si="5"/>
        <v>5.1569620627591037</v>
      </c>
      <c r="O31" s="371">
        <f t="shared" si="6"/>
        <v>6.2286475553750282</v>
      </c>
      <c r="P31" s="371">
        <f t="shared" si="6"/>
        <v>6.9297467556858061</v>
      </c>
      <c r="Q31" s="656"/>
      <c r="R31" s="656"/>
      <c r="S31" s="656"/>
      <c r="T31" s="656"/>
      <c r="U31" s="656"/>
      <c r="V31" s="656"/>
      <c r="W31" s="656"/>
      <c r="X31" s="656"/>
    </row>
    <row r="32" spans="1:24">
      <c r="A32" s="359" t="s">
        <v>91</v>
      </c>
      <c r="B32" s="370">
        <f t="shared" si="5"/>
        <v>26.326164035304444</v>
      </c>
      <c r="C32" s="370">
        <f t="shared" si="5"/>
        <v>25.665797368891962</v>
      </c>
      <c r="D32" s="370">
        <f t="shared" si="5"/>
        <v>24.545736121778326</v>
      </c>
      <c r="E32" s="370">
        <f t="shared" si="5"/>
        <v>26.512435024315174</v>
      </c>
      <c r="F32" s="370">
        <f t="shared" si="5"/>
        <v>27.143630404272074</v>
      </c>
      <c r="G32" s="370">
        <f t="shared" si="5"/>
        <v>28.23727919739094</v>
      </c>
      <c r="H32" s="370">
        <f t="shared" si="5"/>
        <v>26.979973261942497</v>
      </c>
      <c r="I32" s="370">
        <f t="shared" si="5"/>
        <v>25.239673365040165</v>
      </c>
      <c r="J32" s="370">
        <f t="shared" si="5"/>
        <v>24.864117755808117</v>
      </c>
      <c r="K32" s="370">
        <f t="shared" si="5"/>
        <v>24.881494261495764</v>
      </c>
      <c r="L32" s="370">
        <f t="shared" si="5"/>
        <v>24.391734454318311</v>
      </c>
      <c r="M32" s="370">
        <f t="shared" si="5"/>
        <v>26.153358460899582</v>
      </c>
      <c r="N32" s="370">
        <f t="shared" si="5"/>
        <v>25.125633310848482</v>
      </c>
      <c r="O32" s="371">
        <f t="shared" si="6"/>
        <v>26.306510884175903</v>
      </c>
      <c r="P32" s="371">
        <f t="shared" si="6"/>
        <v>25.551017476104061</v>
      </c>
      <c r="Q32" s="371">
        <f t="shared" si="6"/>
        <v>23.313787431351127</v>
      </c>
      <c r="R32" s="371">
        <f t="shared" si="6"/>
        <v>29.155723164828395</v>
      </c>
      <c r="S32" s="371">
        <f t="shared" si="6"/>
        <v>24.748264375813807</v>
      </c>
      <c r="T32" s="371">
        <f>T11/T$12*100</f>
        <v>24.545107783650323</v>
      </c>
      <c r="U32" s="371">
        <f>U11/U$12*100</f>
        <v>22.950851816471125</v>
      </c>
      <c r="V32" s="371">
        <f>V11/V$12*100</f>
        <v>21.476812218145614</v>
      </c>
      <c r="W32" s="371">
        <f>W11/W$12*100</f>
        <v>20.357501676882887</v>
      </c>
      <c r="X32" s="371">
        <f>X11/X$12*100</f>
        <v>21.827647804998811</v>
      </c>
    </row>
    <row r="33" spans="1:24">
      <c r="A33" s="359" t="s">
        <v>92</v>
      </c>
      <c r="B33" s="372">
        <f>SUM(B26:B32)</f>
        <v>100</v>
      </c>
      <c r="C33" s="372">
        <f t="shared" ref="C33:X33" si="7">SUM(C26:C32)</f>
        <v>99.999999999999986</v>
      </c>
      <c r="D33" s="372">
        <f t="shared" si="7"/>
        <v>100</v>
      </c>
      <c r="E33" s="372">
        <f t="shared" si="7"/>
        <v>100</v>
      </c>
      <c r="F33" s="372">
        <f t="shared" si="7"/>
        <v>100</v>
      </c>
      <c r="G33" s="372">
        <f t="shared" si="7"/>
        <v>100</v>
      </c>
      <c r="H33" s="372">
        <f t="shared" si="7"/>
        <v>100</v>
      </c>
      <c r="I33" s="372">
        <f t="shared" si="7"/>
        <v>100</v>
      </c>
      <c r="J33" s="372">
        <f t="shared" si="7"/>
        <v>99.999999999999972</v>
      </c>
      <c r="K33" s="372">
        <f t="shared" si="7"/>
        <v>100</v>
      </c>
      <c r="L33" s="372">
        <f t="shared" si="7"/>
        <v>100</v>
      </c>
      <c r="M33" s="372">
        <f t="shared" si="7"/>
        <v>99.999999999999986</v>
      </c>
      <c r="N33" s="372">
        <f t="shared" si="7"/>
        <v>100</v>
      </c>
      <c r="O33" s="372">
        <f t="shared" si="7"/>
        <v>100</v>
      </c>
      <c r="P33" s="372">
        <f t="shared" si="7"/>
        <v>100.00000000000001</v>
      </c>
      <c r="Q33" s="372">
        <f t="shared" si="7"/>
        <v>100</v>
      </c>
      <c r="R33" s="372">
        <f t="shared" si="7"/>
        <v>100</v>
      </c>
      <c r="S33" s="372">
        <f t="shared" si="7"/>
        <v>100</v>
      </c>
      <c r="T33" s="372">
        <f t="shared" si="7"/>
        <v>100.00000000000001</v>
      </c>
      <c r="U33" s="372">
        <f t="shared" si="7"/>
        <v>100</v>
      </c>
      <c r="V33" s="372">
        <f t="shared" si="7"/>
        <v>99.999999999999986</v>
      </c>
      <c r="W33" s="372">
        <f t="shared" si="7"/>
        <v>100.00000000000001</v>
      </c>
      <c r="X33" s="372">
        <f t="shared" si="7"/>
        <v>100</v>
      </c>
    </row>
    <row r="35" spans="1:24">
      <c r="A35" s="654" t="s">
        <v>97</v>
      </c>
      <c r="B35" s="654"/>
      <c r="C35" s="654"/>
      <c r="D35" s="654"/>
      <c r="E35" s="373" t="s">
        <v>98</v>
      </c>
    </row>
    <row r="36" spans="1:24">
      <c r="A36" s="355"/>
      <c r="B36" s="356" t="s">
        <v>66</v>
      </c>
      <c r="C36" s="356" t="s">
        <v>80</v>
      </c>
      <c r="D36" s="356" t="s">
        <v>67</v>
      </c>
      <c r="E36" s="356" t="s">
        <v>81</v>
      </c>
      <c r="F36" s="356" t="s">
        <v>68</v>
      </c>
      <c r="G36" s="356" t="s">
        <v>82</v>
      </c>
      <c r="H36" s="356" t="s">
        <v>69</v>
      </c>
      <c r="I36" s="356" t="s">
        <v>83</v>
      </c>
      <c r="J36" s="356" t="s">
        <v>70</v>
      </c>
      <c r="K36" s="356" t="s">
        <v>71</v>
      </c>
      <c r="L36" s="356" t="s">
        <v>335</v>
      </c>
      <c r="M36" s="369" t="s">
        <v>202</v>
      </c>
      <c r="N36" s="369" t="s">
        <v>128</v>
      </c>
      <c r="O36" s="369" t="s">
        <v>333</v>
      </c>
      <c r="P36" s="369" t="s">
        <v>138</v>
      </c>
      <c r="Q36" s="369" t="s">
        <v>331</v>
      </c>
      <c r="R36" s="357" t="s">
        <v>179</v>
      </c>
      <c r="S36" s="357" t="s">
        <v>203</v>
      </c>
      <c r="T36" s="357" t="s">
        <v>209</v>
      </c>
      <c r="U36" s="357" t="s">
        <v>217</v>
      </c>
      <c r="V36" s="357" t="s">
        <v>247</v>
      </c>
      <c r="W36" s="357" t="s">
        <v>258</v>
      </c>
      <c r="X36" s="357" t="s">
        <v>316</v>
      </c>
    </row>
    <row r="37" spans="1:24">
      <c r="A37" s="359" t="s">
        <v>332</v>
      </c>
      <c r="B37" s="372">
        <f>ROUND(B26,1)</f>
        <v>41.9</v>
      </c>
      <c r="C37" s="372">
        <f t="shared" ref="C37:X40" si="8">ROUND(C26,1)</f>
        <v>41.7</v>
      </c>
      <c r="D37" s="372">
        <f t="shared" si="8"/>
        <v>37.200000000000003</v>
      </c>
      <c r="E37" s="372">
        <f t="shared" si="8"/>
        <v>37.299999999999997</v>
      </c>
      <c r="F37" s="372">
        <f t="shared" si="8"/>
        <v>36.700000000000003</v>
      </c>
      <c r="G37" s="372">
        <f t="shared" si="8"/>
        <v>35.700000000000003</v>
      </c>
      <c r="H37" s="372">
        <f t="shared" si="8"/>
        <v>35.5</v>
      </c>
      <c r="I37" s="372">
        <f t="shared" si="8"/>
        <v>35.6</v>
      </c>
      <c r="J37" s="372">
        <f t="shared" si="8"/>
        <v>36.299999999999997</v>
      </c>
      <c r="K37" s="372">
        <f t="shared" si="8"/>
        <v>37.700000000000003</v>
      </c>
      <c r="L37" s="372">
        <f t="shared" si="8"/>
        <v>41</v>
      </c>
      <c r="M37" s="372">
        <f t="shared" si="8"/>
        <v>43</v>
      </c>
      <c r="N37" s="372">
        <f t="shared" si="8"/>
        <v>43.1</v>
      </c>
      <c r="O37" s="372">
        <f t="shared" si="8"/>
        <v>37.299999999999997</v>
      </c>
      <c r="P37" s="372">
        <f t="shared" si="8"/>
        <v>38.1</v>
      </c>
      <c r="Q37" s="372">
        <f t="shared" si="8"/>
        <v>38.5</v>
      </c>
      <c r="R37" s="372">
        <f t="shared" si="8"/>
        <v>36.9</v>
      </c>
      <c r="S37" s="372">
        <f t="shared" si="8"/>
        <v>38.299999999999997</v>
      </c>
      <c r="T37" s="372">
        <f t="shared" si="8"/>
        <v>40.200000000000003</v>
      </c>
      <c r="U37" s="372">
        <f t="shared" si="8"/>
        <v>40.4</v>
      </c>
      <c r="V37" s="372">
        <f t="shared" si="8"/>
        <v>41.9</v>
      </c>
      <c r="W37" s="372">
        <f t="shared" si="8"/>
        <v>38.799999999999997</v>
      </c>
      <c r="X37" s="372">
        <f t="shared" si="8"/>
        <v>41.9</v>
      </c>
    </row>
    <row r="38" spans="1:24">
      <c r="A38" s="359" t="s">
        <v>86</v>
      </c>
      <c r="B38" s="372">
        <f>ROUND(B27,1)</f>
        <v>0.7</v>
      </c>
      <c r="C38" s="372">
        <f t="shared" si="8"/>
        <v>0.2</v>
      </c>
      <c r="D38" s="372">
        <f t="shared" si="8"/>
        <v>0.8</v>
      </c>
      <c r="E38" s="372">
        <f t="shared" si="8"/>
        <v>3.1</v>
      </c>
      <c r="F38" s="372">
        <f t="shared" si="8"/>
        <v>4.0999999999999996</v>
      </c>
      <c r="G38" s="372">
        <f t="shared" si="8"/>
        <v>4.3</v>
      </c>
      <c r="H38" s="372">
        <f t="shared" si="8"/>
        <v>4.7</v>
      </c>
      <c r="I38" s="372">
        <f t="shared" si="8"/>
        <v>4.7</v>
      </c>
      <c r="J38" s="372">
        <f t="shared" si="8"/>
        <v>4.3</v>
      </c>
      <c r="K38" s="372">
        <f>ROUND(K27,1)+0.1</f>
        <v>3.7</v>
      </c>
      <c r="L38" s="372">
        <f>ROUND(L27,1)</f>
        <v>3</v>
      </c>
      <c r="M38" s="372">
        <f t="shared" si="8"/>
        <v>0.7</v>
      </c>
      <c r="N38" s="372">
        <f t="shared" si="8"/>
        <v>1.1000000000000001</v>
      </c>
      <c r="O38" s="372">
        <f t="shared" si="8"/>
        <v>2.2999999999999998</v>
      </c>
      <c r="P38" s="372">
        <f t="shared" si="8"/>
        <v>2.9</v>
      </c>
      <c r="Q38" s="372">
        <f t="shared" si="8"/>
        <v>3.3</v>
      </c>
      <c r="R38" s="372">
        <f t="shared" si="8"/>
        <v>2.9</v>
      </c>
      <c r="S38" s="372">
        <f t="shared" si="8"/>
        <v>2.9</v>
      </c>
      <c r="T38" s="372">
        <f t="shared" si="8"/>
        <v>2.2000000000000002</v>
      </c>
      <c r="U38" s="372">
        <f t="shared" si="8"/>
        <v>2.6</v>
      </c>
      <c r="V38" s="372">
        <f t="shared" si="8"/>
        <v>2.1</v>
      </c>
      <c r="W38" s="372">
        <f t="shared" si="8"/>
        <v>3</v>
      </c>
      <c r="X38" s="372">
        <f t="shared" si="8"/>
        <v>2.5</v>
      </c>
    </row>
    <row r="39" spans="1:24">
      <c r="A39" s="359" t="s">
        <v>87</v>
      </c>
      <c r="B39" s="372">
        <f>ROUND(B28,1)</f>
        <v>3.9</v>
      </c>
      <c r="C39" s="372">
        <f>ROUND(C28,1)</f>
        <v>3.5</v>
      </c>
      <c r="D39" s="372">
        <f>ROUND(D28,1)+0.1</f>
        <v>4.3999999999999995</v>
      </c>
      <c r="E39" s="372">
        <f t="shared" si="8"/>
        <v>4.7</v>
      </c>
      <c r="F39" s="372">
        <f t="shared" si="8"/>
        <v>5.7</v>
      </c>
      <c r="G39" s="372">
        <f t="shared" si="8"/>
        <v>5.6</v>
      </c>
      <c r="H39" s="372">
        <f t="shared" si="8"/>
        <v>4.8</v>
      </c>
      <c r="I39" s="372">
        <f t="shared" si="8"/>
        <v>5.0999999999999996</v>
      </c>
      <c r="J39" s="372">
        <f t="shared" si="8"/>
        <v>5.7</v>
      </c>
      <c r="K39" s="372">
        <f>ROUND(K28,1)</f>
        <v>6.1</v>
      </c>
      <c r="L39" s="372">
        <f>ROUND(L28,1)</f>
        <v>6.8</v>
      </c>
      <c r="M39" s="372">
        <f t="shared" si="8"/>
        <v>4.9000000000000004</v>
      </c>
      <c r="N39" s="372">
        <f t="shared" si="8"/>
        <v>4.7</v>
      </c>
      <c r="O39" s="374">
        <f>ROUND(O28,1)+0.1</f>
        <v>4.3</v>
      </c>
      <c r="P39" s="374">
        <f t="shared" si="8"/>
        <v>4.0999999999999996</v>
      </c>
      <c r="Q39" s="374">
        <f t="shared" si="8"/>
        <v>4.0999999999999996</v>
      </c>
      <c r="R39" s="374">
        <f t="shared" si="8"/>
        <v>3.8</v>
      </c>
      <c r="S39" s="374">
        <f t="shared" si="8"/>
        <v>4</v>
      </c>
      <c r="T39" s="374">
        <f t="shared" si="8"/>
        <v>4.4000000000000004</v>
      </c>
      <c r="U39" s="374">
        <f t="shared" si="8"/>
        <v>5.9</v>
      </c>
      <c r="V39" s="374">
        <f t="shared" si="8"/>
        <v>5.5</v>
      </c>
      <c r="W39" s="374">
        <f t="shared" si="8"/>
        <v>7.9</v>
      </c>
      <c r="X39" s="374">
        <f t="shared" si="8"/>
        <v>5.4</v>
      </c>
    </row>
    <row r="40" spans="1:24">
      <c r="A40" s="359" t="s">
        <v>88</v>
      </c>
      <c r="B40" s="372">
        <f>ROUND(B29,1)</f>
        <v>11.8</v>
      </c>
      <c r="C40" s="372">
        <f>ROUND(C29,1)</f>
        <v>12.3</v>
      </c>
      <c r="D40" s="372">
        <f>ROUND(D29,1)</f>
        <v>12.6</v>
      </c>
      <c r="E40" s="372">
        <f t="shared" si="8"/>
        <v>14.6</v>
      </c>
      <c r="F40" s="372">
        <f t="shared" si="8"/>
        <v>13.3</v>
      </c>
      <c r="G40" s="372">
        <f t="shared" si="8"/>
        <v>13.7</v>
      </c>
      <c r="H40" s="372">
        <f t="shared" si="8"/>
        <v>14</v>
      </c>
      <c r="I40" s="372">
        <f t="shared" si="8"/>
        <v>15.3</v>
      </c>
      <c r="J40" s="372">
        <f t="shared" si="8"/>
        <v>16.100000000000001</v>
      </c>
      <c r="K40" s="372">
        <f>ROUND(K29,1)</f>
        <v>16.399999999999999</v>
      </c>
      <c r="L40" s="372">
        <f>ROUND(L29,1)</f>
        <v>15.9</v>
      </c>
      <c r="M40" s="372">
        <f t="shared" si="8"/>
        <v>16.3</v>
      </c>
      <c r="N40" s="372">
        <f t="shared" si="8"/>
        <v>16.600000000000001</v>
      </c>
      <c r="O40" s="372">
        <f>ROUND(O29,1)</f>
        <v>20.6</v>
      </c>
      <c r="P40" s="372">
        <f t="shared" si="8"/>
        <v>20.3</v>
      </c>
      <c r="Q40" s="372">
        <f t="shared" si="8"/>
        <v>20.9</v>
      </c>
      <c r="R40" s="372">
        <f t="shared" si="8"/>
        <v>19.600000000000001</v>
      </c>
      <c r="S40" s="372">
        <f t="shared" si="8"/>
        <v>20.8</v>
      </c>
      <c r="T40" s="372">
        <f t="shared" si="8"/>
        <v>21.3</v>
      </c>
      <c r="U40" s="372">
        <f t="shared" si="8"/>
        <v>21.9</v>
      </c>
      <c r="V40" s="372">
        <f t="shared" si="8"/>
        <v>23.3</v>
      </c>
      <c r="W40" s="372">
        <f t="shared" si="8"/>
        <v>23.2</v>
      </c>
      <c r="X40" s="372">
        <f t="shared" si="8"/>
        <v>22.5</v>
      </c>
    </row>
    <row r="41" spans="1:24">
      <c r="A41" s="359" t="s">
        <v>142</v>
      </c>
      <c r="B41" s="372">
        <f>SUM(B42:B43)</f>
        <v>15.4</v>
      </c>
      <c r="C41" s="372">
        <f t="shared" ref="C41:X41" si="9">SUM(C42:C43)</f>
        <v>16.600000000000001</v>
      </c>
      <c r="D41" s="372">
        <f t="shared" si="9"/>
        <v>20.5</v>
      </c>
      <c r="E41" s="372">
        <f t="shared" si="9"/>
        <v>13.8</v>
      </c>
      <c r="F41" s="372">
        <f t="shared" si="9"/>
        <v>13.1</v>
      </c>
      <c r="G41" s="372">
        <f t="shared" si="9"/>
        <v>12.5</v>
      </c>
      <c r="H41" s="372">
        <f t="shared" si="9"/>
        <v>14</v>
      </c>
      <c r="I41" s="372">
        <f t="shared" si="9"/>
        <v>14.100000000000001</v>
      </c>
      <c r="J41" s="372">
        <f t="shared" si="9"/>
        <v>12.8</v>
      </c>
      <c r="K41" s="372">
        <f t="shared" si="9"/>
        <v>11.2</v>
      </c>
      <c r="L41" s="372">
        <f t="shared" si="9"/>
        <v>8.9</v>
      </c>
      <c r="M41" s="372">
        <f t="shared" si="9"/>
        <v>8.8999999999999986</v>
      </c>
      <c r="N41" s="372">
        <f t="shared" si="9"/>
        <v>9.3000000000000007</v>
      </c>
      <c r="O41" s="372">
        <f t="shared" si="9"/>
        <v>9.1999999999999993</v>
      </c>
      <c r="P41" s="372">
        <f t="shared" si="9"/>
        <v>9</v>
      </c>
      <c r="Q41" s="372">
        <f t="shared" si="9"/>
        <v>9.9</v>
      </c>
      <c r="R41" s="372">
        <f t="shared" si="9"/>
        <v>7.6</v>
      </c>
      <c r="S41" s="372">
        <f t="shared" si="9"/>
        <v>9.1999999999999993</v>
      </c>
      <c r="T41" s="372">
        <f t="shared" si="9"/>
        <v>7.4</v>
      </c>
      <c r="U41" s="372">
        <f t="shared" si="9"/>
        <v>6.2</v>
      </c>
      <c r="V41" s="372">
        <f t="shared" si="9"/>
        <v>5.8</v>
      </c>
      <c r="W41" s="372">
        <f t="shared" si="9"/>
        <v>6.8</v>
      </c>
      <c r="X41" s="372">
        <f t="shared" si="9"/>
        <v>5.9</v>
      </c>
    </row>
    <row r="42" spans="1:24">
      <c r="A42" s="359" t="s">
        <v>143</v>
      </c>
      <c r="B42" s="372">
        <f t="shared" ref="B42:M44" si="10">ROUND(B30,1)</f>
        <v>12.3</v>
      </c>
      <c r="C42" s="372">
        <f t="shared" si="10"/>
        <v>12.8</v>
      </c>
      <c r="D42" s="372">
        <f t="shared" si="10"/>
        <v>15.9</v>
      </c>
      <c r="E42" s="372">
        <f t="shared" si="10"/>
        <v>10.3</v>
      </c>
      <c r="F42" s="372">
        <f t="shared" si="10"/>
        <v>11</v>
      </c>
      <c r="G42" s="372">
        <f t="shared" si="10"/>
        <v>9.8000000000000007</v>
      </c>
      <c r="H42" s="372">
        <f>ROUND(H30,1)-0.1</f>
        <v>9.4</v>
      </c>
      <c r="I42" s="372">
        <f>ROUND(I30,1)</f>
        <v>7.7</v>
      </c>
      <c r="J42" s="372">
        <f>ROUND(J30,1)</f>
        <v>7.1</v>
      </c>
      <c r="K42" s="372">
        <f>ROUND(K30,1)</f>
        <v>7</v>
      </c>
      <c r="L42" s="372">
        <f>ROUND(L30,1)-0.1</f>
        <v>5.6000000000000005</v>
      </c>
      <c r="M42" s="372">
        <f>ROUND(M30,1)</f>
        <v>4.3</v>
      </c>
      <c r="N42" s="372">
        <f>ROUND(N30,1)</f>
        <v>4.2</v>
      </c>
      <c r="O42" s="372">
        <f>ROUND(O30,1)</f>
        <v>3</v>
      </c>
      <c r="P42" s="372">
        <f>ROUND(P30,1)+0.1</f>
        <v>2.1</v>
      </c>
      <c r="Q42" s="375">
        <f t="shared" ref="Q42:X42" si="11">ROUND(Q30,1)</f>
        <v>9.9</v>
      </c>
      <c r="R42" s="375">
        <f t="shared" si="11"/>
        <v>7.6</v>
      </c>
      <c r="S42" s="375">
        <f t="shared" si="11"/>
        <v>9.1999999999999993</v>
      </c>
      <c r="T42" s="375">
        <f t="shared" si="11"/>
        <v>7.4</v>
      </c>
      <c r="U42" s="375">
        <f t="shared" si="11"/>
        <v>6.2</v>
      </c>
      <c r="V42" s="375">
        <f t="shared" si="11"/>
        <v>5.8</v>
      </c>
      <c r="W42" s="375">
        <f t="shared" si="11"/>
        <v>6.8</v>
      </c>
      <c r="X42" s="375">
        <f t="shared" si="11"/>
        <v>5.9</v>
      </c>
    </row>
    <row r="43" spans="1:24">
      <c r="A43" s="359" t="s">
        <v>144</v>
      </c>
      <c r="B43" s="372">
        <f>ROUND(B31,1)</f>
        <v>3.1</v>
      </c>
      <c r="C43" s="372">
        <f t="shared" si="10"/>
        <v>3.8</v>
      </c>
      <c r="D43" s="372">
        <f t="shared" si="10"/>
        <v>4.5999999999999996</v>
      </c>
      <c r="E43" s="372">
        <f t="shared" si="10"/>
        <v>3.5</v>
      </c>
      <c r="F43" s="372">
        <f t="shared" si="10"/>
        <v>2.1</v>
      </c>
      <c r="G43" s="372">
        <f t="shared" si="10"/>
        <v>2.7</v>
      </c>
      <c r="H43" s="372">
        <f t="shared" si="10"/>
        <v>4.5999999999999996</v>
      </c>
      <c r="I43" s="372">
        <f t="shared" si="10"/>
        <v>6.4</v>
      </c>
      <c r="J43" s="372">
        <f t="shared" si="10"/>
        <v>5.7</v>
      </c>
      <c r="K43" s="372">
        <f t="shared" si="10"/>
        <v>4.2</v>
      </c>
      <c r="L43" s="372">
        <f t="shared" si="10"/>
        <v>3.3</v>
      </c>
      <c r="M43" s="372">
        <f t="shared" si="10"/>
        <v>4.5999999999999996</v>
      </c>
      <c r="N43" s="372">
        <f>ROUND(N31,1)-0.1</f>
        <v>5.1000000000000005</v>
      </c>
      <c r="O43" s="372">
        <f>ROUND(O31,1)</f>
        <v>6.2</v>
      </c>
      <c r="P43" s="372">
        <f>ROUND(P31,1)</f>
        <v>6.9</v>
      </c>
      <c r="Q43" s="376"/>
      <c r="R43" s="376"/>
      <c r="S43" s="376"/>
      <c r="T43" s="376"/>
      <c r="U43" s="376"/>
      <c r="V43" s="376"/>
      <c r="W43" s="376"/>
      <c r="X43" s="376"/>
    </row>
    <row r="44" spans="1:24">
      <c r="A44" s="359" t="s">
        <v>91</v>
      </c>
      <c r="B44" s="372">
        <f t="shared" ref="B44:I44" si="12">ROUND(B32,1)</f>
        <v>26.3</v>
      </c>
      <c r="C44" s="372">
        <f t="shared" si="12"/>
        <v>25.7</v>
      </c>
      <c r="D44" s="372">
        <f t="shared" si="12"/>
        <v>24.5</v>
      </c>
      <c r="E44" s="372">
        <f t="shared" si="12"/>
        <v>26.5</v>
      </c>
      <c r="F44" s="372">
        <f t="shared" si="12"/>
        <v>27.1</v>
      </c>
      <c r="G44" s="372">
        <f t="shared" si="12"/>
        <v>28.2</v>
      </c>
      <c r="H44" s="372">
        <f t="shared" si="12"/>
        <v>27</v>
      </c>
      <c r="I44" s="372">
        <f t="shared" si="12"/>
        <v>25.2</v>
      </c>
      <c r="J44" s="372">
        <f>ROUND(J32,1)-0.1</f>
        <v>24.799999999999997</v>
      </c>
      <c r="K44" s="372">
        <f t="shared" si="10"/>
        <v>24.9</v>
      </c>
      <c r="L44" s="372">
        <f t="shared" si="10"/>
        <v>24.4</v>
      </c>
      <c r="M44" s="372">
        <f t="shared" si="10"/>
        <v>26.2</v>
      </c>
      <c r="N44" s="372">
        <f>ROUND(N32,1)+0.1</f>
        <v>25.200000000000003</v>
      </c>
      <c r="O44" s="372">
        <f>ROUND(O32,1)</f>
        <v>26.3</v>
      </c>
      <c r="P44" s="372">
        <f>ROUND(P32,1)</f>
        <v>25.6</v>
      </c>
      <c r="Q44" s="372">
        <f>ROUND(Q32,1)</f>
        <v>23.3</v>
      </c>
      <c r="R44" s="372">
        <f>ROUND(R32,1)</f>
        <v>29.2</v>
      </c>
      <c r="S44" s="448">
        <f>ROUND(S32,1)+0.1</f>
        <v>24.8</v>
      </c>
      <c r="T44" s="377">
        <f>ROUND(T32,1)</f>
        <v>24.5</v>
      </c>
      <c r="U44" s="377">
        <f>ROUND(U32,1)</f>
        <v>23</v>
      </c>
      <c r="V44" s="377">
        <f>ROUND(V32,1)</f>
        <v>21.5</v>
      </c>
      <c r="W44" s="377">
        <f>ROUND(W32,1)</f>
        <v>20.399999999999999</v>
      </c>
      <c r="X44" s="377">
        <f>ROUND(X32,1)</f>
        <v>21.8</v>
      </c>
    </row>
    <row r="45" spans="1:24">
      <c r="A45" s="359" t="s">
        <v>92</v>
      </c>
      <c r="B45" s="372">
        <f t="shared" ref="B45:Q45" si="13">SUM(B37:B44)-B41</f>
        <v>99.999999999999986</v>
      </c>
      <c r="C45" s="372">
        <f t="shared" si="13"/>
        <v>100</v>
      </c>
      <c r="D45" s="372">
        <f t="shared" si="13"/>
        <v>100</v>
      </c>
      <c r="E45" s="372">
        <f t="shared" si="13"/>
        <v>100</v>
      </c>
      <c r="F45" s="372">
        <f t="shared" si="13"/>
        <v>100</v>
      </c>
      <c r="G45" s="372">
        <f t="shared" si="13"/>
        <v>100</v>
      </c>
      <c r="H45" s="372">
        <f t="shared" si="13"/>
        <v>100</v>
      </c>
      <c r="I45" s="372">
        <f t="shared" si="13"/>
        <v>100.00000000000003</v>
      </c>
      <c r="J45" s="372">
        <f t="shared" si="13"/>
        <v>100</v>
      </c>
      <c r="K45" s="372">
        <f t="shared" si="13"/>
        <v>100.00000000000001</v>
      </c>
      <c r="L45" s="372">
        <f t="shared" si="13"/>
        <v>100</v>
      </c>
      <c r="M45" s="372">
        <f t="shared" si="13"/>
        <v>100</v>
      </c>
      <c r="N45" s="372">
        <f t="shared" si="13"/>
        <v>100</v>
      </c>
      <c r="O45" s="372">
        <f t="shared" si="13"/>
        <v>100</v>
      </c>
      <c r="P45" s="372">
        <f t="shared" si="13"/>
        <v>100</v>
      </c>
      <c r="Q45" s="372">
        <f t="shared" si="13"/>
        <v>100</v>
      </c>
      <c r="R45" s="372">
        <f t="shared" ref="R45:X45" si="14">SUM(R37:R44)-R41</f>
        <v>100</v>
      </c>
      <c r="S45" s="372">
        <f t="shared" si="14"/>
        <v>100</v>
      </c>
      <c r="T45" s="372">
        <f t="shared" si="14"/>
        <v>100.00000000000001</v>
      </c>
      <c r="U45" s="372">
        <f t="shared" si="14"/>
        <v>100</v>
      </c>
      <c r="V45" s="372">
        <f t="shared" si="14"/>
        <v>100.1</v>
      </c>
      <c r="W45" s="372">
        <f>SUM(W37:W44)-W41</f>
        <v>100.09999999999998</v>
      </c>
      <c r="X45" s="372">
        <f t="shared" si="14"/>
        <v>100</v>
      </c>
    </row>
    <row r="47" spans="1:24">
      <c r="A47" s="354" t="s">
        <v>79</v>
      </c>
      <c r="I47" s="378"/>
    </row>
    <row r="48" spans="1:24" s="358" customFormat="1">
      <c r="A48" s="355"/>
      <c r="B48" s="356" t="s">
        <v>66</v>
      </c>
      <c r="C48" s="356" t="s">
        <v>67</v>
      </c>
      <c r="D48" s="356" t="s">
        <v>83</v>
      </c>
      <c r="E48" s="357" t="s">
        <v>127</v>
      </c>
      <c r="F48" s="357" t="s">
        <v>216</v>
      </c>
      <c r="G48" s="357" t="s">
        <v>248</v>
      </c>
      <c r="H48" s="357" t="s">
        <v>258</v>
      </c>
      <c r="I48" s="357" t="s">
        <v>316</v>
      </c>
    </row>
    <row r="49" spans="1:10" s="358" customFormat="1">
      <c r="A49" s="359" t="s">
        <v>332</v>
      </c>
      <c r="B49" s="360">
        <v>777637</v>
      </c>
      <c r="C49" s="360">
        <v>738656</v>
      </c>
      <c r="D49" s="360">
        <v>613049</v>
      </c>
      <c r="E49" s="361">
        <v>670787</v>
      </c>
      <c r="F49" s="361">
        <f t="shared" ref="F49:I53" si="15">U5</f>
        <v>660088</v>
      </c>
      <c r="G49" s="361">
        <f t="shared" si="15"/>
        <v>659473</v>
      </c>
      <c r="H49" s="361">
        <f t="shared" si="15"/>
        <v>675404</v>
      </c>
      <c r="I49" s="361">
        <f t="shared" si="15"/>
        <v>737441</v>
      </c>
    </row>
    <row r="50" spans="1:10" s="358" customFormat="1">
      <c r="A50" s="359" t="s">
        <v>86</v>
      </c>
      <c r="B50" s="360">
        <v>12844</v>
      </c>
      <c r="C50" s="360">
        <v>15155</v>
      </c>
      <c r="D50" s="360">
        <v>80475</v>
      </c>
      <c r="E50" s="361">
        <v>16903</v>
      </c>
      <c r="F50" s="361">
        <f t="shared" si="15"/>
        <v>41891</v>
      </c>
      <c r="G50" s="361">
        <f t="shared" si="15"/>
        <v>32905</v>
      </c>
      <c r="H50" s="361">
        <f t="shared" si="15"/>
        <v>52770</v>
      </c>
      <c r="I50" s="361">
        <f t="shared" si="15"/>
        <v>43642</v>
      </c>
    </row>
    <row r="51" spans="1:10" s="358" customFormat="1">
      <c r="A51" s="359" t="s">
        <v>87</v>
      </c>
      <c r="B51" s="360">
        <v>72801</v>
      </c>
      <c r="C51" s="360">
        <v>86341</v>
      </c>
      <c r="D51" s="360">
        <v>87878</v>
      </c>
      <c r="E51" s="361">
        <v>73366</v>
      </c>
      <c r="F51" s="361">
        <f t="shared" si="15"/>
        <v>95996</v>
      </c>
      <c r="G51" s="361">
        <f t="shared" si="15"/>
        <v>86249</v>
      </c>
      <c r="H51" s="361">
        <f t="shared" si="15"/>
        <v>137989</v>
      </c>
      <c r="I51" s="361">
        <f t="shared" si="15"/>
        <v>95356</v>
      </c>
    </row>
    <row r="52" spans="1:10" s="358" customFormat="1">
      <c r="A52" s="359" t="s">
        <v>88</v>
      </c>
      <c r="B52" s="360">
        <v>219549</v>
      </c>
      <c r="C52" s="360">
        <v>250785</v>
      </c>
      <c r="D52" s="360">
        <v>263563</v>
      </c>
      <c r="E52" s="361">
        <v>258256</v>
      </c>
      <c r="F52" s="361">
        <f t="shared" si="15"/>
        <v>357597</v>
      </c>
      <c r="G52" s="361">
        <f t="shared" si="15"/>
        <v>366554</v>
      </c>
      <c r="H52" s="361">
        <f t="shared" si="15"/>
        <v>403887</v>
      </c>
      <c r="I52" s="361">
        <f t="shared" si="15"/>
        <v>396685</v>
      </c>
    </row>
    <row r="53" spans="1:10" s="358" customFormat="1">
      <c r="A53" s="359" t="s">
        <v>142</v>
      </c>
      <c r="B53" s="360">
        <f>SUM(B54:B55)</f>
        <v>285869</v>
      </c>
      <c r="C53" s="360">
        <f>SUM(C54:C55)</f>
        <v>407264</v>
      </c>
      <c r="D53" s="360">
        <f>SUM(D54:D55)</f>
        <v>242899</v>
      </c>
      <c r="E53" s="360">
        <f>SUM(E54:E55)</f>
        <v>145075</v>
      </c>
      <c r="F53" s="361">
        <f t="shared" si="15"/>
        <v>101857</v>
      </c>
      <c r="G53" s="361">
        <f t="shared" si="15"/>
        <v>91432</v>
      </c>
      <c r="H53" s="361">
        <f t="shared" si="15"/>
        <v>117973</v>
      </c>
      <c r="I53" s="361">
        <f t="shared" si="15"/>
        <v>103599</v>
      </c>
    </row>
    <row r="54" spans="1:10" s="358" customFormat="1">
      <c r="A54" s="446" t="s">
        <v>143</v>
      </c>
      <c r="B54" s="447">
        <v>228236</v>
      </c>
      <c r="C54" s="447">
        <v>316678</v>
      </c>
      <c r="D54" s="447">
        <v>133221</v>
      </c>
      <c r="E54" s="447">
        <v>64878</v>
      </c>
      <c r="F54" s="440">
        <f>U9</f>
        <v>101857</v>
      </c>
      <c r="G54" s="440">
        <f>V9</f>
        <v>91432</v>
      </c>
      <c r="H54" s="440">
        <f>W9</f>
        <v>117973</v>
      </c>
      <c r="I54" s="440">
        <f>X9</f>
        <v>103599</v>
      </c>
    </row>
    <row r="55" spans="1:10" s="358" customFormat="1">
      <c r="A55" s="446" t="s">
        <v>144</v>
      </c>
      <c r="B55" s="447">
        <v>57633</v>
      </c>
      <c r="C55" s="447">
        <v>90586</v>
      </c>
      <c r="D55" s="447">
        <v>109678</v>
      </c>
      <c r="E55" s="447">
        <v>80197</v>
      </c>
      <c r="F55" s="441"/>
      <c r="G55" s="441"/>
      <c r="H55" s="441"/>
      <c r="I55" s="441"/>
    </row>
    <row r="56" spans="1:10" s="358" customFormat="1">
      <c r="A56" s="359" t="s">
        <v>91</v>
      </c>
      <c r="B56" s="360">
        <v>489083</v>
      </c>
      <c r="C56" s="360">
        <v>487374</v>
      </c>
      <c r="D56" s="360">
        <v>434793</v>
      </c>
      <c r="E56" s="360">
        <v>390734</v>
      </c>
      <c r="F56" s="360">
        <f t="shared" ref="F56:I57" si="16">U11</f>
        <v>374554</v>
      </c>
      <c r="G56" s="360">
        <f t="shared" si="16"/>
        <v>338225</v>
      </c>
      <c r="H56" s="360">
        <f t="shared" si="16"/>
        <v>354794</v>
      </c>
      <c r="I56" s="360">
        <f t="shared" si="16"/>
        <v>384415</v>
      </c>
    </row>
    <row r="57" spans="1:10" s="358" customFormat="1">
      <c r="A57" s="359" t="s">
        <v>92</v>
      </c>
      <c r="B57" s="360">
        <v>1857783</v>
      </c>
      <c r="C57" s="360">
        <v>1985575</v>
      </c>
      <c r="D57" s="360">
        <v>1722657</v>
      </c>
      <c r="E57" s="360">
        <v>1555121</v>
      </c>
      <c r="F57" s="360">
        <f t="shared" si="16"/>
        <v>1631983</v>
      </c>
      <c r="G57" s="360">
        <f t="shared" si="16"/>
        <v>1574838</v>
      </c>
      <c r="H57" s="360">
        <f t="shared" si="16"/>
        <v>1742817</v>
      </c>
      <c r="I57" s="360">
        <f t="shared" si="16"/>
        <v>1761138</v>
      </c>
    </row>
    <row r="58" spans="1:10">
      <c r="B58" s="364">
        <f t="shared" ref="B58:I58" si="17">SUM(B49:B56)-B53-B57</f>
        <v>0</v>
      </c>
      <c r="C58" s="364">
        <f t="shared" si="17"/>
        <v>0</v>
      </c>
      <c r="D58" s="364">
        <f t="shared" si="17"/>
        <v>0</v>
      </c>
      <c r="E58" s="364">
        <f t="shared" si="17"/>
        <v>0</v>
      </c>
      <c r="F58" s="364">
        <f t="shared" si="17"/>
        <v>0</v>
      </c>
      <c r="G58" s="364">
        <f t="shared" si="17"/>
        <v>0</v>
      </c>
      <c r="H58" s="364">
        <f t="shared" si="17"/>
        <v>0</v>
      </c>
      <c r="I58" s="364">
        <f t="shared" si="17"/>
        <v>0</v>
      </c>
      <c r="J58" s="364"/>
    </row>
    <row r="59" spans="1:10">
      <c r="B59" s="364"/>
      <c r="C59" s="364"/>
      <c r="D59" s="364"/>
      <c r="E59" s="364"/>
      <c r="F59" s="364"/>
      <c r="G59" s="364"/>
      <c r="H59" s="364"/>
      <c r="I59" s="364"/>
      <c r="J59" s="364"/>
    </row>
    <row r="60" spans="1:10">
      <c r="A60" s="354" t="s">
        <v>139</v>
      </c>
      <c r="G60" s="378"/>
    </row>
    <row r="61" spans="1:10" s="358" customFormat="1">
      <c r="A61" s="355"/>
      <c r="B61" s="356" t="s">
        <v>66</v>
      </c>
      <c r="C61" s="356" t="s">
        <v>67</v>
      </c>
      <c r="D61" s="356" t="s">
        <v>83</v>
      </c>
      <c r="E61" s="357" t="s">
        <v>127</v>
      </c>
      <c r="F61" s="357" t="s">
        <v>216</v>
      </c>
      <c r="G61" s="357" t="s">
        <v>248</v>
      </c>
      <c r="H61" s="357" t="s">
        <v>258</v>
      </c>
      <c r="I61" s="357" t="s">
        <v>316</v>
      </c>
    </row>
    <row r="62" spans="1:10" s="358" customFormat="1">
      <c r="A62" s="359" t="s">
        <v>332</v>
      </c>
      <c r="B62" s="366">
        <f>ROUND(B49/100,0)</f>
        <v>7776</v>
      </c>
      <c r="C62" s="366">
        <f t="shared" ref="C62:I65" si="18">ROUND(C49/100,0)</f>
        <v>7387</v>
      </c>
      <c r="D62" s="366">
        <f t="shared" si="18"/>
        <v>6130</v>
      </c>
      <c r="E62" s="366">
        <f t="shared" si="18"/>
        <v>6708</v>
      </c>
      <c r="F62" s="366">
        <f t="shared" si="18"/>
        <v>6601</v>
      </c>
      <c r="G62" s="366">
        <f t="shared" si="18"/>
        <v>6595</v>
      </c>
      <c r="H62" s="366">
        <f t="shared" si="18"/>
        <v>6754</v>
      </c>
      <c r="I62" s="366">
        <f t="shared" si="18"/>
        <v>7374</v>
      </c>
    </row>
    <row r="63" spans="1:10" s="358" customFormat="1">
      <c r="A63" s="359" t="s">
        <v>86</v>
      </c>
      <c r="B63" s="366">
        <f>ROUND(B50/100,0)</f>
        <v>128</v>
      </c>
      <c r="C63" s="366">
        <f>ROUND(C50/100,0)-1</f>
        <v>151</v>
      </c>
      <c r="D63" s="366">
        <f>ROUND(D50/100,0)</f>
        <v>805</v>
      </c>
      <c r="E63" s="366">
        <f>ROUND(E50/100,0)</f>
        <v>169</v>
      </c>
      <c r="F63" s="366">
        <f t="shared" si="18"/>
        <v>419</v>
      </c>
      <c r="G63" s="366">
        <f t="shared" si="18"/>
        <v>329</v>
      </c>
      <c r="H63" s="366">
        <f t="shared" si="18"/>
        <v>528</v>
      </c>
      <c r="I63" s="366">
        <f t="shared" si="18"/>
        <v>436</v>
      </c>
    </row>
    <row r="64" spans="1:10" s="358" customFormat="1">
      <c r="A64" s="359" t="s">
        <v>87</v>
      </c>
      <c r="B64" s="366">
        <f>ROUND(B51/100,0)</f>
        <v>728</v>
      </c>
      <c r="C64" s="366">
        <f>ROUND(C51/100,0)</f>
        <v>863</v>
      </c>
      <c r="D64" s="366">
        <f>ROUND(D51/100,0)</f>
        <v>879</v>
      </c>
      <c r="E64" s="366">
        <f>ROUND(E51/100,0)</f>
        <v>734</v>
      </c>
      <c r="F64" s="366">
        <f t="shared" si="18"/>
        <v>960</v>
      </c>
      <c r="G64" s="366">
        <f>ROUND(G51/100,0)</f>
        <v>862</v>
      </c>
      <c r="H64" s="366">
        <f t="shared" si="18"/>
        <v>1380</v>
      </c>
      <c r="I64" s="366">
        <f t="shared" si="18"/>
        <v>954</v>
      </c>
      <c r="J64" s="379"/>
    </row>
    <row r="65" spans="1:12" s="358" customFormat="1">
      <c r="A65" s="359" t="s">
        <v>88</v>
      </c>
      <c r="B65" s="366">
        <f>ROUND(B52/100,0)+1</f>
        <v>2196</v>
      </c>
      <c r="C65" s="366">
        <f>ROUND(C52/100,0)</f>
        <v>2508</v>
      </c>
      <c r="D65" s="366">
        <f>ROUND(D52/100,0)</f>
        <v>2636</v>
      </c>
      <c r="E65" s="366">
        <f>ROUND(E52/100,0)-1</f>
        <v>2582</v>
      </c>
      <c r="F65" s="366">
        <f>ROUND(F52/100,0)+1</f>
        <v>3577</v>
      </c>
      <c r="G65" s="366">
        <f>ROUND(G52/100,0)</f>
        <v>3666</v>
      </c>
      <c r="H65" s="366">
        <f t="shared" si="18"/>
        <v>4039</v>
      </c>
      <c r="I65" s="366">
        <f t="shared" si="18"/>
        <v>3967</v>
      </c>
    </row>
    <row r="66" spans="1:12" s="358" customFormat="1">
      <c r="A66" s="359" t="s">
        <v>142</v>
      </c>
      <c r="B66" s="366">
        <f>ROUND(B53/100,0)</f>
        <v>2859</v>
      </c>
      <c r="C66" s="366">
        <f>ROUND(C53/100,0)</f>
        <v>4073</v>
      </c>
      <c r="D66" s="366">
        <f>ROUND(D53/100,0)</f>
        <v>2429</v>
      </c>
      <c r="E66" s="366">
        <f>ROUND(E53/100,0)</f>
        <v>1451</v>
      </c>
      <c r="F66" s="366">
        <f t="shared" ref="F66:H67" si="19">ROUND(F53/100,0)</f>
        <v>1019</v>
      </c>
      <c r="G66" s="366">
        <f t="shared" si="19"/>
        <v>914</v>
      </c>
      <c r="H66" s="366">
        <f t="shared" si="19"/>
        <v>1180</v>
      </c>
      <c r="I66" s="366">
        <f>ROUND(I53/100,0)</f>
        <v>1036</v>
      </c>
    </row>
    <row r="67" spans="1:12" s="358" customFormat="1">
      <c r="A67" s="446" t="s">
        <v>143</v>
      </c>
      <c r="B67" s="363">
        <f>ROUND(B54/100,0)+1</f>
        <v>2283</v>
      </c>
      <c r="C67" s="363">
        <f>ROUND(C54/100,0)</f>
        <v>3167</v>
      </c>
      <c r="D67" s="363">
        <f>ROUND(D54/100,0)</f>
        <v>1332</v>
      </c>
      <c r="E67" s="363">
        <f>ROUND(E54/100,0)</f>
        <v>649</v>
      </c>
      <c r="F67" s="449">
        <f>ROUND(F54/100,0)</f>
        <v>1019</v>
      </c>
      <c r="G67" s="660">
        <f t="shared" si="19"/>
        <v>914</v>
      </c>
      <c r="H67" s="660">
        <f t="shared" si="19"/>
        <v>1180</v>
      </c>
      <c r="I67" s="660">
        <f>ROUND(I54/100,0)</f>
        <v>1036</v>
      </c>
    </row>
    <row r="68" spans="1:12" s="358" customFormat="1">
      <c r="A68" s="446" t="s">
        <v>144</v>
      </c>
      <c r="B68" s="363">
        <f>ROUND(B55/100,0)</f>
        <v>576</v>
      </c>
      <c r="C68" s="363">
        <f t="shared" ref="C68:F69" si="20">ROUND(C55/100,0)</f>
        <v>906</v>
      </c>
      <c r="D68" s="363">
        <f t="shared" si="20"/>
        <v>1097</v>
      </c>
      <c r="E68" s="363">
        <f t="shared" si="20"/>
        <v>802</v>
      </c>
      <c r="F68" s="450"/>
      <c r="G68" s="661"/>
      <c r="H68" s="661"/>
      <c r="I68" s="661"/>
    </row>
    <row r="69" spans="1:12" s="358" customFormat="1">
      <c r="A69" s="359" t="s">
        <v>91</v>
      </c>
      <c r="B69" s="366">
        <f>ROUND(B56/100,0)</f>
        <v>4891</v>
      </c>
      <c r="C69" s="366">
        <f t="shared" si="20"/>
        <v>4874</v>
      </c>
      <c r="D69" s="366">
        <f t="shared" si="20"/>
        <v>4348</v>
      </c>
      <c r="E69" s="366">
        <f t="shared" si="20"/>
        <v>3907</v>
      </c>
      <c r="F69" s="366">
        <f t="shared" si="20"/>
        <v>3746</v>
      </c>
      <c r="G69" s="366">
        <f>ROUND(G56/100,0)-1</f>
        <v>3381</v>
      </c>
      <c r="H69" s="366">
        <f>ROUND(H56/100,0)</f>
        <v>3548</v>
      </c>
      <c r="I69" s="366">
        <f>ROUND(I56/100,0)</f>
        <v>3844</v>
      </c>
    </row>
    <row r="70" spans="1:12" s="358" customFormat="1">
      <c r="A70" s="359" t="s">
        <v>92</v>
      </c>
      <c r="B70" s="366">
        <f>ROUND(B57/100,0)</f>
        <v>18578</v>
      </c>
      <c r="C70" s="366">
        <f>ROUND(C57/100,0)</f>
        <v>19856</v>
      </c>
      <c r="D70" s="366">
        <f>ROUND(D57/100,0)</f>
        <v>17227</v>
      </c>
      <c r="E70" s="366">
        <f>ROUND(E57/100,0)</f>
        <v>15551</v>
      </c>
      <c r="F70" s="366">
        <f>ROUND(F57/100,0)</f>
        <v>16320</v>
      </c>
      <c r="G70" s="366">
        <f>ROUND(G57/100,0)</f>
        <v>15748</v>
      </c>
      <c r="H70" s="366">
        <f>ROUND(H57/100,0)</f>
        <v>17428</v>
      </c>
      <c r="I70" s="366">
        <f>ROUND(I57/100,0)</f>
        <v>17611</v>
      </c>
    </row>
    <row r="71" spans="1:12">
      <c r="B71" s="364">
        <f t="shared" ref="B71:G71" si="21">SUM(B62:B66,B69)-B70</f>
        <v>0</v>
      </c>
      <c r="C71" s="364">
        <f t="shared" si="21"/>
        <v>0</v>
      </c>
      <c r="D71" s="364">
        <f t="shared" si="21"/>
        <v>0</v>
      </c>
      <c r="E71" s="364">
        <f t="shared" si="21"/>
        <v>0</v>
      </c>
      <c r="F71" s="364">
        <f t="shared" si="21"/>
        <v>2</v>
      </c>
      <c r="G71" s="364">
        <f t="shared" si="21"/>
        <v>-1</v>
      </c>
      <c r="H71" s="364">
        <f>SUM(I62:I66,I69)-I70</f>
        <v>0</v>
      </c>
      <c r="I71" s="364">
        <f>SUM(J62:J66,J69)-J70</f>
        <v>0</v>
      </c>
      <c r="J71" s="364"/>
      <c r="K71" s="364"/>
    </row>
    <row r="72" spans="1:12">
      <c r="B72" s="364"/>
      <c r="C72" s="364"/>
      <c r="D72" s="364"/>
      <c r="E72" s="364"/>
      <c r="F72" s="364"/>
      <c r="G72" s="364"/>
      <c r="H72" s="364"/>
      <c r="I72" s="364"/>
      <c r="J72" s="364"/>
      <c r="K72" s="364"/>
      <c r="L72" s="364"/>
    </row>
    <row r="73" spans="1:12">
      <c r="A73" s="659" t="s">
        <v>65</v>
      </c>
      <c r="B73" s="659"/>
      <c r="C73" s="659"/>
      <c r="D73" s="659"/>
      <c r="E73" s="373"/>
      <c r="F73" s="373"/>
    </row>
    <row r="74" spans="1:12">
      <c r="A74" s="380"/>
      <c r="B74" s="381" t="s">
        <v>66</v>
      </c>
      <c r="C74" s="381" t="s">
        <v>67</v>
      </c>
      <c r="D74" s="381" t="s">
        <v>68</v>
      </c>
      <c r="E74" s="381" t="s">
        <v>69</v>
      </c>
      <c r="F74" s="381" t="s">
        <v>70</v>
      </c>
      <c r="G74" s="381" t="s">
        <v>71</v>
      </c>
      <c r="H74" s="381" t="s">
        <v>72</v>
      </c>
    </row>
    <row r="75" spans="1:12" ht="21">
      <c r="A75" s="382" t="s">
        <v>73</v>
      </c>
      <c r="B75" s="383">
        <v>777637</v>
      </c>
      <c r="C75" s="383">
        <v>738656</v>
      </c>
      <c r="D75" s="383">
        <v>686522</v>
      </c>
      <c r="E75" s="383">
        <v>635039</v>
      </c>
      <c r="F75" s="383">
        <v>618500</v>
      </c>
      <c r="G75" s="383">
        <v>628573</v>
      </c>
      <c r="H75" s="383">
        <v>652624</v>
      </c>
    </row>
    <row r="76" spans="1:12">
      <c r="A76" s="384" t="s">
        <v>74</v>
      </c>
      <c r="B76" s="383">
        <v>12844</v>
      </c>
      <c r="C76" s="383">
        <v>15155</v>
      </c>
      <c r="D76" s="383">
        <v>76659</v>
      </c>
      <c r="E76" s="383">
        <v>84384</v>
      </c>
      <c r="F76" s="383">
        <v>72843</v>
      </c>
      <c r="G76" s="383">
        <v>60716</v>
      </c>
      <c r="H76" s="383">
        <v>47208</v>
      </c>
    </row>
    <row r="77" spans="1:12">
      <c r="A77" s="384" t="s">
        <v>75</v>
      </c>
      <c r="B77" s="383">
        <f t="shared" ref="B77:H77" si="22">SUM(B75:B76)</f>
        <v>790481</v>
      </c>
      <c r="C77" s="383">
        <f t="shared" si="22"/>
        <v>753811</v>
      </c>
      <c r="D77" s="383">
        <f t="shared" si="22"/>
        <v>763181</v>
      </c>
      <c r="E77" s="383">
        <f t="shared" si="22"/>
        <v>719423</v>
      </c>
      <c r="F77" s="383">
        <f t="shared" si="22"/>
        <v>691343</v>
      </c>
      <c r="G77" s="383">
        <f t="shared" si="22"/>
        <v>689289</v>
      </c>
      <c r="H77" s="383">
        <f t="shared" si="22"/>
        <v>699832</v>
      </c>
      <c r="I77" s="385"/>
      <c r="J77" s="385"/>
      <c r="K77" s="385"/>
      <c r="L77" s="385"/>
    </row>
    <row r="78" spans="1:12" ht="6.75" customHeight="1">
      <c r="A78" s="386"/>
      <c r="B78" s="387"/>
      <c r="C78" s="387"/>
      <c r="D78" s="387"/>
      <c r="E78" s="387"/>
      <c r="F78" s="387"/>
      <c r="G78" s="387"/>
      <c r="H78" s="387"/>
      <c r="I78" s="385"/>
      <c r="J78" s="385"/>
      <c r="K78" s="385"/>
      <c r="L78" s="385"/>
    </row>
    <row r="79" spans="1:12">
      <c r="A79" s="384" t="s">
        <v>76</v>
      </c>
      <c r="B79" s="383" t="s">
        <v>77</v>
      </c>
      <c r="C79" s="383">
        <f>C77-B77</f>
        <v>-36670</v>
      </c>
      <c r="D79" s="383">
        <f>D77-B77</f>
        <v>-27300</v>
      </c>
      <c r="E79" s="383">
        <f>E77-B77</f>
        <v>-71058</v>
      </c>
      <c r="F79" s="383">
        <f>F77-B77</f>
        <v>-99138</v>
      </c>
      <c r="G79" s="383">
        <f>G77-B77</f>
        <v>-101192</v>
      </c>
      <c r="H79" s="383">
        <f>H77-B77</f>
        <v>-90649</v>
      </c>
      <c r="I79" s="385"/>
      <c r="J79" s="385"/>
      <c r="K79" s="385"/>
      <c r="L79" s="385"/>
    </row>
    <row r="80" spans="1:12">
      <c r="B80" s="368"/>
      <c r="C80" s="368"/>
      <c r="D80" s="368"/>
      <c r="E80" s="368"/>
      <c r="F80" s="368"/>
      <c r="G80" s="388"/>
      <c r="H80" s="388"/>
      <c r="I80" s="388"/>
      <c r="J80" s="388"/>
      <c r="K80" s="388"/>
      <c r="L80" s="388"/>
    </row>
    <row r="81" spans="1:9">
      <c r="A81" s="654" t="s">
        <v>96</v>
      </c>
      <c r="B81" s="654"/>
      <c r="C81" s="654"/>
      <c r="D81" s="654"/>
    </row>
    <row r="82" spans="1:9">
      <c r="A82" s="355"/>
      <c r="B82" s="356" t="s">
        <v>66</v>
      </c>
      <c r="C82" s="356" t="s">
        <v>67</v>
      </c>
      <c r="D82" s="356" t="s">
        <v>83</v>
      </c>
      <c r="E82" s="357" t="s">
        <v>127</v>
      </c>
      <c r="F82" s="357" t="s">
        <v>216</v>
      </c>
      <c r="G82" s="357" t="s">
        <v>248</v>
      </c>
      <c r="H82" s="357" t="s">
        <v>258</v>
      </c>
      <c r="I82" s="357" t="s">
        <v>316</v>
      </c>
    </row>
    <row r="83" spans="1:9">
      <c r="A83" s="359" t="s">
        <v>332</v>
      </c>
      <c r="B83" s="370">
        <f>B49/B$57*100</f>
        <v>41.858333292962634</v>
      </c>
      <c r="C83" s="370">
        <f t="shared" ref="C83:I86" si="23">C49/C$57*100</f>
        <v>37.201113027712374</v>
      </c>
      <c r="D83" s="370">
        <f t="shared" si="23"/>
        <v>35.587409449472531</v>
      </c>
      <c r="E83" s="370">
        <f t="shared" si="23"/>
        <v>43.134071239472682</v>
      </c>
      <c r="F83" s="370">
        <f t="shared" si="23"/>
        <v>40.44698995026296</v>
      </c>
      <c r="G83" s="370">
        <f t="shared" si="23"/>
        <v>41.875608792777413</v>
      </c>
      <c r="H83" s="370">
        <f t="shared" si="23"/>
        <v>38.753581127565319</v>
      </c>
      <c r="I83" s="370">
        <f t="shared" si="23"/>
        <v>41.872982128600938</v>
      </c>
    </row>
    <row r="84" spans="1:9">
      <c r="A84" s="359" t="s">
        <v>86</v>
      </c>
      <c r="B84" s="370">
        <f>B50/B$57*100</f>
        <v>0.69136169294260952</v>
      </c>
      <c r="C84" s="370">
        <f t="shared" si="23"/>
        <v>0.76325497651813701</v>
      </c>
      <c r="D84" s="370">
        <f t="shared" si="23"/>
        <v>4.6715625919727488</v>
      </c>
      <c r="E84" s="370">
        <f t="shared" si="23"/>
        <v>1.0869250688531631</v>
      </c>
      <c r="F84" s="370">
        <f t="shared" si="23"/>
        <v>2.5668772285005423</v>
      </c>
      <c r="G84" s="370">
        <f t="shared" si="23"/>
        <v>2.0894212611074918</v>
      </c>
      <c r="H84" s="370">
        <f t="shared" si="23"/>
        <v>3.0278566252222694</v>
      </c>
      <c r="I84" s="370">
        <f t="shared" si="23"/>
        <v>2.4780568019087656</v>
      </c>
    </row>
    <row r="85" spans="1:9">
      <c r="A85" s="359" t="s">
        <v>87</v>
      </c>
      <c r="B85" s="370">
        <f>B51/B$57*100</f>
        <v>3.9187030993393739</v>
      </c>
      <c r="C85" s="370">
        <f t="shared" si="23"/>
        <v>4.3484129282449668</v>
      </c>
      <c r="D85" s="370">
        <f t="shared" si="23"/>
        <v>5.1013057155312982</v>
      </c>
      <c r="E85" s="370">
        <f t="shared" si="23"/>
        <v>4.7177036384950108</v>
      </c>
      <c r="F85" s="370">
        <f t="shared" si="23"/>
        <v>5.8821691157322098</v>
      </c>
      <c r="G85" s="370">
        <f t="shared" si="23"/>
        <v>5.4766903008436421</v>
      </c>
      <c r="H85" s="370">
        <f t="shared" si="23"/>
        <v>7.9175840033692575</v>
      </c>
      <c r="I85" s="370">
        <f t="shared" si="23"/>
        <v>5.4144536089732886</v>
      </c>
    </row>
    <row r="86" spans="1:9">
      <c r="A86" s="359" t="s">
        <v>88</v>
      </c>
      <c r="B86" s="370">
        <f>B52/B$57*100</f>
        <v>11.817795727488086</v>
      </c>
      <c r="C86" s="370">
        <f t="shared" si="23"/>
        <v>12.630346373216828</v>
      </c>
      <c r="D86" s="370">
        <f t="shared" si="23"/>
        <v>15.299795606438193</v>
      </c>
      <c r="E86" s="370">
        <f t="shared" si="23"/>
        <v>16.606810659749303</v>
      </c>
      <c r="F86" s="370">
        <f t="shared" si="23"/>
        <v>21.911809130364716</v>
      </c>
      <c r="G86" s="370">
        <f t="shared" si="23"/>
        <v>23.275663909557682</v>
      </c>
      <c r="H86" s="370">
        <f t="shared" si="23"/>
        <v>23.17437803280551</v>
      </c>
      <c r="I86" s="370">
        <f t="shared" si="23"/>
        <v>22.52435641045733</v>
      </c>
    </row>
    <row r="87" spans="1:9">
      <c r="A87" s="359" t="s">
        <v>89</v>
      </c>
      <c r="B87" s="370">
        <f t="shared" ref="B87:E89" si="24">B54/B$57*100</f>
        <v>12.285396087702386</v>
      </c>
      <c r="C87" s="370">
        <f t="shared" si="24"/>
        <v>15.948931669667477</v>
      </c>
      <c r="D87" s="370">
        <f t="shared" si="24"/>
        <v>7.7334605786294084</v>
      </c>
      <c r="E87" s="370">
        <f t="shared" si="24"/>
        <v>4.1718940198222514</v>
      </c>
      <c r="F87" s="370">
        <f>F54/F$57*100</f>
        <v>6.241302758668442</v>
      </c>
      <c r="G87" s="370">
        <f>G54/G$57*100</f>
        <v>5.8058035175681564</v>
      </c>
      <c r="H87" s="370">
        <f>H54/H$57*100</f>
        <v>6.7690985341547618</v>
      </c>
      <c r="I87" s="370">
        <f>I54/I$57*100</f>
        <v>5.8825032450608639</v>
      </c>
    </row>
    <row r="88" spans="1:9">
      <c r="A88" s="359" t="s">
        <v>90</v>
      </c>
      <c r="B88" s="370">
        <f t="shared" si="24"/>
        <v>3.102246064260465</v>
      </c>
      <c r="C88" s="370">
        <f t="shared" si="24"/>
        <v>4.5622049028618914</v>
      </c>
      <c r="D88" s="370">
        <f t="shared" si="24"/>
        <v>6.3667926929156531</v>
      </c>
      <c r="E88" s="370">
        <f t="shared" si="24"/>
        <v>5.1569620627591037</v>
      </c>
      <c r="F88" s="389"/>
      <c r="G88" s="389"/>
      <c r="H88" s="389"/>
      <c r="I88" s="389"/>
    </row>
    <row r="89" spans="1:9">
      <c r="A89" s="359" t="s">
        <v>91</v>
      </c>
      <c r="B89" s="370">
        <f t="shared" si="24"/>
        <v>26.326164035304444</v>
      </c>
      <c r="C89" s="370">
        <f t="shared" si="24"/>
        <v>24.545736121778326</v>
      </c>
      <c r="D89" s="370">
        <f t="shared" si="24"/>
        <v>25.239673365040165</v>
      </c>
      <c r="E89" s="370">
        <f t="shared" si="24"/>
        <v>25.125633310848482</v>
      </c>
      <c r="F89" s="370">
        <f>F56/F$57*100</f>
        <v>22.950851816471125</v>
      </c>
      <c r="G89" s="370">
        <f>G56/G$57*100</f>
        <v>21.476812218145614</v>
      </c>
      <c r="H89" s="370">
        <f>H56/H$57*100</f>
        <v>20.357501676882887</v>
      </c>
      <c r="I89" s="370">
        <f>I56/I$57*100</f>
        <v>21.827647804998811</v>
      </c>
    </row>
    <row r="90" spans="1:9">
      <c r="A90" s="359" t="s">
        <v>92</v>
      </c>
      <c r="B90" s="372">
        <f t="shared" ref="B90:I90" si="25">SUM(B83:B89)</f>
        <v>100</v>
      </c>
      <c r="C90" s="372">
        <f t="shared" si="25"/>
        <v>100</v>
      </c>
      <c r="D90" s="372">
        <f t="shared" si="25"/>
        <v>100</v>
      </c>
      <c r="E90" s="372">
        <f t="shared" si="25"/>
        <v>100</v>
      </c>
      <c r="F90" s="372">
        <f t="shared" si="25"/>
        <v>100</v>
      </c>
      <c r="G90" s="372">
        <f t="shared" si="25"/>
        <v>99.999999999999986</v>
      </c>
      <c r="H90" s="372">
        <f t="shared" si="25"/>
        <v>100.00000000000001</v>
      </c>
      <c r="I90" s="372">
        <f t="shared" si="25"/>
        <v>100</v>
      </c>
    </row>
    <row r="92" spans="1:9">
      <c r="A92" s="654" t="s">
        <v>97</v>
      </c>
      <c r="B92" s="654"/>
      <c r="C92" s="654"/>
      <c r="D92" s="654"/>
      <c r="E92" s="373" t="s">
        <v>98</v>
      </c>
    </row>
    <row r="93" spans="1:9">
      <c r="A93" s="355"/>
      <c r="B93" s="356" t="s">
        <v>66</v>
      </c>
      <c r="C93" s="356" t="s">
        <v>67</v>
      </c>
      <c r="D93" s="356" t="s">
        <v>83</v>
      </c>
      <c r="E93" s="357" t="s">
        <v>127</v>
      </c>
      <c r="F93" s="357" t="s">
        <v>216</v>
      </c>
      <c r="G93" s="357" t="s">
        <v>248</v>
      </c>
      <c r="H93" s="357" t="s">
        <v>258</v>
      </c>
      <c r="I93" s="357" t="s">
        <v>316</v>
      </c>
    </row>
    <row r="94" spans="1:9">
      <c r="A94" s="359" t="s">
        <v>332</v>
      </c>
      <c r="B94" s="372">
        <f t="shared" ref="B94:I100" si="26">ROUND(B83,1)</f>
        <v>41.9</v>
      </c>
      <c r="C94" s="372">
        <f t="shared" si="26"/>
        <v>37.200000000000003</v>
      </c>
      <c r="D94" s="372">
        <f t="shared" si="26"/>
        <v>35.6</v>
      </c>
      <c r="E94" s="372">
        <f t="shared" si="26"/>
        <v>43.1</v>
      </c>
      <c r="F94" s="372">
        <f t="shared" si="26"/>
        <v>40.4</v>
      </c>
      <c r="G94" s="372">
        <f t="shared" si="26"/>
        <v>41.9</v>
      </c>
      <c r="H94" s="372">
        <f t="shared" si="26"/>
        <v>38.799999999999997</v>
      </c>
      <c r="I94" s="372">
        <f t="shared" si="26"/>
        <v>41.9</v>
      </c>
    </row>
    <row r="95" spans="1:9">
      <c r="A95" s="359" t="s">
        <v>86</v>
      </c>
      <c r="B95" s="372">
        <f t="shared" si="26"/>
        <v>0.7</v>
      </c>
      <c r="C95" s="372">
        <f t="shared" si="26"/>
        <v>0.8</v>
      </c>
      <c r="D95" s="372">
        <f t="shared" si="26"/>
        <v>4.7</v>
      </c>
      <c r="E95" s="372">
        <f t="shared" si="26"/>
        <v>1.1000000000000001</v>
      </c>
      <c r="F95" s="372">
        <f t="shared" si="26"/>
        <v>2.6</v>
      </c>
      <c r="G95" s="372">
        <f t="shared" si="26"/>
        <v>2.1</v>
      </c>
      <c r="H95" s="372">
        <f t="shared" si="26"/>
        <v>3</v>
      </c>
      <c r="I95" s="372">
        <f t="shared" si="26"/>
        <v>2.5</v>
      </c>
    </row>
    <row r="96" spans="1:9">
      <c r="A96" s="359" t="s">
        <v>87</v>
      </c>
      <c r="B96" s="372">
        <f t="shared" si="26"/>
        <v>3.9</v>
      </c>
      <c r="C96" s="448">
        <f>ROUND(C85,1)+0.1</f>
        <v>4.3999999999999995</v>
      </c>
      <c r="D96" s="448">
        <f t="shared" si="26"/>
        <v>5.0999999999999996</v>
      </c>
      <c r="E96" s="448">
        <f t="shared" si="26"/>
        <v>4.7</v>
      </c>
      <c r="F96" s="448">
        <f t="shared" si="26"/>
        <v>5.9</v>
      </c>
      <c r="G96" s="448">
        <f t="shared" si="26"/>
        <v>5.5</v>
      </c>
      <c r="H96" s="448">
        <f t="shared" si="26"/>
        <v>7.9</v>
      </c>
      <c r="I96" s="448">
        <f t="shared" si="26"/>
        <v>5.4</v>
      </c>
    </row>
    <row r="97" spans="1:9">
      <c r="A97" s="359" t="s">
        <v>88</v>
      </c>
      <c r="B97" s="372">
        <f t="shared" si="26"/>
        <v>11.8</v>
      </c>
      <c r="C97" s="448">
        <f t="shared" si="26"/>
        <v>12.6</v>
      </c>
      <c r="D97" s="448">
        <f t="shared" si="26"/>
        <v>15.3</v>
      </c>
      <c r="E97" s="448">
        <f t="shared" si="26"/>
        <v>16.600000000000001</v>
      </c>
      <c r="F97" s="448">
        <f t="shared" si="26"/>
        <v>21.9</v>
      </c>
      <c r="G97" s="448">
        <f t="shared" si="26"/>
        <v>23.3</v>
      </c>
      <c r="H97" s="448">
        <f t="shared" si="26"/>
        <v>23.2</v>
      </c>
      <c r="I97" s="448">
        <f t="shared" si="26"/>
        <v>22.5</v>
      </c>
    </row>
    <row r="98" spans="1:9">
      <c r="A98" s="359" t="s">
        <v>89</v>
      </c>
      <c r="B98" s="372">
        <f t="shared" si="26"/>
        <v>12.3</v>
      </c>
      <c r="C98" s="448">
        <f t="shared" si="26"/>
        <v>15.9</v>
      </c>
      <c r="D98" s="448">
        <f t="shared" si="26"/>
        <v>7.7</v>
      </c>
      <c r="E98" s="448">
        <f t="shared" si="26"/>
        <v>4.2</v>
      </c>
      <c r="F98" s="448">
        <f t="shared" si="26"/>
        <v>6.2</v>
      </c>
      <c r="G98" s="448">
        <f t="shared" si="26"/>
        <v>5.8</v>
      </c>
      <c r="H98" s="448">
        <f t="shared" si="26"/>
        <v>6.8</v>
      </c>
      <c r="I98" s="448">
        <f t="shared" si="26"/>
        <v>5.9</v>
      </c>
    </row>
    <row r="99" spans="1:9">
      <c r="A99" s="359" t="s">
        <v>90</v>
      </c>
      <c r="B99" s="372">
        <f t="shared" si="26"/>
        <v>3.1</v>
      </c>
      <c r="C99" s="448">
        <f t="shared" si="26"/>
        <v>4.5999999999999996</v>
      </c>
      <c r="D99" s="448">
        <f t="shared" si="26"/>
        <v>6.4</v>
      </c>
      <c r="E99" s="448">
        <f t="shared" si="26"/>
        <v>5.2</v>
      </c>
      <c r="F99" s="451"/>
      <c r="G99" s="451"/>
      <c r="H99" s="451"/>
      <c r="I99" s="451"/>
    </row>
    <row r="100" spans="1:9">
      <c r="A100" s="359" t="s">
        <v>91</v>
      </c>
      <c r="B100" s="372">
        <f t="shared" si="26"/>
        <v>26.3</v>
      </c>
      <c r="C100" s="448">
        <f t="shared" si="26"/>
        <v>24.5</v>
      </c>
      <c r="D100" s="448">
        <f t="shared" si="26"/>
        <v>25.2</v>
      </c>
      <c r="E100" s="448">
        <f t="shared" si="26"/>
        <v>25.1</v>
      </c>
      <c r="F100" s="448">
        <f>ROUND(F89,1)+0.1</f>
        <v>23.1</v>
      </c>
      <c r="G100" s="448">
        <f>ROUND(G89,1)</f>
        <v>21.5</v>
      </c>
      <c r="H100" s="448">
        <f>ROUND(H89,1)-0.1</f>
        <v>20.299999999999997</v>
      </c>
      <c r="I100" s="448">
        <f>ROUND(I89,1)-0.1</f>
        <v>21.7</v>
      </c>
    </row>
    <row r="101" spans="1:9">
      <c r="A101" s="359" t="s">
        <v>92</v>
      </c>
      <c r="B101" s="372">
        <f>SUM(B94:B100)</f>
        <v>99.999999999999986</v>
      </c>
      <c r="C101" s="448">
        <f t="shared" ref="C101:I101" si="27">SUM(C94:C100)</f>
        <v>100</v>
      </c>
      <c r="D101" s="448">
        <f t="shared" si="27"/>
        <v>100.00000000000001</v>
      </c>
      <c r="E101" s="448">
        <f t="shared" si="27"/>
        <v>100</v>
      </c>
      <c r="F101" s="448">
        <f t="shared" si="27"/>
        <v>100.1</v>
      </c>
      <c r="G101" s="448">
        <f t="shared" si="27"/>
        <v>100.1</v>
      </c>
      <c r="H101" s="448">
        <f t="shared" si="27"/>
        <v>99.999999999999986</v>
      </c>
      <c r="I101" s="448">
        <f t="shared" si="27"/>
        <v>99.9</v>
      </c>
    </row>
  </sheetData>
  <mergeCells count="25">
    <mergeCell ref="A73:D73"/>
    <mergeCell ref="A81:D81"/>
    <mergeCell ref="A92:D92"/>
    <mergeCell ref="W30:W31"/>
    <mergeCell ref="X30:X31"/>
    <mergeCell ref="A35:D35"/>
    <mergeCell ref="G67:G68"/>
    <mergeCell ref="H67:H68"/>
    <mergeCell ref="I67:I68"/>
    <mergeCell ref="W9:W10"/>
    <mergeCell ref="X9:X10"/>
    <mergeCell ref="A17:D17"/>
    <mergeCell ref="A24:D24"/>
    <mergeCell ref="Q30:Q31"/>
    <mergeCell ref="R30:R31"/>
    <mergeCell ref="S30:S31"/>
    <mergeCell ref="T30:T31"/>
    <mergeCell ref="U30:U31"/>
    <mergeCell ref="V30:V31"/>
    <mergeCell ref="Q9:Q10"/>
    <mergeCell ref="R9:R10"/>
    <mergeCell ref="S9:S10"/>
    <mergeCell ref="T9:T10"/>
    <mergeCell ref="U9:U10"/>
    <mergeCell ref="V9:V10"/>
  </mergeCells>
  <phoneticPr fontId="9"/>
  <pageMargins left="0.78740157480314965" right="0.78740157480314965" top="0.98425196850393704" bottom="0.98425196850393704" header="0.51181102362204722" footer="0.51181102362204722"/>
  <pageSetup paperSize="9" scale="3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5"/>
  <sheetViews>
    <sheetView view="pageBreakPreview" zoomScaleNormal="100" zoomScaleSheetLayoutView="100" workbookViewId="0">
      <selection activeCell="R16" sqref="R16"/>
    </sheetView>
  </sheetViews>
  <sheetFormatPr defaultColWidth="10.28515625" defaultRowHeight="13.5"/>
  <cols>
    <col min="1" max="1" width="3.85546875" style="392" customWidth="1"/>
    <col min="2" max="2" width="17" style="392" customWidth="1"/>
    <col min="3" max="4" width="8.28515625" style="392" bestFit="1" customWidth="1"/>
    <col min="5" max="6" width="8.28515625" style="392" hidden="1" customWidth="1"/>
    <col min="7" max="7" width="8.28515625" style="392" customWidth="1"/>
    <col min="8" max="9" width="8.28515625" style="392" hidden="1" customWidth="1"/>
    <col min="10" max="10" width="8.28515625" style="392" customWidth="1"/>
    <col min="11" max="11" width="8.28515625" style="392" hidden="1" customWidth="1"/>
    <col min="12" max="12" width="8.28515625" style="392" bestFit="1" customWidth="1"/>
    <col min="13" max="13" width="8.28515625" style="392" customWidth="1"/>
    <col min="14" max="14" width="8.28515625" style="392" bestFit="1" customWidth="1"/>
    <col min="15" max="15" width="8.28515625" style="392" customWidth="1"/>
    <col min="16" max="16" width="5.28515625" style="392" customWidth="1"/>
    <col min="17" max="17" width="12" style="392" bestFit="1" customWidth="1"/>
    <col min="18" max="261" width="10.28515625" style="392"/>
    <col min="262" max="262" width="17" style="392" customWidth="1"/>
    <col min="263" max="271" width="8.28515625" style="392" bestFit="1" customWidth="1"/>
    <col min="272" max="273" width="12" style="392" bestFit="1" customWidth="1"/>
    <col min="274" max="517" width="10.28515625" style="392"/>
    <col min="518" max="518" width="17" style="392" customWidth="1"/>
    <col min="519" max="527" width="8.28515625" style="392" bestFit="1" customWidth="1"/>
    <col min="528" max="529" width="12" style="392" bestFit="1" customWidth="1"/>
    <col min="530" max="773" width="10.28515625" style="392"/>
    <col min="774" max="774" width="17" style="392" customWidth="1"/>
    <col min="775" max="783" width="8.28515625" style="392" bestFit="1" customWidth="1"/>
    <col min="784" max="785" width="12" style="392" bestFit="1" customWidth="1"/>
    <col min="786" max="1029" width="10.28515625" style="392"/>
    <col min="1030" max="1030" width="17" style="392" customWidth="1"/>
    <col min="1031" max="1039" width="8.28515625" style="392" bestFit="1" customWidth="1"/>
    <col min="1040" max="1041" width="12" style="392" bestFit="1" customWidth="1"/>
    <col min="1042" max="1285" width="10.28515625" style="392"/>
    <col min="1286" max="1286" width="17" style="392" customWidth="1"/>
    <col min="1287" max="1295" width="8.28515625" style="392" bestFit="1" customWidth="1"/>
    <col min="1296" max="1297" width="12" style="392" bestFit="1" customWidth="1"/>
    <col min="1298" max="1541" width="10.28515625" style="392"/>
    <col min="1542" max="1542" width="17" style="392" customWidth="1"/>
    <col min="1543" max="1551" width="8.28515625" style="392" bestFit="1" customWidth="1"/>
    <col min="1552" max="1553" width="12" style="392" bestFit="1" customWidth="1"/>
    <col min="1554" max="1797" width="10.28515625" style="392"/>
    <col min="1798" max="1798" width="17" style="392" customWidth="1"/>
    <col min="1799" max="1807" width="8.28515625" style="392" bestFit="1" customWidth="1"/>
    <col min="1808" max="1809" width="12" style="392" bestFit="1" customWidth="1"/>
    <col min="1810" max="2053" width="10.28515625" style="392"/>
    <col min="2054" max="2054" width="17" style="392" customWidth="1"/>
    <col min="2055" max="2063" width="8.28515625" style="392" bestFit="1" customWidth="1"/>
    <col min="2064" max="2065" width="12" style="392" bestFit="1" customWidth="1"/>
    <col min="2066" max="2309" width="10.28515625" style="392"/>
    <col min="2310" max="2310" width="17" style="392" customWidth="1"/>
    <col min="2311" max="2319" width="8.28515625" style="392" bestFit="1" customWidth="1"/>
    <col min="2320" max="2321" width="12" style="392" bestFit="1" customWidth="1"/>
    <col min="2322" max="2565" width="10.28515625" style="392"/>
    <col min="2566" max="2566" width="17" style="392" customWidth="1"/>
    <col min="2567" max="2575" width="8.28515625" style="392" bestFit="1" customWidth="1"/>
    <col min="2576" max="2577" width="12" style="392" bestFit="1" customWidth="1"/>
    <col min="2578" max="2821" width="10.28515625" style="392"/>
    <col min="2822" max="2822" width="17" style="392" customWidth="1"/>
    <col min="2823" max="2831" width="8.28515625" style="392" bestFit="1" customWidth="1"/>
    <col min="2832" max="2833" width="12" style="392" bestFit="1" customWidth="1"/>
    <col min="2834" max="3077" width="10.28515625" style="392"/>
    <col min="3078" max="3078" width="17" style="392" customWidth="1"/>
    <col min="3079" max="3087" width="8.28515625" style="392" bestFit="1" customWidth="1"/>
    <col min="3088" max="3089" width="12" style="392" bestFit="1" customWidth="1"/>
    <col min="3090" max="3333" width="10.28515625" style="392"/>
    <col min="3334" max="3334" width="17" style="392" customWidth="1"/>
    <col min="3335" max="3343" width="8.28515625" style="392" bestFit="1" customWidth="1"/>
    <col min="3344" max="3345" width="12" style="392" bestFit="1" customWidth="1"/>
    <col min="3346" max="3589" width="10.28515625" style="392"/>
    <col min="3590" max="3590" width="17" style="392" customWidth="1"/>
    <col min="3591" max="3599" width="8.28515625" style="392" bestFit="1" customWidth="1"/>
    <col min="3600" max="3601" width="12" style="392" bestFit="1" customWidth="1"/>
    <col min="3602" max="3845" width="10.28515625" style="392"/>
    <col min="3846" max="3846" width="17" style="392" customWidth="1"/>
    <col min="3847" max="3855" width="8.28515625" style="392" bestFit="1" customWidth="1"/>
    <col min="3856" max="3857" width="12" style="392" bestFit="1" customWidth="1"/>
    <col min="3858" max="4101" width="10.28515625" style="392"/>
    <col min="4102" max="4102" width="17" style="392" customWidth="1"/>
    <col min="4103" max="4111" width="8.28515625" style="392" bestFit="1" customWidth="1"/>
    <col min="4112" max="4113" width="12" style="392" bestFit="1" customWidth="1"/>
    <col min="4114" max="4357" width="10.28515625" style="392"/>
    <col min="4358" max="4358" width="17" style="392" customWidth="1"/>
    <col min="4359" max="4367" width="8.28515625" style="392" bestFit="1" customWidth="1"/>
    <col min="4368" max="4369" width="12" style="392" bestFit="1" customWidth="1"/>
    <col min="4370" max="4613" width="10.28515625" style="392"/>
    <col min="4614" max="4614" width="17" style="392" customWidth="1"/>
    <col min="4615" max="4623" width="8.28515625" style="392" bestFit="1" customWidth="1"/>
    <col min="4624" max="4625" width="12" style="392" bestFit="1" customWidth="1"/>
    <col min="4626" max="4869" width="10.28515625" style="392"/>
    <col min="4870" max="4870" width="17" style="392" customWidth="1"/>
    <col min="4871" max="4879" width="8.28515625" style="392" bestFit="1" customWidth="1"/>
    <col min="4880" max="4881" width="12" style="392" bestFit="1" customWidth="1"/>
    <col min="4882" max="5125" width="10.28515625" style="392"/>
    <col min="5126" max="5126" width="17" style="392" customWidth="1"/>
    <col min="5127" max="5135" width="8.28515625" style="392" bestFit="1" customWidth="1"/>
    <col min="5136" max="5137" width="12" style="392" bestFit="1" customWidth="1"/>
    <col min="5138" max="5381" width="10.28515625" style="392"/>
    <col min="5382" max="5382" width="17" style="392" customWidth="1"/>
    <col min="5383" max="5391" width="8.28515625" style="392" bestFit="1" customWidth="1"/>
    <col min="5392" max="5393" width="12" style="392" bestFit="1" customWidth="1"/>
    <col min="5394" max="5637" width="10.28515625" style="392"/>
    <col min="5638" max="5638" width="17" style="392" customWidth="1"/>
    <col min="5639" max="5647" width="8.28515625" style="392" bestFit="1" customWidth="1"/>
    <col min="5648" max="5649" width="12" style="392" bestFit="1" customWidth="1"/>
    <col min="5650" max="5893" width="10.28515625" style="392"/>
    <col min="5894" max="5894" width="17" style="392" customWidth="1"/>
    <col min="5895" max="5903" width="8.28515625" style="392" bestFit="1" customWidth="1"/>
    <col min="5904" max="5905" width="12" style="392" bestFit="1" customWidth="1"/>
    <col min="5906" max="6149" width="10.28515625" style="392"/>
    <col min="6150" max="6150" width="17" style="392" customWidth="1"/>
    <col min="6151" max="6159" width="8.28515625" style="392" bestFit="1" customWidth="1"/>
    <col min="6160" max="6161" width="12" style="392" bestFit="1" customWidth="1"/>
    <col min="6162" max="6405" width="10.28515625" style="392"/>
    <col min="6406" max="6406" width="17" style="392" customWidth="1"/>
    <col min="6407" max="6415" width="8.28515625" style="392" bestFit="1" customWidth="1"/>
    <col min="6416" max="6417" width="12" style="392" bestFit="1" customWidth="1"/>
    <col min="6418" max="6661" width="10.28515625" style="392"/>
    <col min="6662" max="6662" width="17" style="392" customWidth="1"/>
    <col min="6663" max="6671" width="8.28515625" style="392" bestFit="1" customWidth="1"/>
    <col min="6672" max="6673" width="12" style="392" bestFit="1" customWidth="1"/>
    <col min="6674" max="6917" width="10.28515625" style="392"/>
    <col min="6918" max="6918" width="17" style="392" customWidth="1"/>
    <col min="6919" max="6927" width="8.28515625" style="392" bestFit="1" customWidth="1"/>
    <col min="6928" max="6929" width="12" style="392" bestFit="1" customWidth="1"/>
    <col min="6930" max="7173" width="10.28515625" style="392"/>
    <col min="7174" max="7174" width="17" style="392" customWidth="1"/>
    <col min="7175" max="7183" width="8.28515625" style="392" bestFit="1" customWidth="1"/>
    <col min="7184" max="7185" width="12" style="392" bestFit="1" customWidth="1"/>
    <col min="7186" max="7429" width="10.28515625" style="392"/>
    <col min="7430" max="7430" width="17" style="392" customWidth="1"/>
    <col min="7431" max="7439" width="8.28515625" style="392" bestFit="1" customWidth="1"/>
    <col min="7440" max="7441" width="12" style="392" bestFit="1" customWidth="1"/>
    <col min="7442" max="7685" width="10.28515625" style="392"/>
    <col min="7686" max="7686" width="17" style="392" customWidth="1"/>
    <col min="7687" max="7695" width="8.28515625" style="392" bestFit="1" customWidth="1"/>
    <col min="7696" max="7697" width="12" style="392" bestFit="1" customWidth="1"/>
    <col min="7698" max="7941" width="10.28515625" style="392"/>
    <col min="7942" max="7942" width="17" style="392" customWidth="1"/>
    <col min="7943" max="7951" width="8.28515625" style="392" bestFit="1" customWidth="1"/>
    <col min="7952" max="7953" width="12" style="392" bestFit="1" customWidth="1"/>
    <col min="7954" max="8197" width="10.28515625" style="392"/>
    <col min="8198" max="8198" width="17" style="392" customWidth="1"/>
    <col min="8199" max="8207" width="8.28515625" style="392" bestFit="1" customWidth="1"/>
    <col min="8208" max="8209" width="12" style="392" bestFit="1" customWidth="1"/>
    <col min="8210" max="8453" width="10.28515625" style="392"/>
    <col min="8454" max="8454" width="17" style="392" customWidth="1"/>
    <col min="8455" max="8463" width="8.28515625" style="392" bestFit="1" customWidth="1"/>
    <col min="8464" max="8465" width="12" style="392" bestFit="1" customWidth="1"/>
    <col min="8466" max="8709" width="10.28515625" style="392"/>
    <col min="8710" max="8710" width="17" style="392" customWidth="1"/>
    <col min="8711" max="8719" width="8.28515625" style="392" bestFit="1" customWidth="1"/>
    <col min="8720" max="8721" width="12" style="392" bestFit="1" customWidth="1"/>
    <col min="8722" max="8965" width="10.28515625" style="392"/>
    <col min="8966" max="8966" width="17" style="392" customWidth="1"/>
    <col min="8967" max="8975" width="8.28515625" style="392" bestFit="1" customWidth="1"/>
    <col min="8976" max="8977" width="12" style="392" bestFit="1" customWidth="1"/>
    <col min="8978" max="9221" width="10.28515625" style="392"/>
    <col min="9222" max="9222" width="17" style="392" customWidth="1"/>
    <col min="9223" max="9231" width="8.28515625" style="392" bestFit="1" customWidth="1"/>
    <col min="9232" max="9233" width="12" style="392" bestFit="1" customWidth="1"/>
    <col min="9234" max="9477" width="10.28515625" style="392"/>
    <col min="9478" max="9478" width="17" style="392" customWidth="1"/>
    <col min="9479" max="9487" width="8.28515625" style="392" bestFit="1" customWidth="1"/>
    <col min="9488" max="9489" width="12" style="392" bestFit="1" customWidth="1"/>
    <col min="9490" max="9733" width="10.28515625" style="392"/>
    <col min="9734" max="9734" width="17" style="392" customWidth="1"/>
    <col min="9735" max="9743" width="8.28515625" style="392" bestFit="1" customWidth="1"/>
    <col min="9744" max="9745" width="12" style="392" bestFit="1" customWidth="1"/>
    <col min="9746" max="9989" width="10.28515625" style="392"/>
    <col min="9990" max="9990" width="17" style="392" customWidth="1"/>
    <col min="9991" max="9999" width="8.28515625" style="392" bestFit="1" customWidth="1"/>
    <col min="10000" max="10001" width="12" style="392" bestFit="1" customWidth="1"/>
    <col min="10002" max="10245" width="10.28515625" style="392"/>
    <col min="10246" max="10246" width="17" style="392" customWidth="1"/>
    <col min="10247" max="10255" width="8.28515625" style="392" bestFit="1" customWidth="1"/>
    <col min="10256" max="10257" width="12" style="392" bestFit="1" customWidth="1"/>
    <col min="10258" max="10501" width="10.28515625" style="392"/>
    <col min="10502" max="10502" width="17" style="392" customWidth="1"/>
    <col min="10503" max="10511" width="8.28515625" style="392" bestFit="1" customWidth="1"/>
    <col min="10512" max="10513" width="12" style="392" bestFit="1" customWidth="1"/>
    <col min="10514" max="10757" width="10.28515625" style="392"/>
    <col min="10758" max="10758" width="17" style="392" customWidth="1"/>
    <col min="10759" max="10767" width="8.28515625" style="392" bestFit="1" customWidth="1"/>
    <col min="10768" max="10769" width="12" style="392" bestFit="1" customWidth="1"/>
    <col min="10770" max="11013" width="10.28515625" style="392"/>
    <col min="11014" max="11014" width="17" style="392" customWidth="1"/>
    <col min="11015" max="11023" width="8.28515625" style="392" bestFit="1" customWidth="1"/>
    <col min="11024" max="11025" width="12" style="392" bestFit="1" customWidth="1"/>
    <col min="11026" max="11269" width="10.28515625" style="392"/>
    <col min="11270" max="11270" width="17" style="392" customWidth="1"/>
    <col min="11271" max="11279" width="8.28515625" style="392" bestFit="1" customWidth="1"/>
    <col min="11280" max="11281" width="12" style="392" bestFit="1" customWidth="1"/>
    <col min="11282" max="11525" width="10.28515625" style="392"/>
    <col min="11526" max="11526" width="17" style="392" customWidth="1"/>
    <col min="11527" max="11535" width="8.28515625" style="392" bestFit="1" customWidth="1"/>
    <col min="11536" max="11537" width="12" style="392" bestFit="1" customWidth="1"/>
    <col min="11538" max="11781" width="10.28515625" style="392"/>
    <col min="11782" max="11782" width="17" style="392" customWidth="1"/>
    <col min="11783" max="11791" width="8.28515625" style="392" bestFit="1" customWidth="1"/>
    <col min="11792" max="11793" width="12" style="392" bestFit="1" customWidth="1"/>
    <col min="11794" max="12037" width="10.28515625" style="392"/>
    <col min="12038" max="12038" width="17" style="392" customWidth="1"/>
    <col min="12039" max="12047" width="8.28515625" style="392" bestFit="1" customWidth="1"/>
    <col min="12048" max="12049" width="12" style="392" bestFit="1" customWidth="1"/>
    <col min="12050" max="12293" width="10.28515625" style="392"/>
    <col min="12294" max="12294" width="17" style="392" customWidth="1"/>
    <col min="12295" max="12303" width="8.28515625" style="392" bestFit="1" customWidth="1"/>
    <col min="12304" max="12305" width="12" style="392" bestFit="1" customWidth="1"/>
    <col min="12306" max="12549" width="10.28515625" style="392"/>
    <col min="12550" max="12550" width="17" style="392" customWidth="1"/>
    <col min="12551" max="12559" width="8.28515625" style="392" bestFit="1" customWidth="1"/>
    <col min="12560" max="12561" width="12" style="392" bestFit="1" customWidth="1"/>
    <col min="12562" max="12805" width="10.28515625" style="392"/>
    <col min="12806" max="12806" width="17" style="392" customWidth="1"/>
    <col min="12807" max="12815" width="8.28515625" style="392" bestFit="1" customWidth="1"/>
    <col min="12816" max="12817" width="12" style="392" bestFit="1" customWidth="1"/>
    <col min="12818" max="13061" width="10.28515625" style="392"/>
    <col min="13062" max="13062" width="17" style="392" customWidth="1"/>
    <col min="13063" max="13071" width="8.28515625" style="392" bestFit="1" customWidth="1"/>
    <col min="13072" max="13073" width="12" style="392" bestFit="1" customWidth="1"/>
    <col min="13074" max="13317" width="10.28515625" style="392"/>
    <col min="13318" max="13318" width="17" style="392" customWidth="1"/>
    <col min="13319" max="13327" width="8.28515625" style="392" bestFit="1" customWidth="1"/>
    <col min="13328" max="13329" width="12" style="392" bestFit="1" customWidth="1"/>
    <col min="13330" max="13573" width="10.28515625" style="392"/>
    <col min="13574" max="13574" width="17" style="392" customWidth="1"/>
    <col min="13575" max="13583" width="8.28515625" style="392" bestFit="1" customWidth="1"/>
    <col min="13584" max="13585" width="12" style="392" bestFit="1" customWidth="1"/>
    <col min="13586" max="13829" width="10.28515625" style="392"/>
    <col min="13830" max="13830" width="17" style="392" customWidth="1"/>
    <col min="13831" max="13839" width="8.28515625" style="392" bestFit="1" customWidth="1"/>
    <col min="13840" max="13841" width="12" style="392" bestFit="1" customWidth="1"/>
    <col min="13842" max="14085" width="10.28515625" style="392"/>
    <col min="14086" max="14086" width="17" style="392" customWidth="1"/>
    <col min="14087" max="14095" width="8.28515625" style="392" bestFit="1" customWidth="1"/>
    <col min="14096" max="14097" width="12" style="392" bestFit="1" customWidth="1"/>
    <col min="14098" max="14341" width="10.28515625" style="392"/>
    <col min="14342" max="14342" width="17" style="392" customWidth="1"/>
    <col min="14343" max="14351" width="8.28515625" style="392" bestFit="1" customWidth="1"/>
    <col min="14352" max="14353" width="12" style="392" bestFit="1" customWidth="1"/>
    <col min="14354" max="14597" width="10.28515625" style="392"/>
    <col min="14598" max="14598" width="17" style="392" customWidth="1"/>
    <col min="14599" max="14607" width="8.28515625" style="392" bestFit="1" customWidth="1"/>
    <col min="14608" max="14609" width="12" style="392" bestFit="1" customWidth="1"/>
    <col min="14610" max="14853" width="10.28515625" style="392"/>
    <col min="14854" max="14854" width="17" style="392" customWidth="1"/>
    <col min="14855" max="14863" width="8.28515625" style="392" bestFit="1" customWidth="1"/>
    <col min="14864" max="14865" width="12" style="392" bestFit="1" customWidth="1"/>
    <col min="14866" max="15109" width="10.28515625" style="392"/>
    <col min="15110" max="15110" width="17" style="392" customWidth="1"/>
    <col min="15111" max="15119" width="8.28515625" style="392" bestFit="1" customWidth="1"/>
    <col min="15120" max="15121" width="12" style="392" bestFit="1" customWidth="1"/>
    <col min="15122" max="15365" width="10.28515625" style="392"/>
    <col min="15366" max="15366" width="17" style="392" customWidth="1"/>
    <col min="15367" max="15375" width="8.28515625" style="392" bestFit="1" customWidth="1"/>
    <col min="15376" max="15377" width="12" style="392" bestFit="1" customWidth="1"/>
    <col min="15378" max="15621" width="10.28515625" style="392"/>
    <col min="15622" max="15622" width="17" style="392" customWidth="1"/>
    <col min="15623" max="15631" width="8.28515625" style="392" bestFit="1" customWidth="1"/>
    <col min="15632" max="15633" width="12" style="392" bestFit="1" customWidth="1"/>
    <col min="15634" max="15877" width="10.28515625" style="392"/>
    <col min="15878" max="15878" width="17" style="392" customWidth="1"/>
    <col min="15879" max="15887" width="8.28515625" style="392" bestFit="1" customWidth="1"/>
    <col min="15888" max="15889" width="12" style="392" bestFit="1" customWidth="1"/>
    <col min="15890" max="16133" width="10.28515625" style="392"/>
    <col min="16134" max="16134" width="17" style="392" customWidth="1"/>
    <col min="16135" max="16143" width="8.28515625" style="392" bestFit="1" customWidth="1"/>
    <col min="16144" max="16145" width="12" style="392" bestFit="1" customWidth="1"/>
    <col min="16146" max="16384" width="10.28515625" style="392"/>
  </cols>
  <sheetData>
    <row r="2" spans="2:17">
      <c r="B2" s="662" t="s">
        <v>65</v>
      </c>
      <c r="C2" s="662"/>
      <c r="D2" s="662"/>
      <c r="E2" s="662"/>
      <c r="F2" s="390"/>
      <c r="G2" s="390"/>
      <c r="H2" s="390"/>
      <c r="I2" s="391"/>
      <c r="J2" s="391"/>
      <c r="K2" s="391"/>
      <c r="L2" s="391"/>
      <c r="M2" s="391"/>
      <c r="N2" s="391"/>
      <c r="O2" s="391"/>
    </row>
    <row r="3" spans="2:17">
      <c r="B3" s="393"/>
      <c r="C3" s="394" t="s">
        <v>66</v>
      </c>
      <c r="D3" s="394" t="s">
        <v>67</v>
      </c>
      <c r="E3" s="394" t="s">
        <v>68</v>
      </c>
      <c r="F3" s="394" t="s">
        <v>69</v>
      </c>
      <c r="G3" s="394" t="s">
        <v>83</v>
      </c>
      <c r="H3" s="394" t="s">
        <v>70</v>
      </c>
      <c r="I3" s="394" t="s">
        <v>72</v>
      </c>
      <c r="J3" s="394" t="s">
        <v>127</v>
      </c>
      <c r="K3" s="394" t="s">
        <v>133</v>
      </c>
      <c r="L3" s="394" t="s">
        <v>216</v>
      </c>
      <c r="M3" s="394" t="s">
        <v>248</v>
      </c>
      <c r="N3" s="394" t="s">
        <v>258</v>
      </c>
      <c r="O3" s="394" t="s">
        <v>316</v>
      </c>
    </row>
    <row r="4" spans="2:17">
      <c r="B4" s="395" t="s">
        <v>85</v>
      </c>
      <c r="C4" s="396">
        <v>777637</v>
      </c>
      <c r="D4" s="396">
        <v>738656</v>
      </c>
      <c r="E4" s="396">
        <v>686522</v>
      </c>
      <c r="F4" s="396">
        <v>635039</v>
      </c>
      <c r="G4" s="396">
        <v>613049</v>
      </c>
      <c r="H4" s="396">
        <v>618500</v>
      </c>
      <c r="I4" s="396">
        <v>652624</v>
      </c>
      <c r="J4" s="396">
        <v>670787</v>
      </c>
      <c r="K4" s="396">
        <v>623613</v>
      </c>
      <c r="L4" s="396">
        <v>660088</v>
      </c>
      <c r="M4" s="396">
        <v>659473</v>
      </c>
      <c r="N4" s="396">
        <v>675404</v>
      </c>
      <c r="O4" s="396">
        <v>737441</v>
      </c>
    </row>
    <row r="5" spans="2:17" ht="19.5">
      <c r="B5" s="395" t="s">
        <v>172</v>
      </c>
      <c r="C5" s="396">
        <v>12844</v>
      </c>
      <c r="D5" s="396">
        <v>15155</v>
      </c>
      <c r="E5" s="396">
        <v>76659</v>
      </c>
      <c r="F5" s="396">
        <v>121116</v>
      </c>
      <c r="G5" s="396">
        <f>80475+61138</f>
        <v>141613</v>
      </c>
      <c r="H5" s="396">
        <v>116929</v>
      </c>
      <c r="I5" s="396">
        <v>77358</v>
      </c>
      <c r="J5" s="396">
        <v>42503</v>
      </c>
      <c r="K5" s="396">
        <f>38032+39765</f>
        <v>77797</v>
      </c>
      <c r="L5" s="396">
        <f>41891+68397</f>
        <v>110288</v>
      </c>
      <c r="M5" s="396">
        <v>88364</v>
      </c>
      <c r="N5" s="396">
        <f>52770+74600</f>
        <v>127370</v>
      </c>
      <c r="O5" s="396">
        <f>43642+64076</f>
        <v>107718</v>
      </c>
    </row>
    <row r="6" spans="2:17">
      <c r="B6" s="397" t="s">
        <v>74</v>
      </c>
      <c r="C6" s="396">
        <v>96734</v>
      </c>
      <c r="D6" s="396">
        <v>131726</v>
      </c>
      <c r="E6" s="396">
        <v>112505</v>
      </c>
      <c r="F6" s="396">
        <v>104463</v>
      </c>
      <c r="G6" s="396">
        <v>98386</v>
      </c>
      <c r="H6" s="396">
        <v>110305</v>
      </c>
      <c r="I6" s="396">
        <v>113420</v>
      </c>
      <c r="J6" s="396">
        <v>102339</v>
      </c>
      <c r="K6" s="396">
        <f>7584+54084+8218</f>
        <v>69886</v>
      </c>
      <c r="L6" s="398">
        <f>6149+1622+87348</f>
        <v>95119</v>
      </c>
      <c r="M6" s="398">
        <f>86249-850</f>
        <v>85399</v>
      </c>
      <c r="N6" s="398">
        <v>137161</v>
      </c>
      <c r="O6" s="398">
        <f>6018+86045+2527</f>
        <v>94590</v>
      </c>
    </row>
    <row r="7" spans="2:17">
      <c r="B7" s="397" t="s">
        <v>75</v>
      </c>
      <c r="C7" s="396">
        <f t="shared" ref="C7:J7" si="0">SUM(C4:C6)</f>
        <v>887215</v>
      </c>
      <c r="D7" s="396">
        <f t="shared" si="0"/>
        <v>885537</v>
      </c>
      <c r="E7" s="396">
        <f t="shared" si="0"/>
        <v>875686</v>
      </c>
      <c r="F7" s="396">
        <f>SUM(F4:F6)</f>
        <v>860618</v>
      </c>
      <c r="G7" s="396">
        <f>SUM(G4:G6)</f>
        <v>853048</v>
      </c>
      <c r="H7" s="396">
        <f t="shared" si="0"/>
        <v>845734</v>
      </c>
      <c r="I7" s="396">
        <f t="shared" si="0"/>
        <v>843402</v>
      </c>
      <c r="J7" s="396">
        <f t="shared" si="0"/>
        <v>815629</v>
      </c>
      <c r="K7" s="396">
        <f>SUM(K4:K6)</f>
        <v>771296</v>
      </c>
      <c r="L7" s="396">
        <f>SUM(L4:L6)</f>
        <v>865495</v>
      </c>
      <c r="M7" s="396">
        <f>SUM(M4:M6)</f>
        <v>833236</v>
      </c>
      <c r="N7" s="396">
        <f>SUM(N4:N6)</f>
        <v>939935</v>
      </c>
      <c r="O7" s="396">
        <f>SUM(O4:O6)</f>
        <v>939749</v>
      </c>
      <c r="P7" s="399"/>
      <c r="Q7" s="399"/>
    </row>
    <row r="8" spans="2:17">
      <c r="B8" s="391"/>
      <c r="C8" s="400"/>
      <c r="D8" s="400"/>
      <c r="E8" s="400"/>
      <c r="F8" s="400"/>
      <c r="G8" s="400"/>
      <c r="H8" s="400"/>
      <c r="I8" s="400"/>
      <c r="J8" s="400"/>
      <c r="K8" s="400"/>
      <c r="L8" s="400"/>
      <c r="M8" s="400"/>
      <c r="N8" s="400"/>
      <c r="O8" s="400"/>
      <c r="P8" s="401"/>
      <c r="Q8" s="401"/>
    </row>
    <row r="9" spans="2:17">
      <c r="B9" s="662" t="s">
        <v>65</v>
      </c>
      <c r="C9" s="662"/>
      <c r="D9" s="662"/>
      <c r="E9" s="662"/>
      <c r="F9" s="390"/>
      <c r="G9" s="390"/>
      <c r="H9" s="390"/>
      <c r="I9" s="391"/>
      <c r="J9" s="391"/>
      <c r="K9" s="391"/>
      <c r="L9" s="391"/>
      <c r="M9" s="391"/>
      <c r="N9" s="391"/>
      <c r="O9" s="391"/>
    </row>
    <row r="10" spans="2:17">
      <c r="B10" s="393"/>
      <c r="C10" s="394" t="s">
        <v>66</v>
      </c>
      <c r="D10" s="394" t="s">
        <v>67</v>
      </c>
      <c r="E10" s="394" t="s">
        <v>68</v>
      </c>
      <c r="F10" s="394" t="s">
        <v>69</v>
      </c>
      <c r="G10" s="394" t="s">
        <v>83</v>
      </c>
      <c r="H10" s="394" t="s">
        <v>70</v>
      </c>
      <c r="I10" s="394" t="s">
        <v>72</v>
      </c>
      <c r="J10" s="394" t="s">
        <v>127</v>
      </c>
      <c r="K10" s="394" t="s">
        <v>133</v>
      </c>
      <c r="L10" s="394" t="str">
        <f>L3</f>
        <v>27決算</v>
      </c>
      <c r="M10" s="394" t="str">
        <f>M3</f>
        <v>28決算</v>
      </c>
      <c r="N10" s="394" t="str">
        <f>N3</f>
        <v>29決算</v>
      </c>
      <c r="O10" s="394" t="str">
        <f>O3</f>
        <v>30決算</v>
      </c>
    </row>
    <row r="11" spans="2:17">
      <c r="B11" s="395" t="s">
        <v>85</v>
      </c>
      <c r="C11" s="402">
        <v>7776</v>
      </c>
      <c r="D11" s="402">
        <v>7387</v>
      </c>
      <c r="E11" s="402">
        <v>6865</v>
      </c>
      <c r="F11" s="402">
        <v>6350</v>
      </c>
      <c r="G11" s="402">
        <v>6130</v>
      </c>
      <c r="H11" s="402">
        <v>6185</v>
      </c>
      <c r="I11" s="402">
        <v>6526</v>
      </c>
      <c r="J11" s="402">
        <v>6708</v>
      </c>
      <c r="K11" s="402">
        <v>6236</v>
      </c>
      <c r="L11" s="402">
        <v>6601</v>
      </c>
      <c r="M11" s="402">
        <v>6595</v>
      </c>
      <c r="N11" s="402">
        <v>6754</v>
      </c>
      <c r="O11" s="402">
        <v>7374</v>
      </c>
    </row>
    <row r="12" spans="2:17" ht="19.5">
      <c r="B12" s="395" t="s">
        <v>172</v>
      </c>
      <c r="C12" s="402">
        <v>128</v>
      </c>
      <c r="D12" s="402">
        <v>151</v>
      </c>
      <c r="E12" s="402">
        <v>767</v>
      </c>
      <c r="F12" s="402">
        <v>1211</v>
      </c>
      <c r="G12" s="402">
        <v>1416</v>
      </c>
      <c r="H12" s="402">
        <v>1169</v>
      </c>
      <c r="I12" s="402">
        <v>774</v>
      </c>
      <c r="J12" s="402">
        <v>425</v>
      </c>
      <c r="K12" s="402">
        <v>778</v>
      </c>
      <c r="L12" s="402">
        <v>1103</v>
      </c>
      <c r="M12" s="402">
        <v>883</v>
      </c>
      <c r="N12" s="402">
        <v>1274</v>
      </c>
      <c r="O12" s="402">
        <v>1077</v>
      </c>
    </row>
    <row r="13" spans="2:17">
      <c r="B13" s="397" t="s">
        <v>74</v>
      </c>
      <c r="C13" s="402">
        <v>968</v>
      </c>
      <c r="D13" s="402">
        <v>1317</v>
      </c>
      <c r="E13" s="402">
        <v>1125</v>
      </c>
      <c r="F13" s="402">
        <v>1045</v>
      </c>
      <c r="G13" s="402">
        <v>984</v>
      </c>
      <c r="H13" s="402">
        <v>1103</v>
      </c>
      <c r="I13" s="402">
        <v>1134</v>
      </c>
      <c r="J13" s="402">
        <v>1023</v>
      </c>
      <c r="K13" s="402">
        <v>699</v>
      </c>
      <c r="L13" s="402">
        <v>951</v>
      </c>
      <c r="M13" s="402">
        <v>854</v>
      </c>
      <c r="N13" s="402">
        <v>1372</v>
      </c>
      <c r="O13" s="402">
        <v>946</v>
      </c>
    </row>
    <row r="14" spans="2:17">
      <c r="B14" s="397" t="s">
        <v>75</v>
      </c>
      <c r="C14" s="402">
        <f t="shared" ref="C14:K14" si="1">SUM(C11:C13)</f>
        <v>8872</v>
      </c>
      <c r="D14" s="402">
        <f t="shared" si="1"/>
        <v>8855</v>
      </c>
      <c r="E14" s="402">
        <f t="shared" si="1"/>
        <v>8757</v>
      </c>
      <c r="F14" s="402">
        <f t="shared" si="1"/>
        <v>8606</v>
      </c>
      <c r="G14" s="402">
        <f t="shared" si="1"/>
        <v>8530</v>
      </c>
      <c r="H14" s="402">
        <f t="shared" si="1"/>
        <v>8457</v>
      </c>
      <c r="I14" s="402">
        <f t="shared" si="1"/>
        <v>8434</v>
      </c>
      <c r="J14" s="402">
        <f t="shared" si="1"/>
        <v>8156</v>
      </c>
      <c r="K14" s="402">
        <f t="shared" si="1"/>
        <v>7713</v>
      </c>
      <c r="L14" s="402">
        <f>SUM(L11:L13)</f>
        <v>8655</v>
      </c>
      <c r="M14" s="402">
        <f>SUM(M11:M13)</f>
        <v>8332</v>
      </c>
      <c r="N14" s="402">
        <v>9399</v>
      </c>
      <c r="O14" s="402">
        <v>9397</v>
      </c>
    </row>
    <row r="15" spans="2:17">
      <c r="B15" s="391"/>
      <c r="C15" s="391"/>
      <c r="D15" s="391"/>
      <c r="E15" s="391"/>
      <c r="F15" s="391"/>
      <c r="G15" s="391"/>
      <c r="H15" s="391"/>
      <c r="I15" s="391"/>
      <c r="J15" s="391"/>
      <c r="K15" s="391"/>
      <c r="L15" s="391"/>
      <c r="M15" s="391"/>
      <c r="N15" s="391"/>
      <c r="O15" s="391"/>
    </row>
  </sheetData>
  <mergeCells count="2">
    <mergeCell ref="B2:E2"/>
    <mergeCell ref="B9:E9"/>
  </mergeCells>
  <phoneticPr fontId="9"/>
  <pageMargins left="0.78740157480314965" right="0.78740157480314965" top="0.98425196850393704" bottom="0.98425196850393704" header="0.51181102362204722" footer="0.51181102362204722"/>
  <pageSetup paperSize="9" scale="8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5"/>
  <sheetViews>
    <sheetView showGridLines="0" view="pageBreakPreview" zoomScale="70" zoomScaleNormal="100" zoomScaleSheetLayoutView="70" workbookViewId="0">
      <selection activeCell="K44" sqref="K44"/>
    </sheetView>
  </sheetViews>
  <sheetFormatPr defaultRowHeight="13.5"/>
  <cols>
    <col min="1" max="2" width="3.140625" style="452" customWidth="1"/>
    <col min="3" max="3" width="12.140625" style="452" customWidth="1"/>
    <col min="4" max="4" width="67.85546875" style="452" customWidth="1"/>
    <col min="5" max="5" width="26.28515625" style="452" customWidth="1"/>
    <col min="6" max="6" width="8.42578125" style="452" bestFit="1" customWidth="1"/>
    <col min="7" max="7" width="9" style="452" customWidth="1"/>
    <col min="8" max="16384" width="9.140625" style="452"/>
  </cols>
  <sheetData>
    <row r="1" spans="1:6" ht="46.5" customHeight="1"/>
    <row r="2" spans="1:6" ht="28.5">
      <c r="A2" s="453" t="s">
        <v>387</v>
      </c>
      <c r="B2" s="454"/>
      <c r="C2" s="455"/>
    </row>
    <row r="3" spans="1:6" ht="28.5">
      <c r="A3" s="453" t="s">
        <v>388</v>
      </c>
      <c r="B3" s="454"/>
      <c r="C3" s="455"/>
    </row>
    <row r="6" spans="1:6" ht="28.5" customHeight="1">
      <c r="B6" s="456" t="s">
        <v>389</v>
      </c>
    </row>
    <row r="7" spans="1:6" ht="28.5" customHeight="1">
      <c r="B7" s="456" t="s">
        <v>390</v>
      </c>
    </row>
    <row r="8" spans="1:6" ht="28.5" customHeight="1">
      <c r="B8" s="456" t="s">
        <v>391</v>
      </c>
    </row>
    <row r="9" spans="1:6" ht="47.25" customHeight="1"/>
    <row r="10" spans="1:6" ht="26.25" customHeight="1">
      <c r="B10" s="457" t="s">
        <v>392</v>
      </c>
      <c r="C10" s="456"/>
      <c r="D10" s="456"/>
      <c r="E10" s="456"/>
    </row>
    <row r="11" spans="1:6" ht="12.75" customHeight="1" thickBot="1">
      <c r="A11" s="458"/>
      <c r="B11" s="456"/>
      <c r="C11" s="456"/>
      <c r="D11" s="456"/>
      <c r="E11" s="456"/>
    </row>
    <row r="12" spans="1:6" ht="14.25" customHeight="1">
      <c r="B12" s="456"/>
      <c r="C12" s="663" t="s">
        <v>393</v>
      </c>
      <c r="D12" s="664"/>
      <c r="E12" s="667" t="s">
        <v>394</v>
      </c>
    </row>
    <row r="13" spans="1:6" ht="14.25" customHeight="1" thickBot="1">
      <c r="B13" s="456"/>
      <c r="C13" s="665"/>
      <c r="D13" s="666"/>
      <c r="E13" s="668"/>
    </row>
    <row r="14" spans="1:6" ht="35.25" customHeight="1">
      <c r="B14" s="456"/>
      <c r="C14" s="459" t="s">
        <v>395</v>
      </c>
      <c r="D14" s="460" t="s">
        <v>396</v>
      </c>
      <c r="E14" s="461">
        <v>48095</v>
      </c>
      <c r="F14" s="462"/>
    </row>
    <row r="15" spans="1:6" ht="35.25" customHeight="1">
      <c r="B15" s="456"/>
      <c r="C15" s="669" t="s">
        <v>397</v>
      </c>
      <c r="D15" s="460" t="s">
        <v>398</v>
      </c>
      <c r="E15" s="461">
        <v>36503</v>
      </c>
      <c r="F15" s="462"/>
    </row>
    <row r="16" spans="1:6" ht="35.25" customHeight="1" thickBot="1">
      <c r="B16" s="456"/>
      <c r="C16" s="670"/>
      <c r="D16" s="463" t="s">
        <v>399</v>
      </c>
      <c r="E16" s="464">
        <v>11592</v>
      </c>
      <c r="F16" s="462"/>
    </row>
    <row r="17" spans="1:6" ht="7.5" customHeight="1">
      <c r="B17" s="456"/>
      <c r="C17" s="465"/>
      <c r="D17" s="466"/>
      <c r="E17" s="467"/>
      <c r="F17" s="462"/>
    </row>
    <row r="18" spans="1:6" ht="24" customHeight="1">
      <c r="A18" s="458"/>
      <c r="B18" s="456"/>
      <c r="C18" s="456" t="s">
        <v>400</v>
      </c>
      <c r="D18" s="456"/>
      <c r="E18" s="456"/>
    </row>
    <row r="19" spans="1:6" ht="24" customHeight="1">
      <c r="B19" s="456"/>
      <c r="C19" s="456" t="s">
        <v>401</v>
      </c>
      <c r="D19" s="456"/>
      <c r="E19" s="456"/>
    </row>
    <row r="20" spans="1:6" ht="12.75" customHeight="1">
      <c r="C20" s="468"/>
    </row>
    <row r="23" spans="1:6" ht="28.5" customHeight="1">
      <c r="B23" s="469" t="s">
        <v>402</v>
      </c>
    </row>
    <row r="24" spans="1:6" ht="28.5" customHeight="1">
      <c r="B24" s="456" t="s">
        <v>403</v>
      </c>
    </row>
    <row r="25" spans="1:6" ht="28.5" customHeight="1">
      <c r="B25" s="456"/>
    </row>
  </sheetData>
  <mergeCells count="3">
    <mergeCell ref="C12:D13"/>
    <mergeCell ref="E12:E13"/>
    <mergeCell ref="C15:C16"/>
  </mergeCells>
  <phoneticPr fontId="9"/>
  <pageMargins left="0.62992125984251968" right="0.39370078740157483" top="0.55118110236220474" bottom="0.37" header="0.31496062992125984" footer="0.31496062992125984"/>
  <pageSetup paperSize="9" scale="74"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election activeCell="F5" sqref="F5:H5"/>
    </sheetView>
  </sheetViews>
  <sheetFormatPr defaultRowHeight="13.5"/>
  <cols>
    <col min="1" max="1" width="9.140625" style="470"/>
    <col min="2" max="4" width="1.7109375" style="53" customWidth="1"/>
    <col min="5" max="5" width="12.5703125" style="53" customWidth="1"/>
    <col min="6" max="6" width="13.5703125" style="53" customWidth="1"/>
    <col min="7" max="7" width="3.5703125" style="53" customWidth="1"/>
    <col min="8" max="8" width="10.140625" style="53" customWidth="1"/>
    <col min="9" max="9" width="13.5703125" style="53" customWidth="1"/>
    <col min="10" max="10" width="1.28515625" style="53" customWidth="1"/>
    <col min="11" max="12" width="1.7109375" style="94" customWidth="1"/>
    <col min="13" max="13" width="1.7109375" style="53" customWidth="1"/>
    <col min="14" max="14" width="12.5703125" style="53" customWidth="1"/>
    <col min="15" max="17" width="13.5703125" style="53" customWidth="1"/>
    <col min="18" max="18" width="1" style="53" customWidth="1"/>
    <col min="19" max="16384" width="9.140625" style="470"/>
  </cols>
  <sheetData>
    <row r="1" spans="1:19">
      <c r="H1" s="94"/>
      <c r="K1" s="53"/>
      <c r="L1" s="53"/>
      <c r="N1" s="471"/>
      <c r="O1" s="671"/>
      <c r="P1" s="671"/>
      <c r="Q1" s="95"/>
      <c r="R1" s="95"/>
    </row>
    <row r="2" spans="1:19">
      <c r="E2" s="94"/>
      <c r="H2" s="94"/>
      <c r="K2" s="53"/>
      <c r="L2" s="53"/>
      <c r="N2" s="471"/>
      <c r="P2" s="472"/>
      <c r="Q2" s="94"/>
      <c r="R2" s="94"/>
    </row>
    <row r="3" spans="1:19" ht="17.25">
      <c r="B3" s="473" t="s">
        <v>404</v>
      </c>
      <c r="C3" s="52"/>
      <c r="D3" s="52"/>
      <c r="E3" s="52"/>
      <c r="F3" s="52"/>
      <c r="G3" s="52"/>
      <c r="H3" s="474"/>
      <c r="I3" s="52"/>
      <c r="J3" s="52"/>
      <c r="K3" s="52"/>
      <c r="L3" s="52"/>
      <c r="M3" s="52"/>
      <c r="N3" s="52"/>
      <c r="O3" s="52"/>
      <c r="P3" s="474"/>
      <c r="Q3" s="475" t="s">
        <v>405</v>
      </c>
      <c r="R3" s="169"/>
    </row>
    <row r="4" spans="1:19" s="94" customFormat="1" ht="22.5" customHeight="1">
      <c r="A4" s="53"/>
      <c r="B4" s="192"/>
      <c r="C4" s="193"/>
      <c r="D4" s="193"/>
      <c r="E4" s="194"/>
      <c r="F4" s="562" t="s">
        <v>267</v>
      </c>
      <c r="G4" s="562"/>
      <c r="H4" s="562"/>
      <c r="I4" s="563" t="s">
        <v>268</v>
      </c>
      <c r="J4" s="564"/>
      <c r="K4" s="195"/>
      <c r="L4" s="193"/>
      <c r="M4" s="193"/>
      <c r="N4" s="194"/>
      <c r="O4" s="562" t="s">
        <v>267</v>
      </c>
      <c r="P4" s="562"/>
      <c r="Q4" s="563" t="s">
        <v>268</v>
      </c>
      <c r="R4" s="565"/>
      <c r="S4" s="97"/>
    </row>
    <row r="5" spans="1:19" s="94" customFormat="1" ht="22.5" customHeight="1">
      <c r="A5" s="53"/>
      <c r="B5" s="196"/>
      <c r="C5" s="197"/>
      <c r="D5" s="197"/>
      <c r="E5" s="198"/>
      <c r="F5" s="439" t="s">
        <v>299</v>
      </c>
      <c r="G5" s="566" t="s">
        <v>300</v>
      </c>
      <c r="H5" s="567"/>
      <c r="I5" s="568" t="s">
        <v>136</v>
      </c>
      <c r="J5" s="569"/>
      <c r="K5" s="199"/>
      <c r="L5" s="197"/>
      <c r="M5" s="197"/>
      <c r="N5" s="198"/>
      <c r="O5" s="439" t="str">
        <f>F5</f>
        <v>30年度</v>
      </c>
      <c r="P5" s="439" t="str">
        <f>G5</f>
        <v>29年度</v>
      </c>
      <c r="Q5" s="568" t="s">
        <v>270</v>
      </c>
      <c r="R5" s="570"/>
      <c r="S5" s="97"/>
    </row>
    <row r="6" spans="1:19" s="94" customFormat="1" ht="12" customHeight="1">
      <c r="A6" s="252"/>
      <c r="B6" s="573" t="s">
        <v>271</v>
      </c>
      <c r="C6" s="574"/>
      <c r="D6" s="574"/>
      <c r="E6" s="575"/>
      <c r="F6" s="582">
        <v>1761138</v>
      </c>
      <c r="G6" s="675">
        <v>1742817</v>
      </c>
      <c r="H6" s="676"/>
      <c r="I6" s="690">
        <v>1.0512340932078867</v>
      </c>
      <c r="J6" s="476"/>
      <c r="K6" s="593" t="s">
        <v>406</v>
      </c>
      <c r="L6" s="574"/>
      <c r="M6" s="574"/>
      <c r="N6" s="575"/>
      <c r="O6" s="534">
        <v>1758572</v>
      </c>
      <c r="P6" s="534">
        <v>1740813</v>
      </c>
      <c r="Q6" s="685">
        <v>1.0201264623045159</v>
      </c>
      <c r="R6" s="477"/>
      <c r="S6" s="97"/>
    </row>
    <row r="7" spans="1:19" s="94" customFormat="1" ht="12" customHeight="1">
      <c r="A7" s="252"/>
      <c r="B7" s="576"/>
      <c r="C7" s="577"/>
      <c r="D7" s="577"/>
      <c r="E7" s="578"/>
      <c r="F7" s="583"/>
      <c r="G7" s="677"/>
      <c r="H7" s="678"/>
      <c r="I7" s="691"/>
      <c r="J7" s="478"/>
      <c r="K7" s="594"/>
      <c r="L7" s="577"/>
      <c r="M7" s="577"/>
      <c r="N7" s="578"/>
      <c r="O7" s="683"/>
      <c r="P7" s="683"/>
      <c r="Q7" s="686"/>
      <c r="R7" s="477"/>
      <c r="S7" s="97"/>
    </row>
    <row r="8" spans="1:19" s="94" customFormat="1" ht="12" customHeight="1">
      <c r="A8" s="252" t="s">
        <v>0</v>
      </c>
      <c r="B8" s="576"/>
      <c r="C8" s="577"/>
      <c r="D8" s="577"/>
      <c r="E8" s="578"/>
      <c r="F8" s="583"/>
      <c r="G8" s="677"/>
      <c r="H8" s="678"/>
      <c r="I8" s="687">
        <v>18321</v>
      </c>
      <c r="J8" s="476"/>
      <c r="K8" s="594"/>
      <c r="L8" s="577"/>
      <c r="M8" s="577"/>
      <c r="N8" s="578"/>
      <c r="O8" s="683"/>
      <c r="P8" s="683"/>
      <c r="Q8" s="687">
        <v>17758</v>
      </c>
      <c r="R8" s="477"/>
      <c r="S8" s="97"/>
    </row>
    <row r="9" spans="1:19" s="94" customFormat="1" ht="12" customHeight="1">
      <c r="A9" s="252"/>
      <c r="B9" s="579"/>
      <c r="C9" s="580"/>
      <c r="D9" s="580"/>
      <c r="E9" s="581"/>
      <c r="F9" s="584"/>
      <c r="G9" s="679"/>
      <c r="H9" s="680"/>
      <c r="I9" s="688"/>
      <c r="J9" s="479"/>
      <c r="K9" s="595"/>
      <c r="L9" s="580"/>
      <c r="M9" s="580"/>
      <c r="N9" s="581"/>
      <c r="O9" s="684"/>
      <c r="P9" s="684"/>
      <c r="Q9" s="688"/>
      <c r="R9" s="480"/>
      <c r="S9" s="97"/>
    </row>
    <row r="10" spans="1:19" s="94" customFormat="1" ht="42" customHeight="1">
      <c r="A10" s="252"/>
      <c r="B10" s="689"/>
      <c r="C10" s="689"/>
      <c r="D10" s="689"/>
      <c r="E10" s="689"/>
      <c r="F10" s="689"/>
      <c r="G10" s="689"/>
      <c r="H10" s="689"/>
      <c r="I10" s="689"/>
      <c r="J10" s="689"/>
      <c r="K10" s="689"/>
      <c r="L10" s="689"/>
      <c r="M10" s="689"/>
      <c r="N10" s="689"/>
      <c r="O10" s="689"/>
      <c r="P10" s="689"/>
      <c r="Q10" s="689"/>
      <c r="R10" s="689"/>
      <c r="S10" s="102"/>
    </row>
    <row r="11" spans="1:19" s="94" customFormat="1" ht="23.25" customHeight="1">
      <c r="A11" s="252"/>
      <c r="B11" s="481"/>
      <c r="C11" s="481"/>
      <c r="D11" s="481"/>
      <c r="E11" s="481"/>
      <c r="F11" s="481"/>
      <c r="G11" s="481"/>
      <c r="H11" s="481"/>
      <c r="I11" s="481"/>
      <c r="J11" s="481"/>
      <c r="K11" s="481"/>
      <c r="L11" s="481"/>
      <c r="M11" s="481"/>
      <c r="N11" s="481"/>
      <c r="O11" s="481"/>
      <c r="P11" s="481"/>
      <c r="Q11" s="481"/>
      <c r="R11" s="481"/>
      <c r="S11" s="102"/>
    </row>
    <row r="12" spans="1:19" s="94" customFormat="1" ht="23.25" customHeight="1">
      <c r="A12" s="252"/>
      <c r="B12" s="473" t="s">
        <v>407</v>
      </c>
      <c r="C12" s="482"/>
      <c r="D12" s="482"/>
      <c r="E12" s="482"/>
      <c r="F12" s="482"/>
      <c r="G12" s="482"/>
      <c r="H12" s="482"/>
      <c r="I12" s="482"/>
      <c r="J12" s="482"/>
      <c r="K12" s="482"/>
      <c r="L12" s="482"/>
      <c r="M12" s="482"/>
      <c r="N12" s="482"/>
      <c r="O12" s="482"/>
      <c r="P12" s="482"/>
      <c r="Q12" s="482"/>
      <c r="R12" s="482"/>
      <c r="S12" s="102"/>
    </row>
    <row r="13" spans="1:19" s="94" customFormat="1" ht="12" customHeight="1">
      <c r="A13" s="252"/>
      <c r="B13" s="573" t="s">
        <v>408</v>
      </c>
      <c r="C13" s="574"/>
      <c r="D13" s="574"/>
      <c r="E13" s="575"/>
      <c r="F13" s="672">
        <v>1713043</v>
      </c>
      <c r="G13" s="675">
        <v>1742817</v>
      </c>
      <c r="H13" s="676"/>
      <c r="I13" s="681">
        <v>-1.7</v>
      </c>
      <c r="J13" s="483"/>
      <c r="K13" s="593" t="s">
        <v>272</v>
      </c>
      <c r="L13" s="574"/>
      <c r="M13" s="574"/>
      <c r="N13" s="575"/>
      <c r="O13" s="672">
        <v>1710477</v>
      </c>
      <c r="P13" s="534">
        <v>1740813</v>
      </c>
      <c r="Q13" s="717">
        <v>-1.7</v>
      </c>
      <c r="R13" s="484"/>
      <c r="S13" s="97"/>
    </row>
    <row r="14" spans="1:19" s="94" customFormat="1" ht="12" customHeight="1">
      <c r="A14" s="252"/>
      <c r="B14" s="576"/>
      <c r="C14" s="577"/>
      <c r="D14" s="577"/>
      <c r="E14" s="578"/>
      <c r="F14" s="673"/>
      <c r="G14" s="677"/>
      <c r="H14" s="678"/>
      <c r="I14" s="682"/>
      <c r="J14" s="478"/>
      <c r="K14" s="594"/>
      <c r="L14" s="577"/>
      <c r="M14" s="577"/>
      <c r="N14" s="578"/>
      <c r="O14" s="715"/>
      <c r="P14" s="683"/>
      <c r="Q14" s="718"/>
      <c r="R14" s="477"/>
      <c r="S14" s="97"/>
    </row>
    <row r="15" spans="1:19" s="94" customFormat="1" ht="12" customHeight="1">
      <c r="A15" s="252" t="s">
        <v>0</v>
      </c>
      <c r="B15" s="576"/>
      <c r="C15" s="577"/>
      <c r="D15" s="577"/>
      <c r="E15" s="578"/>
      <c r="F15" s="673"/>
      <c r="G15" s="677"/>
      <c r="H15" s="678"/>
      <c r="I15" s="719">
        <v>-29774</v>
      </c>
      <c r="J15" s="476"/>
      <c r="K15" s="594"/>
      <c r="L15" s="577"/>
      <c r="M15" s="577"/>
      <c r="N15" s="578"/>
      <c r="O15" s="715"/>
      <c r="P15" s="683"/>
      <c r="Q15" s="719">
        <v>-30336</v>
      </c>
      <c r="R15" s="477"/>
      <c r="S15" s="97"/>
    </row>
    <row r="16" spans="1:19" s="94" customFormat="1" ht="12" customHeight="1">
      <c r="A16" s="252"/>
      <c r="B16" s="579"/>
      <c r="C16" s="580"/>
      <c r="D16" s="580"/>
      <c r="E16" s="581"/>
      <c r="F16" s="674"/>
      <c r="G16" s="679"/>
      <c r="H16" s="680"/>
      <c r="I16" s="720"/>
      <c r="J16" s="479"/>
      <c r="K16" s="595"/>
      <c r="L16" s="580"/>
      <c r="M16" s="580"/>
      <c r="N16" s="581"/>
      <c r="O16" s="716"/>
      <c r="P16" s="684"/>
      <c r="Q16" s="720"/>
      <c r="R16" s="480"/>
      <c r="S16" s="97"/>
    </row>
    <row r="17" spans="1:19" s="94" customFormat="1" ht="54.75" customHeight="1">
      <c r="A17" s="252"/>
      <c r="B17" s="485" t="s">
        <v>409</v>
      </c>
      <c r="C17" s="486"/>
      <c r="D17" s="486"/>
      <c r="E17" s="486"/>
      <c r="F17" s="486"/>
      <c r="G17" s="486"/>
      <c r="H17" s="486"/>
      <c r="I17" s="486"/>
      <c r="J17" s="486"/>
      <c r="K17" s="486"/>
      <c r="L17" s="486"/>
      <c r="M17" s="486"/>
      <c r="N17" s="486"/>
      <c r="O17" s="486"/>
      <c r="P17" s="486"/>
      <c r="Q17" s="486"/>
      <c r="R17" s="486"/>
      <c r="S17" s="102"/>
    </row>
    <row r="18" spans="1:19" s="491" customFormat="1" ht="12" customHeight="1">
      <c r="A18" s="487"/>
      <c r="B18" s="692" t="s">
        <v>408</v>
      </c>
      <c r="C18" s="693"/>
      <c r="D18" s="693"/>
      <c r="E18" s="694"/>
      <c r="F18" s="701">
        <v>1720676</v>
      </c>
      <c r="G18" s="704">
        <v>1751687</v>
      </c>
      <c r="H18" s="705"/>
      <c r="I18" s="710">
        <v>-1.8</v>
      </c>
      <c r="J18" s="488"/>
      <c r="K18" s="712" t="s">
        <v>406</v>
      </c>
      <c r="L18" s="693"/>
      <c r="M18" s="693"/>
      <c r="N18" s="694"/>
      <c r="O18" s="701">
        <v>1718605</v>
      </c>
      <c r="P18" s="723">
        <v>1750324</v>
      </c>
      <c r="Q18" s="726">
        <v>-1.8</v>
      </c>
      <c r="R18" s="489"/>
      <c r="S18" s="490"/>
    </row>
    <row r="19" spans="1:19" s="491" customFormat="1" ht="12" customHeight="1">
      <c r="A19" s="487"/>
      <c r="B19" s="695"/>
      <c r="C19" s="696"/>
      <c r="D19" s="696"/>
      <c r="E19" s="697"/>
      <c r="F19" s="702"/>
      <c r="G19" s="706"/>
      <c r="H19" s="707"/>
      <c r="I19" s="711"/>
      <c r="J19" s="492"/>
      <c r="K19" s="713"/>
      <c r="L19" s="696"/>
      <c r="M19" s="696"/>
      <c r="N19" s="697"/>
      <c r="O19" s="721"/>
      <c r="P19" s="724"/>
      <c r="Q19" s="727"/>
      <c r="R19" s="493"/>
      <c r="S19" s="490"/>
    </row>
    <row r="20" spans="1:19" s="491" customFormat="1" ht="12" customHeight="1">
      <c r="A20" s="487" t="s">
        <v>0</v>
      </c>
      <c r="B20" s="695"/>
      <c r="C20" s="696"/>
      <c r="D20" s="696"/>
      <c r="E20" s="697"/>
      <c r="F20" s="702"/>
      <c r="G20" s="706"/>
      <c r="H20" s="707"/>
      <c r="I20" s="728">
        <v>-31011</v>
      </c>
      <c r="J20" s="494"/>
      <c r="K20" s="713"/>
      <c r="L20" s="696"/>
      <c r="M20" s="696"/>
      <c r="N20" s="697"/>
      <c r="O20" s="721"/>
      <c r="P20" s="724"/>
      <c r="Q20" s="728">
        <v>-31719</v>
      </c>
      <c r="R20" s="493"/>
      <c r="S20" s="490"/>
    </row>
    <row r="21" spans="1:19" s="491" customFormat="1" ht="12" customHeight="1">
      <c r="A21" s="487"/>
      <c r="B21" s="698"/>
      <c r="C21" s="699"/>
      <c r="D21" s="699"/>
      <c r="E21" s="700"/>
      <c r="F21" s="703"/>
      <c r="G21" s="708"/>
      <c r="H21" s="709"/>
      <c r="I21" s="729"/>
      <c r="J21" s="495"/>
      <c r="K21" s="714"/>
      <c r="L21" s="699"/>
      <c r="M21" s="699"/>
      <c r="N21" s="700"/>
      <c r="O21" s="722"/>
      <c r="P21" s="725"/>
      <c r="Q21" s="729"/>
      <c r="R21" s="496"/>
      <c r="S21" s="490"/>
    </row>
  </sheetData>
  <mergeCells count="39">
    <mergeCell ref="O18:O21"/>
    <mergeCell ref="P18:P21"/>
    <mergeCell ref="Q18:Q19"/>
    <mergeCell ref="I20:I21"/>
    <mergeCell ref="Q20:Q21"/>
    <mergeCell ref="O13:O16"/>
    <mergeCell ref="P13:P16"/>
    <mergeCell ref="Q13:Q14"/>
    <mergeCell ref="I15:I16"/>
    <mergeCell ref="Q15:Q16"/>
    <mergeCell ref="B18:E21"/>
    <mergeCell ref="F18:F21"/>
    <mergeCell ref="G18:H21"/>
    <mergeCell ref="I18:I19"/>
    <mergeCell ref="K18:N21"/>
    <mergeCell ref="P6:P9"/>
    <mergeCell ref="Q6:Q7"/>
    <mergeCell ref="I8:I9"/>
    <mergeCell ref="Q8:Q9"/>
    <mergeCell ref="B10:R10"/>
    <mergeCell ref="B6:E9"/>
    <mergeCell ref="F6:F9"/>
    <mergeCell ref="G6:H9"/>
    <mergeCell ref="I6:I7"/>
    <mergeCell ref="K6:N9"/>
    <mergeCell ref="O6:O9"/>
    <mergeCell ref="B13:E16"/>
    <mergeCell ref="F13:F16"/>
    <mergeCell ref="G13:H16"/>
    <mergeCell ref="I13:I14"/>
    <mergeCell ref="K13:N16"/>
    <mergeCell ref="G5:H5"/>
    <mergeCell ref="I5:J5"/>
    <mergeCell ref="Q5:R5"/>
    <mergeCell ref="O1:P1"/>
    <mergeCell ref="F4:H4"/>
    <mergeCell ref="I4:J4"/>
    <mergeCell ref="O4:P4"/>
    <mergeCell ref="Q4:R4"/>
  </mergeCells>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17</vt:i4>
      </vt:variant>
      <vt:variant>
        <vt:lpstr>グラフ</vt:lpstr>
      </vt:variant>
      <vt:variant>
        <vt:i4>3</vt:i4>
      </vt:variant>
      <vt:variant>
        <vt:lpstr>名前付き一覧</vt:lpstr>
      </vt:variant>
      <vt:variant>
        <vt:i4>9</vt:i4>
      </vt:variant>
    </vt:vector>
  </HeadingPairs>
  <TitlesOfParts>
    <vt:vector size="29" baseType="lpstr">
      <vt:lpstr>表紙</vt:lpstr>
      <vt:lpstr>頁１</vt:lpstr>
      <vt:lpstr>頁２・３・５・７</vt:lpstr>
      <vt:lpstr>頁７データ</vt:lpstr>
      <vt:lpstr>頁４データ</vt:lpstr>
      <vt:lpstr>頁６データ</vt:lpstr>
      <vt:lpstr>頁6データ (カメラ)</vt:lpstr>
      <vt:lpstr>頁８</vt:lpstr>
      <vt:lpstr>カメラ</vt:lpstr>
      <vt:lpstr>頁９</vt:lpstr>
      <vt:lpstr>ﾘﾝｸ資料</vt:lpstr>
      <vt:lpstr>リンク資料②</vt:lpstr>
      <vt:lpstr>頁10</vt:lpstr>
      <vt:lpstr>ＢＤ</vt:lpstr>
      <vt:lpstr>頁11</vt:lpstr>
      <vt:lpstr>頁12データ</vt:lpstr>
      <vt:lpstr>頁13</vt:lpstr>
      <vt:lpstr>頁４</vt:lpstr>
      <vt:lpstr>頁６</vt:lpstr>
      <vt:lpstr>頁12</vt:lpstr>
      <vt:lpstr>頁１!Print_Area</vt:lpstr>
      <vt:lpstr>頁10!Print_Area</vt:lpstr>
      <vt:lpstr>頁11!Print_Area</vt:lpstr>
      <vt:lpstr>頁13!Print_Area</vt:lpstr>
      <vt:lpstr>頁２・３・５・７!Print_Area</vt:lpstr>
      <vt:lpstr>頁４データ!Print_Area</vt:lpstr>
      <vt:lpstr>'頁6データ (カメラ)'!Print_Area</vt:lpstr>
      <vt:lpstr>頁８!Print_Area</vt:lpstr>
      <vt:lpstr>頁９!Print_Area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2019-08-30T08:25:38Z</cp:lastPrinted>
  <dcterms:created xsi:type="dcterms:W3CDTF">2002-07-02T08:14:42Z</dcterms:created>
  <dcterms:modified xsi:type="dcterms:W3CDTF">2019-09-09T05:03:00Z</dcterms:modified>
</cp:coreProperties>
</file>