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0305" yWindow="-15" windowWidth="10230" windowHeight="8100" tabRatio="814"/>
  </bookViews>
  <sheets>
    <sheet name="表紙" sheetId="28" r:id="rId1"/>
    <sheet name="頁１" sheetId="52" r:id="rId2"/>
    <sheet name="頁２・３・５・７" sheetId="29" r:id="rId3"/>
    <sheet name="頁７データ（収支）" sheetId="31" state="hidden" r:id="rId4"/>
    <sheet name="頁４" sheetId="36" r:id="rId5"/>
    <sheet name="頁４データ" sheetId="37" state="hidden" r:id="rId6"/>
    <sheet name="頁６" sheetId="40" r:id="rId7"/>
    <sheet name="頁６データ" sheetId="41" state="hidden" r:id="rId8"/>
    <sheet name="頁6データ (2)" sheetId="42" state="hidden" r:id="rId9"/>
    <sheet name="頁8" sheetId="5" r:id="rId10"/>
    <sheet name="頁9" sheetId="53" r:id="rId11"/>
    <sheet name="頁10" sheetId="58" r:id="rId12"/>
    <sheet name="ＢＤ" sheetId="59" state="hidden" r:id="rId13"/>
    <sheet name="頁11" sheetId="43" r:id="rId14"/>
    <sheet name="頁１１データ" sheetId="44" state="hidden" r:id="rId15"/>
    <sheet name="頁12" sheetId="8" r:id="rId16"/>
    <sheet name="頁9データ" sheetId="54" state="hidden" r:id="rId17"/>
    <sheet name="頁9データ（２）" sheetId="55" state="hidden" r:id="rId18"/>
  </sheets>
  <externalReferences>
    <externalReference r:id="rId19"/>
    <externalReference r:id="rId20"/>
  </externalReferences>
  <definedNames>
    <definedName name="_xlnm.Print_Area" localSheetId="1">頁１!$A$1:$S$49</definedName>
    <definedName name="_xlnm.Print_Area" localSheetId="11">頁10!$A$1:$AF$66</definedName>
    <definedName name="_xlnm.Print_Area" localSheetId="14">頁１１データ!$A$1:$W$20</definedName>
    <definedName name="_xlnm.Print_Area" localSheetId="15">頁12!$A$1:$K$51</definedName>
    <definedName name="_xlnm.Print_Area" localSheetId="2">頁２・３・５・７!$A$1:$K$156</definedName>
    <definedName name="_xlnm.Print_Area" localSheetId="5">頁４データ!$A$1:$X$97</definedName>
    <definedName name="_xlnm.Print_Area" localSheetId="7">頁６データ!$A$1:$V$101</definedName>
    <definedName name="_xlnm.Print_Area" localSheetId="8">'頁6データ (2)'!$A$1:$P$25</definedName>
    <definedName name="_xlnm.Print_Area" localSheetId="3">'頁７データ（収支）'!$A$1:$H$42</definedName>
    <definedName name="_xlnm.Print_Area" localSheetId="9">頁8!$A$1:$N$40</definedName>
    <definedName name="_xlnm.Print_Area" localSheetId="10">頁9!$A$1:$I$55</definedName>
  </definedNames>
  <calcPr calcId="152511"/>
</workbook>
</file>

<file path=xl/calcChain.xml><?xml version="1.0" encoding="utf-8"?>
<calcChain xmlns="http://schemas.openxmlformats.org/spreadsheetml/2006/main">
  <c r="B14" i="59" l="1"/>
  <c r="C14" i="59"/>
  <c r="D14" i="59"/>
  <c r="E14" i="59"/>
  <c r="F14" i="59"/>
  <c r="B15" i="59"/>
  <c r="C15" i="59"/>
  <c r="D15" i="59"/>
  <c r="E15" i="59"/>
  <c r="F15" i="59"/>
  <c r="B16" i="59"/>
  <c r="C16" i="59"/>
  <c r="D16" i="59"/>
  <c r="E16" i="59"/>
  <c r="F16" i="59"/>
  <c r="B17" i="59"/>
  <c r="C17" i="59"/>
  <c r="D17" i="59"/>
  <c r="E17" i="59"/>
  <c r="F17" i="59"/>
  <c r="B18" i="59"/>
  <c r="C18" i="59"/>
  <c r="D18" i="59"/>
  <c r="E18" i="59"/>
  <c r="F18" i="59"/>
  <c r="B19" i="59"/>
  <c r="C19" i="59"/>
  <c r="D19" i="59"/>
  <c r="E19" i="59"/>
  <c r="F19" i="59"/>
  <c r="B20" i="59"/>
  <c r="C20" i="59"/>
  <c r="D20" i="59"/>
  <c r="E20" i="59"/>
  <c r="F20" i="59"/>
  <c r="B21" i="59"/>
  <c r="C21" i="59"/>
  <c r="D21" i="59"/>
  <c r="E21" i="59"/>
  <c r="F21" i="59"/>
  <c r="B22" i="59"/>
  <c r="C22" i="59"/>
  <c r="D22" i="59"/>
  <c r="E22" i="59"/>
  <c r="F22" i="59"/>
  <c r="B23" i="59"/>
  <c r="C23" i="59"/>
  <c r="D23" i="59"/>
  <c r="E23" i="59"/>
  <c r="F23" i="59"/>
  <c r="B24" i="59"/>
  <c r="C24" i="59"/>
  <c r="G24" i="59" s="1"/>
  <c r="D24" i="59"/>
  <c r="E24" i="59"/>
  <c r="B25" i="59"/>
  <c r="G25" i="59" s="1"/>
  <c r="C25" i="59"/>
  <c r="D25" i="59"/>
  <c r="F27" i="59"/>
  <c r="G27" i="59"/>
  <c r="B28" i="59"/>
  <c r="C28" i="59"/>
  <c r="D28" i="59"/>
  <c r="G28" i="59" s="1"/>
  <c r="E28" i="59"/>
  <c r="F28" i="59"/>
  <c r="B29" i="59"/>
  <c r="C29" i="59"/>
  <c r="D29" i="59"/>
  <c r="E29" i="59"/>
  <c r="F29" i="59"/>
  <c r="B30" i="59"/>
  <c r="G30" i="59" s="1"/>
  <c r="C30" i="59"/>
  <c r="D30" i="59"/>
  <c r="E30" i="59"/>
  <c r="F30" i="59"/>
  <c r="B31" i="59"/>
  <c r="C31" i="59"/>
  <c r="D31" i="59"/>
  <c r="G31" i="59" s="1"/>
  <c r="E31" i="59"/>
  <c r="F31" i="59"/>
  <c r="B32" i="59"/>
  <c r="C32" i="59"/>
  <c r="G32" i="59" s="1"/>
  <c r="D32" i="59"/>
  <c r="E32" i="59"/>
  <c r="B38" i="59"/>
  <c r="C38" i="59"/>
  <c r="D38" i="59"/>
  <c r="E38" i="59"/>
  <c r="F38" i="59"/>
  <c r="B39" i="59"/>
  <c r="C39" i="59"/>
  <c r="D39" i="59"/>
  <c r="E39" i="59"/>
  <c r="F39" i="59"/>
  <c r="G39" i="59" l="1"/>
  <c r="G22" i="59"/>
  <c r="G18" i="59"/>
  <c r="G14" i="59"/>
  <c r="G23" i="59"/>
  <c r="G19" i="59"/>
  <c r="G15" i="59"/>
  <c r="G20" i="59"/>
  <c r="G16" i="59"/>
  <c r="G38" i="59"/>
  <c r="G29" i="59"/>
  <c r="G21" i="59"/>
  <c r="G17" i="59"/>
  <c r="H13" i="54" l="1"/>
  <c r="G13" i="54"/>
  <c r="F13" i="54"/>
  <c r="E13" i="54"/>
  <c r="D13" i="54"/>
  <c r="C13" i="54"/>
  <c r="B13" i="54"/>
  <c r="G6" i="54"/>
  <c r="E6" i="54"/>
  <c r="D6" i="54"/>
  <c r="C6" i="54"/>
  <c r="B6" i="54"/>
  <c r="Q32" i="52" l="1"/>
  <c r="I32" i="52"/>
  <c r="Q30" i="52"/>
  <c r="I30" i="52"/>
  <c r="Q28" i="52"/>
  <c r="I28" i="52"/>
  <c r="Q26" i="52"/>
  <c r="I26" i="52"/>
  <c r="Q25" i="52"/>
  <c r="I25" i="52"/>
  <c r="Q24" i="52"/>
  <c r="I24" i="52"/>
  <c r="Q23" i="52"/>
  <c r="I23" i="52"/>
  <c r="Q22" i="52"/>
  <c r="I22" i="52"/>
  <c r="Q21" i="52"/>
  <c r="I21" i="52"/>
  <c r="Q20" i="52"/>
  <c r="I20" i="52"/>
  <c r="Q19" i="52"/>
  <c r="I19" i="52"/>
  <c r="Q18" i="52"/>
  <c r="I18" i="52"/>
  <c r="Q17" i="52"/>
  <c r="I17" i="52"/>
  <c r="Q16" i="52"/>
  <c r="I16" i="52"/>
  <c r="Q15" i="52"/>
  <c r="I15" i="52"/>
  <c r="Q14" i="52"/>
  <c r="I14" i="52"/>
  <c r="Q13" i="52"/>
  <c r="I13" i="52"/>
  <c r="Q12" i="52"/>
  <c r="I12" i="52"/>
  <c r="Q11" i="52"/>
  <c r="I11" i="52"/>
  <c r="Q10" i="52"/>
  <c r="I10" i="52"/>
  <c r="Q8" i="52"/>
  <c r="I8" i="52"/>
  <c r="Q6" i="52"/>
  <c r="I6" i="52"/>
  <c r="P5" i="52"/>
  <c r="O5" i="52"/>
  <c r="W20" i="44" l="1"/>
  <c r="W19" i="44"/>
  <c r="W18" i="44"/>
  <c r="W17" i="44"/>
  <c r="W16" i="44"/>
  <c r="W15" i="44"/>
  <c r="W14" i="44"/>
  <c r="L38" i="5"/>
  <c r="I38" i="5"/>
  <c r="O6" i="42"/>
  <c r="N14" i="42"/>
  <c r="M14" i="42"/>
  <c r="L14" i="42"/>
  <c r="N6" i="42"/>
  <c r="M6" i="42"/>
  <c r="L6" i="42"/>
  <c r="N5" i="42"/>
  <c r="N7" i="42" s="1"/>
  <c r="M5" i="42"/>
  <c r="L5" i="42"/>
  <c r="M7" i="42" l="1"/>
  <c r="L7" i="42"/>
  <c r="I85" i="41" l="1"/>
  <c r="I96" i="41" s="1"/>
  <c r="H84" i="41"/>
  <c r="H95" i="41" s="1"/>
  <c r="H87" i="41"/>
  <c r="H98" i="41" s="1"/>
  <c r="H86" i="41"/>
  <c r="F70" i="41"/>
  <c r="H67" i="41"/>
  <c r="G66" i="41"/>
  <c r="F65" i="41"/>
  <c r="H63" i="41"/>
  <c r="G62" i="41"/>
  <c r="I57" i="41"/>
  <c r="I54" i="41"/>
  <c r="I53" i="41"/>
  <c r="I52" i="41"/>
  <c r="I51" i="41"/>
  <c r="I50" i="41"/>
  <c r="I63" i="41" s="1"/>
  <c r="I49" i="41"/>
  <c r="H57" i="41"/>
  <c r="H70" i="41" s="1"/>
  <c r="H54" i="41"/>
  <c r="H53" i="41"/>
  <c r="H66" i="41" s="1"/>
  <c r="H52" i="41"/>
  <c r="H65" i="41" s="1"/>
  <c r="H50" i="41"/>
  <c r="H49" i="41"/>
  <c r="H83" i="41" s="1"/>
  <c r="H94" i="41" s="1"/>
  <c r="G49" i="41"/>
  <c r="G50" i="41"/>
  <c r="G84" i="41" s="1"/>
  <c r="G95" i="41" s="1"/>
  <c r="G52" i="41"/>
  <c r="G86" i="41" s="1"/>
  <c r="G97" i="41" s="1"/>
  <c r="G53" i="41"/>
  <c r="G54" i="41"/>
  <c r="G87" i="41" s="1"/>
  <c r="G98" i="41" s="1"/>
  <c r="G57" i="41"/>
  <c r="G83" i="41" s="1"/>
  <c r="G94" i="41" s="1"/>
  <c r="F57" i="41"/>
  <c r="F54" i="41"/>
  <c r="F87" i="41" s="1"/>
  <c r="F98" i="41" s="1"/>
  <c r="F53" i="41"/>
  <c r="F66" i="41" s="1"/>
  <c r="F52" i="41"/>
  <c r="F86" i="41" s="1"/>
  <c r="F97" i="41" s="1"/>
  <c r="F50" i="41"/>
  <c r="F84" i="41" s="1"/>
  <c r="F95" i="41" s="1"/>
  <c r="F49" i="41"/>
  <c r="F83" i="41" s="1"/>
  <c r="V30" i="41"/>
  <c r="V42" i="41" s="1"/>
  <c r="V41" i="41" s="1"/>
  <c r="V29" i="41"/>
  <c r="V40" i="41" s="1"/>
  <c r="V28" i="41"/>
  <c r="V39" i="41" s="1"/>
  <c r="V27" i="41"/>
  <c r="V38" i="41" s="1"/>
  <c r="V26" i="41"/>
  <c r="V37" i="41" s="1"/>
  <c r="V11" i="41"/>
  <c r="V32" i="41" s="1"/>
  <c r="V44" i="41" s="1"/>
  <c r="F94" i="41" l="1"/>
  <c r="H62" i="41"/>
  <c r="G65" i="41"/>
  <c r="G70" i="41"/>
  <c r="F63" i="41"/>
  <c r="F67" i="41"/>
  <c r="H97" i="41"/>
  <c r="F62" i="41"/>
  <c r="G63" i="41"/>
  <c r="G67" i="41"/>
  <c r="I56" i="41"/>
  <c r="I69" i="41" s="1"/>
  <c r="V13" i="41"/>
  <c r="V33" i="41"/>
  <c r="V45" i="41"/>
  <c r="N40" i="37"/>
  <c r="N11" i="37"/>
  <c r="N18" i="37"/>
  <c r="N22" i="37"/>
  <c r="N31" i="37" s="1"/>
  <c r="N23" i="37"/>
  <c r="N32" i="37" s="1"/>
  <c r="N24" i="37"/>
  <c r="N25" i="37"/>
  <c r="N26" i="37"/>
  <c r="N33" i="37"/>
  <c r="N34" i="37"/>
  <c r="N35" i="37"/>
  <c r="M45" i="37"/>
  <c r="M54" i="37" s="1"/>
  <c r="M44" i="37"/>
  <c r="M79" i="37" s="1"/>
  <c r="M88" i="37" s="1"/>
  <c r="M43" i="37"/>
  <c r="M78" i="37" s="1"/>
  <c r="M87" i="37" s="1"/>
  <c r="M42" i="37"/>
  <c r="M77" i="37" s="1"/>
  <c r="M86" i="37" s="1"/>
  <c r="M41" i="37"/>
  <c r="M76" i="37" s="1"/>
  <c r="M85" i="37" s="1"/>
  <c r="M40" i="37"/>
  <c r="M49" i="37" s="1"/>
  <c r="V26" i="37"/>
  <c r="V35" i="37" s="1"/>
  <c r="V25" i="37"/>
  <c r="V34" i="37" s="1"/>
  <c r="V24" i="37"/>
  <c r="V33" i="37" s="1"/>
  <c r="V23" i="37"/>
  <c r="V32" i="37" s="1"/>
  <c r="V22" i="37"/>
  <c r="V17" i="37"/>
  <c r="M60" i="37" s="1"/>
  <c r="V16" i="37"/>
  <c r="M59" i="37" s="1"/>
  <c r="V15" i="37"/>
  <c r="M58" i="37" s="1"/>
  <c r="V11" i="37"/>
  <c r="N36" i="37" l="1"/>
  <c r="N27" i="37"/>
  <c r="M52" i="37"/>
  <c r="M67" i="37" s="1"/>
  <c r="M53" i="37"/>
  <c r="M68" i="37" s="1"/>
  <c r="M75" i="37"/>
  <c r="M84" i="37" s="1"/>
  <c r="V27" i="37"/>
  <c r="M61" i="37"/>
  <c r="M70" i="37" s="1"/>
  <c r="V18" i="37"/>
  <c r="M89" i="37"/>
  <c r="M50" i="37"/>
  <c r="M46" i="37"/>
  <c r="M51" i="37"/>
  <c r="M66" i="37" s="1"/>
  <c r="V31" i="37"/>
  <c r="V36" i="37" s="1"/>
  <c r="E6" i="31"/>
  <c r="G6" i="31" s="1"/>
  <c r="M69" i="37" l="1"/>
  <c r="M71" i="37" s="1"/>
  <c r="M80" i="37"/>
  <c r="I65" i="41" l="1"/>
  <c r="I37" i="5" l="1"/>
  <c r="L37" i="5" s="1"/>
  <c r="V20" i="44"/>
  <c r="V19" i="44"/>
  <c r="V18" i="44"/>
  <c r="V17" i="44"/>
  <c r="V16" i="44"/>
  <c r="V15" i="44"/>
  <c r="V14" i="44"/>
  <c r="U7" i="41" l="1"/>
  <c r="H51" i="41" l="1"/>
  <c r="U11" i="41"/>
  <c r="H56" i="41" s="1"/>
  <c r="U30" i="41"/>
  <c r="U42" i="41" s="1"/>
  <c r="U41" i="41" s="1"/>
  <c r="U29" i="41"/>
  <c r="U40" i="41" s="1"/>
  <c r="U27" i="41"/>
  <c r="U38" i="41" s="1"/>
  <c r="U26" i="41"/>
  <c r="U37" i="41" s="1"/>
  <c r="U32" i="41"/>
  <c r="U44" i="41" s="1"/>
  <c r="U13" i="41"/>
  <c r="H89" i="41" l="1"/>
  <c r="H100" i="41" s="1"/>
  <c r="H69" i="41"/>
  <c r="H64" i="41"/>
  <c r="H85" i="41"/>
  <c r="U28" i="41"/>
  <c r="U39" i="41" s="1"/>
  <c r="U45" i="41" s="1"/>
  <c r="H96" i="41" l="1"/>
  <c r="H101" i="41" s="1"/>
  <c r="H90" i="41"/>
  <c r="U33" i="41"/>
  <c r="K40" i="37" l="1"/>
  <c r="K75" i="37" s="1"/>
  <c r="L40" i="37"/>
  <c r="L75" i="37" s="1"/>
  <c r="K41" i="37"/>
  <c r="L41" i="37"/>
  <c r="L76" i="37" s="1"/>
  <c r="N41" i="37"/>
  <c r="N76" i="37" s="1"/>
  <c r="K42" i="37"/>
  <c r="L42" i="37"/>
  <c r="N42" i="37"/>
  <c r="N51" i="37" s="1"/>
  <c r="N66" i="37" s="1"/>
  <c r="K43" i="37"/>
  <c r="K78" i="37" s="1"/>
  <c r="L43" i="37"/>
  <c r="L78" i="37" s="1"/>
  <c r="N43" i="37"/>
  <c r="N78" i="37" s="1"/>
  <c r="K44" i="37"/>
  <c r="K79" i="37" s="1"/>
  <c r="L44" i="37"/>
  <c r="L79" i="37" s="1"/>
  <c r="N44" i="37"/>
  <c r="K45" i="37"/>
  <c r="L45" i="37"/>
  <c r="N45" i="37"/>
  <c r="N54" i="37" s="1"/>
  <c r="W11" i="37"/>
  <c r="W26" i="37"/>
  <c r="W35" i="37" s="1"/>
  <c r="W25" i="37"/>
  <c r="W34" i="37" s="1"/>
  <c r="W24" i="37"/>
  <c r="W33" i="37" s="1"/>
  <c r="W23" i="37"/>
  <c r="W32" i="37" s="1"/>
  <c r="W22" i="37"/>
  <c r="W17" i="37"/>
  <c r="N60" i="37" s="1"/>
  <c r="W16" i="37"/>
  <c r="N59" i="37" s="1"/>
  <c r="W15" i="37"/>
  <c r="N58" i="37" s="1"/>
  <c r="L77" i="37" l="1"/>
  <c r="L86" i="37" s="1"/>
  <c r="L51" i="37"/>
  <c r="L66" i="37" s="1"/>
  <c r="K50" i="37"/>
  <c r="K76" i="37"/>
  <c r="N79" i="37"/>
  <c r="N53" i="37"/>
  <c r="K51" i="37"/>
  <c r="K66" i="37" s="1"/>
  <c r="K77" i="37"/>
  <c r="K86" i="37" s="1"/>
  <c r="N49" i="37"/>
  <c r="N75" i="37"/>
  <c r="N77" i="37"/>
  <c r="W18" i="37"/>
  <c r="W27" i="37"/>
  <c r="W31" i="37"/>
  <c r="W36" i="37"/>
  <c r="I64" i="41" l="1"/>
  <c r="I70" i="41" l="1"/>
  <c r="N86" i="37"/>
  <c r="T20" i="44" l="1"/>
  <c r="T19" i="44"/>
  <c r="T18" i="44"/>
  <c r="T17" i="44"/>
  <c r="T16" i="44"/>
  <c r="T15" i="44"/>
  <c r="T14" i="44"/>
  <c r="I36" i="5" l="1"/>
  <c r="L36" i="5" s="1"/>
  <c r="E94" i="41" l="1"/>
  <c r="D96" i="41"/>
  <c r="E97" i="41"/>
  <c r="C99" i="41"/>
  <c r="D100" i="41"/>
  <c r="I87" i="41"/>
  <c r="I98" i="41" s="1"/>
  <c r="I84" i="41"/>
  <c r="I95" i="41" s="1"/>
  <c r="I83" i="41"/>
  <c r="C83" i="41"/>
  <c r="C94" i="41" s="1"/>
  <c r="D83" i="41"/>
  <c r="D94" i="41" s="1"/>
  <c r="E83" i="41"/>
  <c r="E90" i="41" s="1"/>
  <c r="C84" i="41"/>
  <c r="C95" i="41" s="1"/>
  <c r="D84" i="41"/>
  <c r="D95" i="41" s="1"/>
  <c r="E84" i="41"/>
  <c r="E95" i="41" s="1"/>
  <c r="C85" i="41"/>
  <c r="C96" i="41" s="1"/>
  <c r="D85" i="41"/>
  <c r="E85" i="41"/>
  <c r="E96" i="41" s="1"/>
  <c r="C86" i="41"/>
  <c r="C97" i="41" s="1"/>
  <c r="D86" i="41"/>
  <c r="D97" i="41" s="1"/>
  <c r="E86" i="41"/>
  <c r="I86" i="41"/>
  <c r="I97" i="41" s="1"/>
  <c r="C87" i="41"/>
  <c r="C98" i="41" s="1"/>
  <c r="D87" i="41"/>
  <c r="D98" i="41" s="1"/>
  <c r="E87" i="41"/>
  <c r="E98" i="41" s="1"/>
  <c r="C88" i="41"/>
  <c r="D88" i="41"/>
  <c r="D99" i="41" s="1"/>
  <c r="E88" i="41"/>
  <c r="E99" i="41" s="1"/>
  <c r="C89" i="41"/>
  <c r="C100" i="41" s="1"/>
  <c r="D89" i="41"/>
  <c r="E89" i="41"/>
  <c r="E100" i="41" s="1"/>
  <c r="I89" i="41"/>
  <c r="I100" i="41" s="1"/>
  <c r="B83" i="41"/>
  <c r="B94" i="41" s="1"/>
  <c r="B77" i="41"/>
  <c r="H79" i="41" s="1"/>
  <c r="C77" i="41"/>
  <c r="C79" i="41" s="1"/>
  <c r="D77" i="41"/>
  <c r="E77" i="41"/>
  <c r="F77" i="41"/>
  <c r="F79" i="41" s="1"/>
  <c r="G77" i="41"/>
  <c r="H77" i="41"/>
  <c r="D101" i="41" l="1"/>
  <c r="C101" i="41"/>
  <c r="E101" i="41"/>
  <c r="G79" i="41"/>
  <c r="E79" i="41"/>
  <c r="D79" i="41"/>
  <c r="D90" i="41"/>
  <c r="C90" i="41"/>
  <c r="I90" i="41"/>
  <c r="I94" i="41"/>
  <c r="I101" i="41" s="1"/>
  <c r="O14" i="42" l="1"/>
  <c r="M10" i="42"/>
  <c r="N10" i="42"/>
  <c r="O10" i="42"/>
  <c r="L10" i="42"/>
  <c r="O7" i="42"/>
  <c r="C7" i="42" l="1"/>
  <c r="H58" i="41"/>
  <c r="I58" i="41"/>
  <c r="T7" i="41"/>
  <c r="G51" i="41" s="1"/>
  <c r="G64" i="41" l="1"/>
  <c r="G85" i="41"/>
  <c r="T39" i="41"/>
  <c r="T38" i="41"/>
  <c r="T30" i="41"/>
  <c r="T42" i="41" s="1"/>
  <c r="T41" i="41" s="1"/>
  <c r="T29" i="41"/>
  <c r="T40" i="41" s="1"/>
  <c r="T28" i="41"/>
  <c r="T27" i="41"/>
  <c r="T26" i="41"/>
  <c r="T37" i="41" s="1"/>
  <c r="T11" i="41"/>
  <c r="G56" i="41" s="1"/>
  <c r="G89" i="41" l="1"/>
  <c r="G100" i="41" s="1"/>
  <c r="G69" i="41"/>
  <c r="G58" i="41"/>
  <c r="T32" i="41"/>
  <c r="T44" i="41" s="1"/>
  <c r="T45" i="41" s="1"/>
  <c r="G90" i="41"/>
  <c r="G96" i="41"/>
  <c r="G101" i="41" s="1"/>
  <c r="T33" i="41"/>
  <c r="T13" i="41"/>
  <c r="N88" i="37" l="1"/>
  <c r="N87" i="37"/>
  <c r="N85" i="37"/>
  <c r="N84" i="37"/>
  <c r="N46" i="37"/>
  <c r="J45" i="37"/>
  <c r="N89" i="37" l="1"/>
  <c r="N80" i="37"/>
  <c r="N61" i="37"/>
  <c r="N70" i="37" s="1"/>
  <c r="L53" i="37" l="1"/>
  <c r="L68" i="37" s="1"/>
  <c r="K53" i="37"/>
  <c r="K68" i="37" s="1"/>
  <c r="L52" i="37"/>
  <c r="L67" i="37" s="1"/>
  <c r="K52" i="37"/>
  <c r="K67" i="37" s="1"/>
  <c r="L50" i="37"/>
  <c r="L49" i="37"/>
  <c r="K49" i="37"/>
  <c r="U26" i="37"/>
  <c r="U35" i="37" s="1"/>
  <c r="U25" i="37"/>
  <c r="U34" i="37" s="1"/>
  <c r="U24" i="37"/>
  <c r="U33" i="37" s="1"/>
  <c r="U23" i="37"/>
  <c r="U32" i="37" s="1"/>
  <c r="U22" i="37"/>
  <c r="U31" i="37" s="1"/>
  <c r="U17" i="37"/>
  <c r="L60" i="37" s="1"/>
  <c r="U16" i="37"/>
  <c r="L59" i="37" s="1"/>
  <c r="U15" i="37"/>
  <c r="L58" i="37" s="1"/>
  <c r="T16" i="37"/>
  <c r="K59" i="37" s="1"/>
  <c r="U11" i="37"/>
  <c r="T11" i="37"/>
  <c r="L69" i="37" l="1"/>
  <c r="U18" i="37"/>
  <c r="U27" i="37"/>
  <c r="K69" i="37"/>
  <c r="U36" i="37"/>
  <c r="U20" i="44" l="1"/>
  <c r="S20" i="44"/>
  <c r="R20" i="44"/>
  <c r="Q20" i="44"/>
  <c r="P20" i="44"/>
  <c r="O20" i="44"/>
  <c r="N20" i="44"/>
  <c r="M20" i="44"/>
  <c r="L20" i="44"/>
  <c r="K20" i="44"/>
  <c r="J20" i="44"/>
  <c r="I20" i="44"/>
  <c r="H20" i="44"/>
  <c r="G20" i="44"/>
  <c r="F20" i="44"/>
  <c r="E20" i="44"/>
  <c r="D20" i="44"/>
  <c r="C20" i="44"/>
  <c r="U19" i="44"/>
  <c r="S19" i="44"/>
  <c r="R19" i="44"/>
  <c r="Q19" i="44"/>
  <c r="P19" i="44"/>
  <c r="O19" i="44"/>
  <c r="N19" i="44"/>
  <c r="M19" i="44"/>
  <c r="L19" i="44"/>
  <c r="K19" i="44"/>
  <c r="J19" i="44"/>
  <c r="I19" i="44"/>
  <c r="H19" i="44"/>
  <c r="G19" i="44"/>
  <c r="F19" i="44"/>
  <c r="E19" i="44"/>
  <c r="D19" i="44"/>
  <c r="C19" i="44"/>
  <c r="U18" i="44"/>
  <c r="S18" i="44"/>
  <c r="R18" i="44"/>
  <c r="Q18" i="44"/>
  <c r="P18" i="44"/>
  <c r="O18" i="44"/>
  <c r="N18" i="44"/>
  <c r="M18" i="44"/>
  <c r="L18" i="44"/>
  <c r="K18" i="44"/>
  <c r="J18" i="44"/>
  <c r="I18" i="44"/>
  <c r="H18" i="44"/>
  <c r="G18" i="44"/>
  <c r="F18" i="44"/>
  <c r="E18" i="44"/>
  <c r="D18" i="44"/>
  <c r="C18" i="44"/>
  <c r="U17" i="44"/>
  <c r="S17" i="44"/>
  <c r="R17" i="44"/>
  <c r="Q17" i="44"/>
  <c r="P17" i="44"/>
  <c r="O17" i="44"/>
  <c r="N17" i="44"/>
  <c r="M17" i="44"/>
  <c r="L17" i="44"/>
  <c r="K17" i="44"/>
  <c r="J17" i="44"/>
  <c r="I17" i="44"/>
  <c r="H17" i="44"/>
  <c r="G17" i="44"/>
  <c r="F17" i="44"/>
  <c r="E17" i="44"/>
  <c r="D17" i="44"/>
  <c r="C17" i="44"/>
  <c r="U16" i="44"/>
  <c r="S16" i="44"/>
  <c r="R16" i="44"/>
  <c r="Q16" i="44"/>
  <c r="P16" i="44"/>
  <c r="O16" i="44"/>
  <c r="N16" i="44"/>
  <c r="M16" i="44"/>
  <c r="L16" i="44"/>
  <c r="K16" i="44"/>
  <c r="J16" i="44"/>
  <c r="I16" i="44"/>
  <c r="H16" i="44"/>
  <c r="G16" i="44"/>
  <c r="F16" i="44"/>
  <c r="E16" i="44"/>
  <c r="D16" i="44"/>
  <c r="C16" i="44"/>
  <c r="U15" i="44"/>
  <c r="S15" i="44"/>
  <c r="R15" i="44"/>
  <c r="Q15" i="44"/>
  <c r="P15" i="44"/>
  <c r="O15" i="44"/>
  <c r="N15" i="44"/>
  <c r="M15" i="44"/>
  <c r="L15" i="44"/>
  <c r="K15" i="44"/>
  <c r="J15" i="44"/>
  <c r="I15" i="44"/>
  <c r="H15" i="44"/>
  <c r="G15" i="44"/>
  <c r="F15" i="44"/>
  <c r="E15" i="44"/>
  <c r="D15" i="44"/>
  <c r="C15" i="44"/>
  <c r="U14" i="44"/>
  <c r="S14" i="44"/>
  <c r="R14" i="44"/>
  <c r="Q14" i="44"/>
  <c r="P14" i="44"/>
  <c r="O14" i="44"/>
  <c r="N14" i="44"/>
  <c r="M14" i="44"/>
  <c r="L14" i="44"/>
  <c r="K14" i="44"/>
  <c r="J14" i="44"/>
  <c r="I14" i="44"/>
  <c r="H14" i="44"/>
  <c r="G14" i="44"/>
  <c r="F14" i="44"/>
  <c r="E14" i="44"/>
  <c r="D14" i="44"/>
  <c r="C14" i="44"/>
  <c r="K14" i="42"/>
  <c r="J14" i="42"/>
  <c r="I14" i="42"/>
  <c r="H14" i="42"/>
  <c r="G14" i="42"/>
  <c r="F14" i="42"/>
  <c r="E14" i="42"/>
  <c r="D14" i="42"/>
  <c r="C14" i="42"/>
  <c r="J7" i="42"/>
  <c r="I7" i="42"/>
  <c r="H7" i="42"/>
  <c r="F7" i="42"/>
  <c r="E7" i="42"/>
  <c r="D7" i="42"/>
  <c r="K6" i="42"/>
  <c r="K5" i="42"/>
  <c r="G5" i="42"/>
  <c r="G7" i="42" s="1"/>
  <c r="B89" i="41"/>
  <c r="B100" i="41" s="1"/>
  <c r="B88" i="41"/>
  <c r="B99" i="41" s="1"/>
  <c r="B87" i="41"/>
  <c r="B98" i="41" s="1"/>
  <c r="B86" i="41"/>
  <c r="B97" i="41" s="1"/>
  <c r="B85" i="41"/>
  <c r="B96" i="41" s="1"/>
  <c r="B84" i="41"/>
  <c r="B95" i="41" s="1"/>
  <c r="E70" i="41"/>
  <c r="D70" i="41"/>
  <c r="C70" i="41"/>
  <c r="B70" i="41"/>
  <c r="E69" i="41"/>
  <c r="D69" i="41"/>
  <c r="C69" i="41"/>
  <c r="B69" i="41"/>
  <c r="E68" i="41"/>
  <c r="D68" i="41"/>
  <c r="C68" i="41"/>
  <c r="B68" i="41"/>
  <c r="E67" i="41"/>
  <c r="D67" i="41"/>
  <c r="C67" i="41"/>
  <c r="B67" i="41"/>
  <c r="E66" i="41"/>
  <c r="E65" i="41"/>
  <c r="D65" i="41"/>
  <c r="C65" i="41"/>
  <c r="B65" i="41"/>
  <c r="E64" i="41"/>
  <c r="D64" i="41"/>
  <c r="C64" i="41"/>
  <c r="B64" i="41"/>
  <c r="E63" i="41"/>
  <c r="D63" i="41"/>
  <c r="C63" i="41"/>
  <c r="B63" i="41"/>
  <c r="E62" i="41"/>
  <c r="D62" i="41"/>
  <c r="C62" i="41"/>
  <c r="B62" i="41"/>
  <c r="I67" i="41"/>
  <c r="I66" i="41"/>
  <c r="E53" i="41"/>
  <c r="E58" i="41" s="1"/>
  <c r="D53" i="41"/>
  <c r="C53" i="41"/>
  <c r="C58" i="41" s="1"/>
  <c r="B53" i="41"/>
  <c r="R42" i="41"/>
  <c r="R41" i="41" s="1"/>
  <c r="L40" i="41"/>
  <c r="K40" i="41"/>
  <c r="I39" i="41"/>
  <c r="K38" i="41"/>
  <c r="H37" i="41"/>
  <c r="R32" i="41"/>
  <c r="R44" i="41" s="1"/>
  <c r="Q32" i="41"/>
  <c r="Q44" i="41" s="1"/>
  <c r="P32" i="41"/>
  <c r="P44" i="41" s="1"/>
  <c r="O32" i="41"/>
  <c r="O44" i="41" s="1"/>
  <c r="N32" i="41"/>
  <c r="N44" i="41" s="1"/>
  <c r="C32" i="41"/>
  <c r="C44" i="41" s="1"/>
  <c r="B32" i="41"/>
  <c r="B44" i="41" s="1"/>
  <c r="P31" i="41"/>
  <c r="P43" i="41" s="1"/>
  <c r="O31" i="41"/>
  <c r="O43" i="41" s="1"/>
  <c r="N31" i="41"/>
  <c r="N43" i="41" s="1"/>
  <c r="M31" i="41"/>
  <c r="M43" i="41" s="1"/>
  <c r="M41" i="41" s="1"/>
  <c r="L31" i="41"/>
  <c r="L43" i="41" s="1"/>
  <c r="K31" i="41"/>
  <c r="K43" i="41" s="1"/>
  <c r="J31" i="41"/>
  <c r="J43" i="41" s="1"/>
  <c r="I31" i="41"/>
  <c r="I43" i="41" s="1"/>
  <c r="I41" i="41" s="1"/>
  <c r="H31" i="41"/>
  <c r="H43" i="41" s="1"/>
  <c r="G31" i="41"/>
  <c r="G43" i="41" s="1"/>
  <c r="F31" i="41"/>
  <c r="F43" i="41" s="1"/>
  <c r="E31" i="41"/>
  <c r="E43" i="41" s="1"/>
  <c r="D31" i="41"/>
  <c r="D43" i="41" s="1"/>
  <c r="C31" i="41"/>
  <c r="C43" i="41" s="1"/>
  <c r="B31" i="41"/>
  <c r="B43" i="41" s="1"/>
  <c r="S30" i="41"/>
  <c r="S42" i="41" s="1"/>
  <c r="S41" i="41" s="1"/>
  <c r="R30" i="41"/>
  <c r="Q30" i="41"/>
  <c r="Q42" i="41" s="1"/>
  <c r="Q41" i="41" s="1"/>
  <c r="P30" i="41"/>
  <c r="P42" i="41" s="1"/>
  <c r="O30" i="41"/>
  <c r="O42" i="41" s="1"/>
  <c r="O41" i="41" s="1"/>
  <c r="N30" i="41"/>
  <c r="N42" i="41" s="1"/>
  <c r="N41" i="41" s="1"/>
  <c r="M30" i="41"/>
  <c r="M42" i="41" s="1"/>
  <c r="L30" i="41"/>
  <c r="L42" i="41" s="1"/>
  <c r="K30" i="41"/>
  <c r="K42" i="41" s="1"/>
  <c r="K41" i="41" s="1"/>
  <c r="J30" i="41"/>
  <c r="J42" i="41" s="1"/>
  <c r="I30" i="41"/>
  <c r="I42" i="41" s="1"/>
  <c r="H30" i="41"/>
  <c r="H42" i="41" s="1"/>
  <c r="G30" i="41"/>
  <c r="G42" i="41" s="1"/>
  <c r="G41" i="41" s="1"/>
  <c r="F30" i="41"/>
  <c r="F42" i="41" s="1"/>
  <c r="E30" i="41"/>
  <c r="E42" i="41" s="1"/>
  <c r="D30" i="41"/>
  <c r="D42" i="41" s="1"/>
  <c r="D41" i="41" s="1"/>
  <c r="C30" i="41"/>
  <c r="C42" i="41" s="1"/>
  <c r="C41" i="41" s="1"/>
  <c r="B30" i="41"/>
  <c r="B42" i="41" s="1"/>
  <c r="S29" i="41"/>
  <c r="S40" i="41" s="1"/>
  <c r="R29" i="41"/>
  <c r="R40" i="41" s="1"/>
  <c r="Q29" i="41"/>
  <c r="Q40" i="41" s="1"/>
  <c r="P29" i="41"/>
  <c r="P40" i="41" s="1"/>
  <c r="O29" i="41"/>
  <c r="O40" i="41" s="1"/>
  <c r="N29" i="41"/>
  <c r="N40" i="41" s="1"/>
  <c r="M29" i="41"/>
  <c r="M40" i="41" s="1"/>
  <c r="L29" i="41"/>
  <c r="K29" i="41"/>
  <c r="J29" i="41"/>
  <c r="J40" i="41" s="1"/>
  <c r="I29" i="41"/>
  <c r="I40" i="41" s="1"/>
  <c r="H29" i="41"/>
  <c r="H40" i="41" s="1"/>
  <c r="G29" i="41"/>
  <c r="G40" i="41" s="1"/>
  <c r="F29" i="41"/>
  <c r="F40" i="41" s="1"/>
  <c r="E29" i="41"/>
  <c r="E40" i="41" s="1"/>
  <c r="D29" i="41"/>
  <c r="D40" i="41" s="1"/>
  <c r="C29" i="41"/>
  <c r="C40" i="41" s="1"/>
  <c r="B29" i="41"/>
  <c r="B40" i="41" s="1"/>
  <c r="R28" i="41"/>
  <c r="R39" i="41" s="1"/>
  <c r="Q28" i="41"/>
  <c r="Q39" i="41" s="1"/>
  <c r="P28" i="41"/>
  <c r="P39" i="41" s="1"/>
  <c r="O28" i="41"/>
  <c r="O39" i="41" s="1"/>
  <c r="N28" i="41"/>
  <c r="N39" i="41" s="1"/>
  <c r="M28" i="41"/>
  <c r="M39" i="41" s="1"/>
  <c r="L28" i="41"/>
  <c r="L39" i="41" s="1"/>
  <c r="K28" i="41"/>
  <c r="K39" i="41" s="1"/>
  <c r="J28" i="41"/>
  <c r="J39" i="41" s="1"/>
  <c r="I28" i="41"/>
  <c r="H28" i="41"/>
  <c r="H39" i="41" s="1"/>
  <c r="G28" i="41"/>
  <c r="G39" i="41" s="1"/>
  <c r="F28" i="41"/>
  <c r="F39" i="41" s="1"/>
  <c r="E28" i="41"/>
  <c r="E39" i="41" s="1"/>
  <c r="D28" i="41"/>
  <c r="D39" i="41" s="1"/>
  <c r="C28" i="41"/>
  <c r="C39" i="41" s="1"/>
  <c r="B28" i="41"/>
  <c r="B39" i="41" s="1"/>
  <c r="S27" i="41"/>
  <c r="S38" i="41" s="1"/>
  <c r="R27" i="41"/>
  <c r="R38" i="41" s="1"/>
  <c r="Q27" i="41"/>
  <c r="Q38" i="41" s="1"/>
  <c r="P27" i="41"/>
  <c r="P38" i="41" s="1"/>
  <c r="O27" i="41"/>
  <c r="O38" i="41" s="1"/>
  <c r="N27" i="41"/>
  <c r="N38" i="41" s="1"/>
  <c r="M27" i="41"/>
  <c r="M38" i="41" s="1"/>
  <c r="L27" i="41"/>
  <c r="L38" i="41" s="1"/>
  <c r="K27" i="41"/>
  <c r="J27" i="41"/>
  <c r="J38" i="41" s="1"/>
  <c r="I27" i="41"/>
  <c r="I38" i="41" s="1"/>
  <c r="H27" i="41"/>
  <c r="H38" i="41" s="1"/>
  <c r="G27" i="41"/>
  <c r="G38" i="41" s="1"/>
  <c r="F27" i="41"/>
  <c r="F38" i="41" s="1"/>
  <c r="E27" i="41"/>
  <c r="E38" i="41" s="1"/>
  <c r="D27" i="41"/>
  <c r="D38" i="41" s="1"/>
  <c r="C27" i="41"/>
  <c r="C38" i="41" s="1"/>
  <c r="B27" i="41"/>
  <c r="B38" i="41" s="1"/>
  <c r="S26" i="41"/>
  <c r="S37" i="41" s="1"/>
  <c r="R26" i="41"/>
  <c r="R33" i="41" s="1"/>
  <c r="Q26" i="41"/>
  <c r="Q37" i="41" s="1"/>
  <c r="P26" i="41"/>
  <c r="P37" i="41" s="1"/>
  <c r="O26" i="41"/>
  <c r="O37" i="41" s="1"/>
  <c r="N26" i="41"/>
  <c r="M26" i="41"/>
  <c r="M37" i="41" s="1"/>
  <c r="L26" i="41"/>
  <c r="L37" i="41" s="1"/>
  <c r="K26" i="41"/>
  <c r="J26" i="41"/>
  <c r="J37" i="41" s="1"/>
  <c r="I26" i="41"/>
  <c r="H26" i="41"/>
  <c r="G26" i="41"/>
  <c r="F26" i="41"/>
  <c r="F37" i="41" s="1"/>
  <c r="E26" i="41"/>
  <c r="E37" i="41" s="1"/>
  <c r="D26" i="41"/>
  <c r="D37" i="41" s="1"/>
  <c r="C26" i="41"/>
  <c r="C37" i="41" s="1"/>
  <c r="B26" i="41"/>
  <c r="B37" i="41" s="1"/>
  <c r="L22" i="41"/>
  <c r="K22" i="41"/>
  <c r="J22" i="41"/>
  <c r="I22" i="41"/>
  <c r="H22" i="41"/>
  <c r="G22" i="41"/>
  <c r="F22" i="41"/>
  <c r="E22" i="41"/>
  <c r="D22" i="41"/>
  <c r="C22" i="41"/>
  <c r="B22" i="41"/>
  <c r="P15" i="41"/>
  <c r="O15" i="41"/>
  <c r="K15" i="41"/>
  <c r="J15" i="41"/>
  <c r="I15" i="41"/>
  <c r="H15" i="41"/>
  <c r="G15" i="41"/>
  <c r="F15" i="41"/>
  <c r="E15" i="41"/>
  <c r="D15" i="41"/>
  <c r="C15" i="41"/>
  <c r="B15" i="41"/>
  <c r="N14" i="41"/>
  <c r="N15" i="41" s="1"/>
  <c r="M14" i="41"/>
  <c r="M15" i="41" s="1"/>
  <c r="L14" i="41"/>
  <c r="L15" i="41" s="1"/>
  <c r="R13" i="41"/>
  <c r="Q13" i="41"/>
  <c r="P13" i="41"/>
  <c r="O13" i="41"/>
  <c r="N13" i="41"/>
  <c r="H13" i="41"/>
  <c r="C13" i="41"/>
  <c r="B13" i="41"/>
  <c r="S11" i="41"/>
  <c r="F56" i="41" s="1"/>
  <c r="M11" i="41"/>
  <c r="M32" i="41" s="1"/>
  <c r="M44" i="41" s="1"/>
  <c r="L11" i="41"/>
  <c r="L32" i="41" s="1"/>
  <c r="L44" i="41" s="1"/>
  <c r="K11" i="41"/>
  <c r="J11" i="41"/>
  <c r="J32" i="41" s="1"/>
  <c r="J44" i="41" s="1"/>
  <c r="I11" i="41"/>
  <c r="I32" i="41" s="1"/>
  <c r="I44" i="41" s="1"/>
  <c r="H11" i="41"/>
  <c r="H32" i="41" s="1"/>
  <c r="H44" i="41" s="1"/>
  <c r="G11" i="41"/>
  <c r="F11" i="41"/>
  <c r="F13" i="41" s="1"/>
  <c r="E11" i="41"/>
  <c r="E32" i="41" s="1"/>
  <c r="E44" i="41" s="1"/>
  <c r="D11" i="41"/>
  <c r="D32" i="41" s="1"/>
  <c r="D44" i="41" s="1"/>
  <c r="S7" i="41"/>
  <c r="F51" i="41" s="1"/>
  <c r="G79" i="37"/>
  <c r="G88" i="37" s="1"/>
  <c r="F79" i="37"/>
  <c r="F88" i="37" s="1"/>
  <c r="E79" i="37"/>
  <c r="E88" i="37" s="1"/>
  <c r="D79" i="37"/>
  <c r="D88" i="37" s="1"/>
  <c r="C79" i="37"/>
  <c r="C88" i="37" s="1"/>
  <c r="G78" i="37"/>
  <c r="G87" i="37" s="1"/>
  <c r="F78" i="37"/>
  <c r="F87" i="37" s="1"/>
  <c r="E78" i="37"/>
  <c r="E87" i="37" s="1"/>
  <c r="D78" i="37"/>
  <c r="D87" i="37" s="1"/>
  <c r="C78" i="37"/>
  <c r="C87" i="37" s="1"/>
  <c r="G77" i="37"/>
  <c r="G86" i="37" s="1"/>
  <c r="F77" i="37"/>
  <c r="F86" i="37" s="1"/>
  <c r="E77" i="37"/>
  <c r="E86" i="37" s="1"/>
  <c r="D77" i="37"/>
  <c r="D86" i="37" s="1"/>
  <c r="C77" i="37"/>
  <c r="C86" i="37" s="1"/>
  <c r="G75" i="37"/>
  <c r="G84" i="37" s="1"/>
  <c r="F75" i="37"/>
  <c r="F84" i="37" s="1"/>
  <c r="E75" i="37"/>
  <c r="E84" i="37" s="1"/>
  <c r="D75" i="37"/>
  <c r="D84" i="37" s="1"/>
  <c r="C75" i="37"/>
  <c r="C84" i="37" s="1"/>
  <c r="G61" i="37"/>
  <c r="G70" i="37" s="1"/>
  <c r="F61" i="37"/>
  <c r="F70" i="37" s="1"/>
  <c r="E61" i="37"/>
  <c r="E70" i="37" s="1"/>
  <c r="D61" i="37"/>
  <c r="D70" i="37" s="1"/>
  <c r="C61" i="37"/>
  <c r="C70" i="37" s="1"/>
  <c r="J60" i="37"/>
  <c r="I60" i="37"/>
  <c r="H60" i="37"/>
  <c r="J59" i="37"/>
  <c r="I59" i="37"/>
  <c r="H59" i="37"/>
  <c r="J58" i="37"/>
  <c r="I58" i="37"/>
  <c r="H58" i="37"/>
  <c r="G54" i="37"/>
  <c r="F54" i="37"/>
  <c r="E54" i="37"/>
  <c r="D54" i="37"/>
  <c r="C54" i="37"/>
  <c r="G53" i="37"/>
  <c r="G68" i="37" s="1"/>
  <c r="F53" i="37"/>
  <c r="F68" i="37" s="1"/>
  <c r="E53" i="37"/>
  <c r="E68" i="37" s="1"/>
  <c r="D53" i="37"/>
  <c r="D68" i="37" s="1"/>
  <c r="C53" i="37"/>
  <c r="C68" i="37" s="1"/>
  <c r="G52" i="37"/>
  <c r="G67" i="37" s="1"/>
  <c r="F52" i="37"/>
  <c r="F67" i="37" s="1"/>
  <c r="E52" i="37"/>
  <c r="E67" i="37" s="1"/>
  <c r="D52" i="37"/>
  <c r="D67" i="37" s="1"/>
  <c r="C52" i="37"/>
  <c r="C67" i="37" s="1"/>
  <c r="G51" i="37"/>
  <c r="G66" i="37" s="1"/>
  <c r="F51" i="37"/>
  <c r="F66" i="37" s="1"/>
  <c r="E51" i="37"/>
  <c r="E66" i="37" s="1"/>
  <c r="D51" i="37"/>
  <c r="D66" i="37" s="1"/>
  <c r="C51" i="37"/>
  <c r="C66" i="37" s="1"/>
  <c r="G49" i="37"/>
  <c r="F49" i="37"/>
  <c r="E49" i="37"/>
  <c r="D49" i="37"/>
  <c r="C49" i="37"/>
  <c r="J44" i="37"/>
  <c r="J79" i="37" s="1"/>
  <c r="J88" i="37" s="1"/>
  <c r="I44" i="37"/>
  <c r="H44" i="37"/>
  <c r="H79" i="37" s="1"/>
  <c r="H88" i="37" s="1"/>
  <c r="J43" i="37"/>
  <c r="J52" i="37" s="1"/>
  <c r="J67" i="37" s="1"/>
  <c r="I43" i="37"/>
  <c r="I78" i="37" s="1"/>
  <c r="I87" i="37" s="1"/>
  <c r="H43" i="37"/>
  <c r="J42" i="37"/>
  <c r="J77" i="37" s="1"/>
  <c r="J86" i="37" s="1"/>
  <c r="I42" i="37"/>
  <c r="I77" i="37" s="1"/>
  <c r="I86" i="37" s="1"/>
  <c r="H42" i="37"/>
  <c r="H77" i="37" s="1"/>
  <c r="H86" i="37" s="1"/>
  <c r="N50" i="37"/>
  <c r="J41" i="37"/>
  <c r="J76" i="37" s="1"/>
  <c r="J85" i="37" s="1"/>
  <c r="I41" i="37"/>
  <c r="I50" i="37" s="1"/>
  <c r="H41" i="37"/>
  <c r="H76" i="37" s="1"/>
  <c r="H85" i="37" s="1"/>
  <c r="G41" i="37"/>
  <c r="G50" i="37" s="1"/>
  <c r="F41" i="37"/>
  <c r="F76" i="37" s="1"/>
  <c r="F85" i="37" s="1"/>
  <c r="E41" i="37"/>
  <c r="E76" i="37" s="1"/>
  <c r="E85" i="37" s="1"/>
  <c r="D41" i="37"/>
  <c r="C41" i="37"/>
  <c r="C50" i="37" s="1"/>
  <c r="J40" i="37"/>
  <c r="J49" i="37" s="1"/>
  <c r="I40" i="37"/>
  <c r="I75" i="37" s="1"/>
  <c r="H40" i="37"/>
  <c r="O26" i="37"/>
  <c r="O35" i="37" s="1"/>
  <c r="M26" i="37"/>
  <c r="M35" i="37" s="1"/>
  <c r="L26" i="37"/>
  <c r="L35" i="37" s="1"/>
  <c r="K26" i="37"/>
  <c r="K35" i="37" s="1"/>
  <c r="J26" i="37"/>
  <c r="J35" i="37" s="1"/>
  <c r="I26" i="37"/>
  <c r="I35" i="37" s="1"/>
  <c r="H26" i="37"/>
  <c r="H35" i="37" s="1"/>
  <c r="G26" i="37"/>
  <c r="G35" i="37" s="1"/>
  <c r="F26" i="37"/>
  <c r="F35" i="37" s="1"/>
  <c r="E26" i="37"/>
  <c r="E35" i="37" s="1"/>
  <c r="D26" i="37"/>
  <c r="D35" i="37" s="1"/>
  <c r="C26" i="37"/>
  <c r="C35" i="37" s="1"/>
  <c r="R25" i="37"/>
  <c r="R34" i="37" s="1"/>
  <c r="O25" i="37"/>
  <c r="O34" i="37" s="1"/>
  <c r="M25" i="37"/>
  <c r="M34" i="37" s="1"/>
  <c r="L25" i="37"/>
  <c r="L34" i="37" s="1"/>
  <c r="K25" i="37"/>
  <c r="K34" i="37" s="1"/>
  <c r="J25" i="37"/>
  <c r="J34" i="37" s="1"/>
  <c r="I25" i="37"/>
  <c r="I34" i="37" s="1"/>
  <c r="H25" i="37"/>
  <c r="H34" i="37" s="1"/>
  <c r="G25" i="37"/>
  <c r="G34" i="37" s="1"/>
  <c r="F25" i="37"/>
  <c r="F34" i="37" s="1"/>
  <c r="E25" i="37"/>
  <c r="E34" i="37" s="1"/>
  <c r="D25" i="37"/>
  <c r="D34" i="37" s="1"/>
  <c r="C25" i="37"/>
  <c r="C34" i="37" s="1"/>
  <c r="O24" i="37"/>
  <c r="O33" i="37" s="1"/>
  <c r="M24" i="37"/>
  <c r="M33" i="37" s="1"/>
  <c r="L24" i="37"/>
  <c r="L33" i="37" s="1"/>
  <c r="K24" i="37"/>
  <c r="K33" i="37" s="1"/>
  <c r="J24" i="37"/>
  <c r="J33" i="37" s="1"/>
  <c r="I24" i="37"/>
  <c r="I33" i="37" s="1"/>
  <c r="H24" i="37"/>
  <c r="H33" i="37" s="1"/>
  <c r="G24" i="37"/>
  <c r="G33" i="37" s="1"/>
  <c r="F24" i="37"/>
  <c r="F33" i="37" s="1"/>
  <c r="E24" i="37"/>
  <c r="E33" i="37" s="1"/>
  <c r="D24" i="37"/>
  <c r="D33" i="37" s="1"/>
  <c r="C24" i="37"/>
  <c r="C33" i="37" s="1"/>
  <c r="O23" i="37"/>
  <c r="O32" i="37" s="1"/>
  <c r="M23" i="37"/>
  <c r="M32" i="37" s="1"/>
  <c r="O22" i="37"/>
  <c r="M22" i="37"/>
  <c r="M31" i="37" s="1"/>
  <c r="L22" i="37"/>
  <c r="K22" i="37"/>
  <c r="K31" i="37" s="1"/>
  <c r="J22" i="37"/>
  <c r="J31" i="37" s="1"/>
  <c r="I22" i="37"/>
  <c r="I31" i="37" s="1"/>
  <c r="H22" i="37"/>
  <c r="H31" i="37" s="1"/>
  <c r="G22" i="37"/>
  <c r="G31" i="37" s="1"/>
  <c r="F22" i="37"/>
  <c r="E22" i="37"/>
  <c r="E31" i="37" s="1"/>
  <c r="D22" i="37"/>
  <c r="D31" i="37" s="1"/>
  <c r="C22" i="37"/>
  <c r="C31" i="37" s="1"/>
  <c r="O18" i="37"/>
  <c r="M18" i="37"/>
  <c r="L18" i="37"/>
  <c r="K18" i="37"/>
  <c r="J18" i="37"/>
  <c r="I18" i="37"/>
  <c r="H18" i="37"/>
  <c r="G18" i="37"/>
  <c r="F18" i="37"/>
  <c r="E18" i="37"/>
  <c r="D18" i="37"/>
  <c r="C18" i="37"/>
  <c r="T17" i="37"/>
  <c r="K60" i="37" s="1"/>
  <c r="S17" i="37"/>
  <c r="R17" i="37"/>
  <c r="Q17" i="37"/>
  <c r="P17" i="37"/>
  <c r="S16" i="37"/>
  <c r="R16" i="37"/>
  <c r="Q16" i="37"/>
  <c r="P16" i="37"/>
  <c r="T15" i="37"/>
  <c r="K58" i="37" s="1"/>
  <c r="S15" i="37"/>
  <c r="R15" i="37"/>
  <c r="Q15" i="37"/>
  <c r="P15" i="37"/>
  <c r="O11" i="37"/>
  <c r="M11" i="37"/>
  <c r="S24" i="37"/>
  <c r="S33" i="37" s="1"/>
  <c r="L6" i="37"/>
  <c r="K6" i="37"/>
  <c r="J6" i="37"/>
  <c r="J11" i="37" s="1"/>
  <c r="I6" i="37"/>
  <c r="I23" i="37" s="1"/>
  <c r="H6" i="37"/>
  <c r="H11" i="37" s="1"/>
  <c r="G6" i="37"/>
  <c r="G23" i="37" s="1"/>
  <c r="G32" i="37" s="1"/>
  <c r="F6" i="37"/>
  <c r="F11" i="37" s="1"/>
  <c r="E6" i="37"/>
  <c r="E11" i="37" s="1"/>
  <c r="D6" i="37"/>
  <c r="D11" i="37" s="1"/>
  <c r="C6" i="37"/>
  <c r="D66" i="41" l="1"/>
  <c r="D71" i="41" s="1"/>
  <c r="D58" i="41"/>
  <c r="E71" i="41"/>
  <c r="F69" i="41"/>
  <c r="F71" i="41" s="1"/>
  <c r="F89" i="41"/>
  <c r="F100" i="41" s="1"/>
  <c r="P41" i="41"/>
  <c r="P45" i="41" s="1"/>
  <c r="J41" i="41"/>
  <c r="B101" i="41"/>
  <c r="C45" i="41"/>
  <c r="F64" i="41"/>
  <c r="F85" i="41"/>
  <c r="F58" i="41"/>
  <c r="B66" i="41"/>
  <c r="B71" i="41" s="1"/>
  <c r="B58" i="41"/>
  <c r="J61" i="37"/>
  <c r="J70" i="37" s="1"/>
  <c r="J50" i="37"/>
  <c r="J75" i="37"/>
  <c r="J84" i="37" s="1"/>
  <c r="H61" i="37"/>
  <c r="H70" i="37" s="1"/>
  <c r="I61" i="37"/>
  <c r="I70" i="37" s="1"/>
  <c r="Q18" i="37"/>
  <c r="G11" i="37"/>
  <c r="D69" i="37"/>
  <c r="D71" i="37" s="1"/>
  <c r="I11" i="37"/>
  <c r="P18" i="37"/>
  <c r="G71" i="41"/>
  <c r="H71" i="41"/>
  <c r="C23" i="37"/>
  <c r="C32" i="37" s="1"/>
  <c r="C36" i="37" s="1"/>
  <c r="C11" i="37"/>
  <c r="K23" i="37"/>
  <c r="K32" i="37" s="1"/>
  <c r="K36" i="37" s="1"/>
  <c r="K11" i="37"/>
  <c r="R23" i="37"/>
  <c r="R32" i="37" s="1"/>
  <c r="R26" i="37"/>
  <c r="R35" i="37" s="1"/>
  <c r="R22" i="37"/>
  <c r="R11" i="37"/>
  <c r="R24" i="37"/>
  <c r="R33" i="37" s="1"/>
  <c r="T18" i="37"/>
  <c r="D45" i="41"/>
  <c r="H75" i="37"/>
  <c r="H84" i="37" s="1"/>
  <c r="H49" i="37"/>
  <c r="K84" i="37"/>
  <c r="D76" i="37"/>
  <c r="D85" i="37" s="1"/>
  <c r="D89" i="37" s="1"/>
  <c r="D50" i="37"/>
  <c r="D46" i="37"/>
  <c r="K85" i="37"/>
  <c r="N37" i="41"/>
  <c r="N45" i="41" s="1"/>
  <c r="N33" i="41"/>
  <c r="D33" i="41"/>
  <c r="L11" i="37"/>
  <c r="L23" i="37"/>
  <c r="L32" i="37" s="1"/>
  <c r="L13" i="41"/>
  <c r="O33" i="41"/>
  <c r="R37" i="41"/>
  <c r="K7" i="42"/>
  <c r="P11" i="37"/>
  <c r="P23" i="37"/>
  <c r="P32" i="37" s="1"/>
  <c r="K61" i="37"/>
  <c r="K70" i="37" s="1"/>
  <c r="T24" i="37"/>
  <c r="T33" i="37" s="1"/>
  <c r="L31" i="37"/>
  <c r="L36" i="37" s="1"/>
  <c r="H78" i="37"/>
  <c r="H87" i="37" s="1"/>
  <c r="H52" i="37"/>
  <c r="H67" i="37" s="1"/>
  <c r="I79" i="37"/>
  <c r="I88" i="37" s="1"/>
  <c r="I53" i="37"/>
  <c r="I68" i="37" s="1"/>
  <c r="L88" i="37"/>
  <c r="C69" i="37"/>
  <c r="C71" i="37" s="1"/>
  <c r="N52" i="37"/>
  <c r="N67" i="37" s="1"/>
  <c r="J78" i="37"/>
  <c r="J87" i="37" s="1"/>
  <c r="J89" i="37" s="1"/>
  <c r="D13" i="41"/>
  <c r="M13" i="41"/>
  <c r="E41" i="41"/>
  <c r="E45" i="41" s="1"/>
  <c r="S11" i="37"/>
  <c r="S18" i="37"/>
  <c r="M36" i="37"/>
  <c r="S22" i="37"/>
  <c r="S31" i="37" s="1"/>
  <c r="L87" i="37"/>
  <c r="F50" i="37"/>
  <c r="E13" i="41"/>
  <c r="B41" i="41"/>
  <c r="B45" i="41" s="1"/>
  <c r="F32" i="41"/>
  <c r="F44" i="41" s="1"/>
  <c r="F45" i="41" s="1"/>
  <c r="C33" i="41"/>
  <c r="O45" i="41"/>
  <c r="B90" i="41"/>
  <c r="M27" i="37"/>
  <c r="K88" i="37"/>
  <c r="E46" i="37"/>
  <c r="E50" i="37"/>
  <c r="F69" i="37"/>
  <c r="F71" i="37" s="1"/>
  <c r="F89" i="37"/>
  <c r="I76" i="37"/>
  <c r="I85" i="37" s="1"/>
  <c r="S13" i="41"/>
  <c r="F41" i="41"/>
  <c r="E69" i="37"/>
  <c r="E71" i="37" s="1"/>
  <c r="I84" i="37"/>
  <c r="I32" i="37"/>
  <c r="I36" i="37" s="1"/>
  <c r="I27" i="37"/>
  <c r="E89" i="37"/>
  <c r="Q26" i="37"/>
  <c r="Q35" i="37" s="1"/>
  <c r="Q24" i="37"/>
  <c r="Q33" i="37" s="1"/>
  <c r="Q22" i="37"/>
  <c r="G32" i="41"/>
  <c r="G44" i="41" s="1"/>
  <c r="G13" i="41"/>
  <c r="K32" i="41"/>
  <c r="K44" i="41" s="1"/>
  <c r="K45" i="41" s="1"/>
  <c r="K13" i="41"/>
  <c r="S25" i="37"/>
  <c r="S34" i="37" s="1"/>
  <c r="S23" i="37"/>
  <c r="S32" i="37" s="1"/>
  <c r="G37" i="41"/>
  <c r="G45" i="41" s="1"/>
  <c r="G33" i="41"/>
  <c r="K37" i="41"/>
  <c r="I62" i="41"/>
  <c r="I71" i="41" s="1"/>
  <c r="C66" i="41"/>
  <c r="C71" i="41" s="1"/>
  <c r="F23" i="37"/>
  <c r="F32" i="37" s="1"/>
  <c r="H51" i="37"/>
  <c r="H66" i="37" s="1"/>
  <c r="I52" i="37"/>
  <c r="I67" i="37" s="1"/>
  <c r="J53" i="37"/>
  <c r="J68" i="37" s="1"/>
  <c r="Q45" i="41"/>
  <c r="R18" i="37"/>
  <c r="E23" i="37"/>
  <c r="J23" i="37"/>
  <c r="J32" i="37" s="1"/>
  <c r="J36" i="37" s="1"/>
  <c r="T23" i="37"/>
  <c r="T32" i="37" s="1"/>
  <c r="Q25" i="37"/>
  <c r="Q34" i="37" s="1"/>
  <c r="P26" i="37"/>
  <c r="P35" i="37" s="1"/>
  <c r="G36" i="37"/>
  <c r="N68" i="37"/>
  <c r="G76" i="37"/>
  <c r="G85" i="37" s="1"/>
  <c r="G89" i="37" s="1"/>
  <c r="F80" i="37"/>
  <c r="Q11" i="37"/>
  <c r="P22" i="37"/>
  <c r="D23" i="37"/>
  <c r="P25" i="37"/>
  <c r="P34" i="37" s="1"/>
  <c r="T26" i="37"/>
  <c r="T35" i="37" s="1"/>
  <c r="F31" i="37"/>
  <c r="I45" i="37"/>
  <c r="C46" i="37"/>
  <c r="J51" i="37"/>
  <c r="J66" i="37" s="1"/>
  <c r="H53" i="37"/>
  <c r="H68" i="37" s="1"/>
  <c r="L61" i="37"/>
  <c r="L70" i="37" s="1"/>
  <c r="L85" i="37"/>
  <c r="E80" i="37"/>
  <c r="S28" i="41"/>
  <c r="S39" i="41" s="1"/>
  <c r="S45" i="41" s="1"/>
  <c r="M45" i="41"/>
  <c r="J33" i="41"/>
  <c r="J45" i="41"/>
  <c r="L41" i="41"/>
  <c r="L45" i="41" s="1"/>
  <c r="G27" i="37"/>
  <c r="O27" i="37"/>
  <c r="T22" i="37"/>
  <c r="H23" i="37"/>
  <c r="H32" i="37" s="1"/>
  <c r="H36" i="37" s="1"/>
  <c r="Q23" i="37"/>
  <c r="Q32" i="37" s="1"/>
  <c r="P24" i="37"/>
  <c r="P33" i="37" s="1"/>
  <c r="T25" i="37"/>
  <c r="T34" i="37" s="1"/>
  <c r="S26" i="37"/>
  <c r="S35" i="37" s="1"/>
  <c r="O31" i="37"/>
  <c r="O36" i="37" s="1"/>
  <c r="H45" i="37"/>
  <c r="G46" i="37"/>
  <c r="I49" i="37"/>
  <c r="H50" i="37"/>
  <c r="I51" i="37"/>
  <c r="I66" i="37" s="1"/>
  <c r="G69" i="37"/>
  <c r="G71" i="37" s="1"/>
  <c r="C76" i="37"/>
  <c r="B33" i="41"/>
  <c r="P33" i="41"/>
  <c r="H33" i="41"/>
  <c r="H41" i="41"/>
  <c r="H45" i="41" s="1"/>
  <c r="R45" i="41"/>
  <c r="S32" i="41"/>
  <c r="S44" i="41" s="1"/>
  <c r="J13" i="41"/>
  <c r="L33" i="41"/>
  <c r="K87" i="37"/>
  <c r="F46" i="37"/>
  <c r="I13" i="41"/>
  <c r="E33" i="41"/>
  <c r="I33" i="41"/>
  <c r="M33" i="41"/>
  <c r="Q33" i="41"/>
  <c r="I37" i="41"/>
  <c r="I45" i="41" s="1"/>
  <c r="D80" i="37"/>
  <c r="F96" i="41" l="1"/>
  <c r="F101" i="41" s="1"/>
  <c r="F90" i="41"/>
  <c r="C27" i="37"/>
  <c r="R27" i="37"/>
  <c r="H80" i="37"/>
  <c r="L27" i="37"/>
  <c r="N69" i="37"/>
  <c r="N71" i="37" s="1"/>
  <c r="J69" i="37"/>
  <c r="J71" i="37" s="1"/>
  <c r="J80" i="37"/>
  <c r="L71" i="37"/>
  <c r="S36" i="37"/>
  <c r="I80" i="37"/>
  <c r="I89" i="37"/>
  <c r="F33" i="41"/>
  <c r="K27" i="37"/>
  <c r="F36" i="37"/>
  <c r="R31" i="37"/>
  <c r="R36" i="37" s="1"/>
  <c r="H69" i="37"/>
  <c r="H71" i="37" s="1"/>
  <c r="H89" i="37"/>
  <c r="H27" i="37"/>
  <c r="L54" i="37"/>
  <c r="L46" i="37"/>
  <c r="T31" i="37"/>
  <c r="T36" i="37" s="1"/>
  <c r="T27" i="37"/>
  <c r="L80" i="37"/>
  <c r="L84" i="37"/>
  <c r="L89" i="37" s="1"/>
  <c r="C80" i="37"/>
  <c r="C85" i="37"/>
  <c r="C89" i="37" s="1"/>
  <c r="K54" i="37"/>
  <c r="K46" i="37"/>
  <c r="Q31" i="37"/>
  <c r="Q36" i="37" s="1"/>
  <c r="Q27" i="37"/>
  <c r="I69" i="37"/>
  <c r="I71" i="37" s="1"/>
  <c r="K71" i="37"/>
  <c r="G80" i="37"/>
  <c r="S27" i="37"/>
  <c r="K89" i="37"/>
  <c r="F27" i="37"/>
  <c r="H54" i="37"/>
  <c r="H46" i="37"/>
  <c r="D32" i="37"/>
  <c r="D36" i="37" s="1"/>
  <c r="D27" i="37"/>
  <c r="I54" i="37"/>
  <c r="I46" i="37"/>
  <c r="P31" i="37"/>
  <c r="P36" i="37" s="1"/>
  <c r="P27" i="37"/>
  <c r="J46" i="37"/>
  <c r="J54" i="37"/>
  <c r="E32" i="37"/>
  <c r="E36" i="37" s="1"/>
  <c r="E27" i="37"/>
  <c r="J27" i="37"/>
  <c r="S33" i="41"/>
  <c r="K80" i="37"/>
  <c r="K33" i="41"/>
  <c r="I39" i="5" l="1"/>
  <c r="L39" i="5" s="1"/>
  <c r="I34" i="5" l="1"/>
  <c r="L34" i="5" s="1"/>
  <c r="I32" i="5" l="1"/>
  <c r="L32" i="5" s="1"/>
  <c r="I33" i="5"/>
  <c r="L33" i="5" s="1"/>
  <c r="F8" i="31"/>
  <c r="D8" i="31"/>
  <c r="C8" i="31"/>
  <c r="E5" i="31"/>
  <c r="G5" i="31" s="1"/>
  <c r="E8" i="31" l="1"/>
  <c r="G7" i="31"/>
  <c r="G8" i="31" s="1"/>
</calcChain>
</file>

<file path=xl/sharedStrings.xml><?xml version="1.0" encoding="utf-8"?>
<sst xmlns="http://schemas.openxmlformats.org/spreadsheetml/2006/main" count="893" uniqueCount="411">
  <si>
    <t>　</t>
  </si>
  <si>
    <t>形式収支</t>
    <rPh sb="0" eb="2">
      <t>ケイシキ</t>
    </rPh>
    <rPh sb="2" eb="4">
      <t>シュウシ</t>
    </rPh>
    <phoneticPr fontId="11"/>
  </si>
  <si>
    <t>実質収支</t>
    <rPh sb="0" eb="2">
      <t>ジッシツ</t>
    </rPh>
    <rPh sb="2" eb="4">
      <t>シュウシ</t>
    </rPh>
    <phoneticPr fontId="11"/>
  </si>
  <si>
    <t>経常収支比率</t>
    <rPh sb="0" eb="2">
      <t>ケイジョウ</t>
    </rPh>
    <rPh sb="2" eb="4">
      <t>シュウシ</t>
    </rPh>
    <rPh sb="4" eb="6">
      <t>ヒリツ</t>
    </rPh>
    <phoneticPr fontId="11"/>
  </si>
  <si>
    <t>地方債残高</t>
    <rPh sb="0" eb="3">
      <t>チホウサイ</t>
    </rPh>
    <rPh sb="3" eb="5">
      <t>ザンダカ</t>
    </rPh>
    <phoneticPr fontId="11"/>
  </si>
  <si>
    <t>（参考）</t>
    <rPh sb="1" eb="3">
      <t>サンコウ</t>
    </rPh>
    <phoneticPr fontId="11"/>
  </si>
  <si>
    <t>・普通会計とは</t>
    <rPh sb="1" eb="3">
      <t>フツウ</t>
    </rPh>
    <rPh sb="3" eb="5">
      <t>カイケイ</t>
    </rPh>
    <phoneticPr fontId="11"/>
  </si>
  <si>
    <t>（注）公営事業会計とは</t>
    <rPh sb="1" eb="2">
      <t>チュウ</t>
    </rPh>
    <rPh sb="3" eb="5">
      <t>コウエイ</t>
    </rPh>
    <rPh sb="5" eb="7">
      <t>ジギョウ</t>
    </rPh>
    <rPh sb="7" eb="9">
      <t>カイケイ</t>
    </rPh>
    <phoneticPr fontId="11"/>
  </si>
  <si>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11"/>
  </si>
  <si>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11"/>
  </si>
  <si>
    <t>　適用している事業にかかる会計</t>
    <rPh sb="1" eb="3">
      <t>テキヨウ</t>
    </rPh>
    <rPh sb="7" eb="9">
      <t>ジギョウ</t>
    </rPh>
    <rPh sb="13" eb="15">
      <t>カイケイ</t>
    </rPh>
    <phoneticPr fontId="11"/>
  </si>
  <si>
    <t>＊大阪市の場合の普通会計</t>
    <rPh sb="1" eb="4">
      <t>オオサカシ</t>
    </rPh>
    <rPh sb="5" eb="7">
      <t>バアイ</t>
    </rPh>
    <rPh sb="8" eb="10">
      <t>フツウ</t>
    </rPh>
    <rPh sb="10" eb="12">
      <t>カイケイ</t>
    </rPh>
    <phoneticPr fontId="11"/>
  </si>
  <si>
    <t>・経常収支比率とは</t>
    <rPh sb="1" eb="3">
      <t>ケイジョウ</t>
    </rPh>
    <rPh sb="3" eb="5">
      <t>シュウシ</t>
    </rPh>
    <rPh sb="5" eb="7">
      <t>ヒリツ</t>
    </rPh>
    <phoneticPr fontId="11"/>
  </si>
  <si>
    <t>地方交付税</t>
    <rPh sb="0" eb="2">
      <t>チホウ</t>
    </rPh>
    <rPh sb="2" eb="5">
      <t>コウフゼイ</t>
    </rPh>
    <phoneticPr fontId="11"/>
  </si>
  <si>
    <t>国庫支出金</t>
    <rPh sb="0" eb="2">
      <t>コッコ</t>
    </rPh>
    <rPh sb="2" eb="4">
      <t>シシュツ</t>
    </rPh>
    <rPh sb="4" eb="5">
      <t>キン</t>
    </rPh>
    <phoneticPr fontId="11"/>
  </si>
  <si>
    <t>地方債</t>
    <rPh sb="0" eb="3">
      <t>チホウサイ</t>
    </rPh>
    <phoneticPr fontId="11"/>
  </si>
  <si>
    <t>　○　収支状況（普通会計）</t>
  </si>
  <si>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</si>
  <si>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</si>
  <si>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</si>
  <si>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</si>
  <si>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</si>
  <si>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</si>
  <si>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</si>
  <si>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</si>
  <si>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</si>
  <si>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</si>
  <si>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</si>
  <si>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62年度</t>
  </si>
  <si>
    <t xml:space="preserve"> 　63年度</t>
  </si>
  <si>
    <t xml:space="preserve"> 　元年度</t>
  </si>
  <si>
    <t xml:space="preserve"> 　３ 年度</t>
  </si>
  <si>
    <t xml:space="preserve"> 　４ 年度</t>
  </si>
  <si>
    <t xml:space="preserve"> 　５ 年度</t>
  </si>
  <si>
    <t xml:space="preserve"> 　10年度</t>
  </si>
  <si>
    <t xml:space="preserve"> 　11年度</t>
  </si>
  <si>
    <t xml:space="preserve"> （単位：百万円、％）</t>
    <phoneticPr fontId="11"/>
  </si>
  <si>
    <t>歳入額</t>
    <phoneticPr fontId="11"/>
  </si>
  <si>
    <t>歳出額</t>
    <phoneticPr fontId="11"/>
  </si>
  <si>
    <t>うち地方税</t>
    <rPh sb="2" eb="5">
      <t>チホウゼイ</t>
    </rPh>
    <phoneticPr fontId="11"/>
  </si>
  <si>
    <t>構成比</t>
    <rPh sb="0" eb="3">
      <t>コウセイヒ</t>
    </rPh>
    <phoneticPr fontId="11"/>
  </si>
  <si>
    <t>△</t>
    <phoneticPr fontId="11"/>
  </si>
  <si>
    <t xml:space="preserve"> 　２ 年度</t>
    <phoneticPr fontId="11"/>
  </si>
  <si>
    <t xml:space="preserve"> 　６ 年度</t>
    <phoneticPr fontId="11"/>
  </si>
  <si>
    <t xml:space="preserve"> 　７ 年度</t>
    <phoneticPr fontId="11"/>
  </si>
  <si>
    <t xml:space="preserve"> 　８ 年度</t>
    <phoneticPr fontId="11"/>
  </si>
  <si>
    <t xml:space="preserve"> 　９ 年度</t>
    <phoneticPr fontId="11"/>
  </si>
  <si>
    <t xml:space="preserve"> 　12年度</t>
    <phoneticPr fontId="11"/>
  </si>
  <si>
    <t xml:space="preserve"> 　13年度</t>
    <rPh sb="4" eb="6">
      <t>ネンド</t>
    </rPh>
    <phoneticPr fontId="11"/>
  </si>
  <si>
    <t xml:space="preserve"> 　14年度</t>
    <rPh sb="4" eb="6">
      <t>ネンド</t>
    </rPh>
    <phoneticPr fontId="11"/>
  </si>
  <si>
    <t xml:space="preserve"> 　15年度</t>
    <rPh sb="4" eb="6">
      <t>ネンド</t>
    </rPh>
    <phoneticPr fontId="11"/>
  </si>
  <si>
    <t xml:space="preserve"> 　16年度</t>
    <rPh sb="4" eb="6">
      <t>ネンド</t>
    </rPh>
    <phoneticPr fontId="11"/>
  </si>
  <si>
    <t>Ｈ８年度</t>
    <rPh sb="2" eb="4">
      <t>ネンド</t>
    </rPh>
    <phoneticPr fontId="11"/>
  </si>
  <si>
    <t>Ｈ１０年度</t>
    <rPh sb="3" eb="5">
      <t>ネンド</t>
    </rPh>
    <phoneticPr fontId="11"/>
  </si>
  <si>
    <t>Ｈ１２年度</t>
    <rPh sb="3" eb="5">
      <t>ネンド</t>
    </rPh>
    <phoneticPr fontId="11"/>
  </si>
  <si>
    <t>Ｈ１４年度</t>
    <rPh sb="3" eb="5">
      <t>ネンド</t>
    </rPh>
    <phoneticPr fontId="11"/>
  </si>
  <si>
    <t>Ｈ１６年度</t>
    <rPh sb="3" eb="5">
      <t>ネンド</t>
    </rPh>
    <phoneticPr fontId="11"/>
  </si>
  <si>
    <t>地方税</t>
    <rPh sb="0" eb="3">
      <t>チホウゼイ</t>
    </rPh>
    <phoneticPr fontId="11"/>
  </si>
  <si>
    <t>人件費</t>
    <rPh sb="0" eb="3">
      <t>ジンケンヒ</t>
    </rPh>
    <phoneticPr fontId="11"/>
  </si>
  <si>
    <t>扶助費</t>
    <rPh sb="0" eb="3">
      <t>フジョヒ</t>
    </rPh>
    <phoneticPr fontId="11"/>
  </si>
  <si>
    <t>投資的経費</t>
    <rPh sb="0" eb="3">
      <t>トウシテキ</t>
    </rPh>
    <rPh sb="3" eb="5">
      <t>ケイヒ</t>
    </rPh>
    <phoneticPr fontId="11"/>
  </si>
  <si>
    <t>Ｈ８を100とした場合</t>
    <rPh sb="9" eb="11">
      <t>バアイ</t>
    </rPh>
    <phoneticPr fontId="11"/>
  </si>
  <si>
    <t>公債費</t>
    <rPh sb="0" eb="2">
      <t>コウサイ</t>
    </rPh>
    <rPh sb="2" eb="3">
      <t>ヒ</t>
    </rPh>
    <phoneticPr fontId="11"/>
  </si>
  <si>
    <t>固定資産税（土地）・都市計画税（土地）</t>
    <rPh sb="0" eb="2">
      <t>コテイ</t>
    </rPh>
    <rPh sb="2" eb="5">
      <t>シサンゼイ</t>
    </rPh>
    <rPh sb="6" eb="8">
      <t>トチ</t>
    </rPh>
    <rPh sb="10" eb="12">
      <t>トシ</t>
    </rPh>
    <rPh sb="12" eb="14">
      <t>ケイカク</t>
    </rPh>
    <rPh sb="14" eb="15">
      <t>ゼイ</t>
    </rPh>
    <rPh sb="16" eb="18">
      <t>トチ</t>
    </rPh>
    <phoneticPr fontId="11"/>
  </si>
  <si>
    <t xml:space="preserve"> 　17年度</t>
    <rPh sb="4" eb="6">
      <t>ネンド</t>
    </rPh>
    <phoneticPr fontId="11"/>
  </si>
  <si>
    <t>Ｈ１７年度</t>
    <rPh sb="3" eb="5">
      <t>ネンド</t>
    </rPh>
    <phoneticPr fontId="11"/>
  </si>
  <si>
    <t xml:space="preserve"> 　18年度</t>
    <rPh sb="4" eb="6">
      <t>ネンド</t>
    </rPh>
    <phoneticPr fontId="11"/>
  </si>
  <si>
    <t>Ｈ１８年度</t>
    <rPh sb="3" eb="5">
      <t>ネンド</t>
    </rPh>
    <phoneticPr fontId="11"/>
  </si>
  <si>
    <t>＜一般財源の推移＞</t>
    <rPh sb="1" eb="3">
      <t>イッパン</t>
    </rPh>
    <rPh sb="3" eb="5">
      <t>ザイゲン</t>
    </rPh>
    <rPh sb="6" eb="8">
      <t>スイイ</t>
    </rPh>
    <phoneticPr fontId="20"/>
  </si>
  <si>
    <t>8決算</t>
    <rPh sb="1" eb="3">
      <t>ケッサン</t>
    </rPh>
    <phoneticPr fontId="20"/>
  </si>
  <si>
    <t>10決算</t>
    <rPh sb="2" eb="4">
      <t>ケッサン</t>
    </rPh>
    <phoneticPr fontId="20"/>
  </si>
  <si>
    <t>12決算</t>
    <rPh sb="2" eb="4">
      <t>ケッサン</t>
    </rPh>
    <phoneticPr fontId="20"/>
  </si>
  <si>
    <t>14決算</t>
    <rPh sb="2" eb="4">
      <t>ケッサン</t>
    </rPh>
    <phoneticPr fontId="20"/>
  </si>
  <si>
    <t>16決算</t>
    <rPh sb="2" eb="4">
      <t>ケッサン</t>
    </rPh>
    <phoneticPr fontId="20"/>
  </si>
  <si>
    <t>17決算</t>
    <rPh sb="2" eb="4">
      <t>ケッサン</t>
    </rPh>
    <phoneticPr fontId="20"/>
  </si>
  <si>
    <t>18決算</t>
    <rPh sb="2" eb="4">
      <t>ケッサン</t>
    </rPh>
    <phoneticPr fontId="20"/>
  </si>
  <si>
    <t>地方税・地方交付税
・臨時財政対策債</t>
    <rPh sb="4" eb="6">
      <t>チホウ</t>
    </rPh>
    <rPh sb="6" eb="9">
      <t>コウフゼイ</t>
    </rPh>
    <rPh sb="11" eb="13">
      <t>リンジ</t>
    </rPh>
    <rPh sb="13" eb="15">
      <t>ザイセイ</t>
    </rPh>
    <rPh sb="15" eb="17">
      <t>タイサク</t>
    </rPh>
    <rPh sb="17" eb="18">
      <t>サイ</t>
    </rPh>
    <phoneticPr fontId="20"/>
  </si>
  <si>
    <t>地方譲与税等</t>
    <rPh sb="0" eb="2">
      <t>チホウ</t>
    </rPh>
    <rPh sb="2" eb="4">
      <t>ジョウヨ</t>
    </rPh>
    <rPh sb="4" eb="5">
      <t>ゼイ</t>
    </rPh>
    <rPh sb="5" eb="6">
      <t>トウ</t>
    </rPh>
    <phoneticPr fontId="20"/>
  </si>
  <si>
    <t>一般財源計</t>
    <rPh sb="0" eb="2">
      <t>イッパン</t>
    </rPh>
    <rPh sb="2" eb="4">
      <t>ザイゲン</t>
    </rPh>
    <rPh sb="4" eb="5">
      <t>ケイ</t>
    </rPh>
    <phoneticPr fontId="20"/>
  </si>
  <si>
    <t>8決算との増減額</t>
    <rPh sb="1" eb="3">
      <t>ケッサン</t>
    </rPh>
    <rPh sb="5" eb="6">
      <t>ゾウ</t>
    </rPh>
    <rPh sb="6" eb="7">
      <t>ゲン</t>
    </rPh>
    <rPh sb="7" eb="8">
      <t>ガク</t>
    </rPh>
    <phoneticPr fontId="20"/>
  </si>
  <si>
    <t>-</t>
    <phoneticPr fontId="20"/>
  </si>
  <si>
    <t>歳入内訳の推移</t>
    <rPh sb="0" eb="2">
      <t>サイニュウ</t>
    </rPh>
    <rPh sb="2" eb="4">
      <t>ウチワケ</t>
    </rPh>
    <rPh sb="5" eb="7">
      <t>スイイ</t>
    </rPh>
    <phoneticPr fontId="20"/>
  </si>
  <si>
    <t>＜グラフ元ねた（百万単位）＞</t>
    <rPh sb="4" eb="5">
      <t>モト</t>
    </rPh>
    <rPh sb="8" eb="10">
      <t>ヒャクマン</t>
    </rPh>
    <rPh sb="10" eb="12">
      <t>タンイ</t>
    </rPh>
    <phoneticPr fontId="20"/>
  </si>
  <si>
    <t>9決算</t>
    <rPh sb="1" eb="3">
      <t>ケッサン</t>
    </rPh>
    <phoneticPr fontId="20"/>
  </si>
  <si>
    <t>11決算</t>
    <rPh sb="2" eb="4">
      <t>ケッサン</t>
    </rPh>
    <phoneticPr fontId="20"/>
  </si>
  <si>
    <t>13決算</t>
    <rPh sb="2" eb="4">
      <t>ケッサン</t>
    </rPh>
    <phoneticPr fontId="20"/>
  </si>
  <si>
    <t>15決算</t>
    <rPh sb="2" eb="4">
      <t>ケッサン</t>
    </rPh>
    <phoneticPr fontId="20"/>
  </si>
  <si>
    <t>地方交付税</t>
    <rPh sb="0" eb="1">
      <t>チ</t>
    </rPh>
    <rPh sb="1" eb="2">
      <t>ホウ</t>
    </rPh>
    <rPh sb="2" eb="5">
      <t>コウフゼイ</t>
    </rPh>
    <phoneticPr fontId="20"/>
  </si>
  <si>
    <t>譲与税・交付金</t>
    <rPh sb="0" eb="2">
      <t>ジョウヨ</t>
    </rPh>
    <rPh sb="2" eb="3">
      <t>ゼイ</t>
    </rPh>
    <rPh sb="4" eb="7">
      <t>コウフキン</t>
    </rPh>
    <phoneticPr fontId="20"/>
  </si>
  <si>
    <t>国庫支出金</t>
    <rPh sb="0" eb="2">
      <t>コッコ</t>
    </rPh>
    <rPh sb="2" eb="5">
      <t>シシュツキン</t>
    </rPh>
    <phoneticPr fontId="20"/>
  </si>
  <si>
    <t>一般債</t>
    <rPh sb="0" eb="2">
      <t>イッパン</t>
    </rPh>
    <rPh sb="2" eb="3">
      <t>サイ</t>
    </rPh>
    <phoneticPr fontId="20"/>
  </si>
  <si>
    <t>特別債</t>
    <rPh sb="0" eb="2">
      <t>トクベツ</t>
    </rPh>
    <rPh sb="2" eb="3">
      <t>サイ</t>
    </rPh>
    <phoneticPr fontId="20"/>
  </si>
  <si>
    <t>その他</t>
    <rPh sb="2" eb="3">
      <t>タ</t>
    </rPh>
    <phoneticPr fontId="20"/>
  </si>
  <si>
    <t>計</t>
    <rPh sb="0" eb="1">
      <t>ケイ</t>
    </rPh>
    <phoneticPr fontId="20"/>
  </si>
  <si>
    <t>（一般債＋特別債）</t>
    <rPh sb="1" eb="3">
      <t>イッパン</t>
    </rPh>
    <rPh sb="3" eb="4">
      <t>サイ</t>
    </rPh>
    <rPh sb="5" eb="7">
      <t>トクベツ</t>
    </rPh>
    <rPh sb="7" eb="8">
      <t>サイ</t>
    </rPh>
    <phoneticPr fontId="20"/>
  </si>
  <si>
    <t>＜地方税・地方交付税・臨時財政対策債の推移＞</t>
    <rPh sb="5" eb="7">
      <t>チホウ</t>
    </rPh>
    <rPh sb="7" eb="10">
      <t>コウフゼイ</t>
    </rPh>
    <rPh sb="11" eb="13">
      <t>リンジ</t>
    </rPh>
    <rPh sb="13" eb="15">
      <t>ザイセイ</t>
    </rPh>
    <rPh sb="15" eb="17">
      <t>タイサク</t>
    </rPh>
    <rPh sb="17" eb="18">
      <t>サイ</t>
    </rPh>
    <rPh sb="19" eb="21">
      <t>スイイ</t>
    </rPh>
    <phoneticPr fontId="20"/>
  </si>
  <si>
    <t>臨時財政対策債</t>
    <rPh sb="0" eb="2">
      <t>リンジ</t>
    </rPh>
    <rPh sb="2" eb="4">
      <t>ザイセイ</t>
    </rPh>
    <rPh sb="4" eb="6">
      <t>タイサク</t>
    </rPh>
    <rPh sb="6" eb="7">
      <t>サイ</t>
    </rPh>
    <phoneticPr fontId="20"/>
  </si>
  <si>
    <t>＜構成比（単純計算）＞</t>
    <rPh sb="1" eb="4">
      <t>コウセイヒ</t>
    </rPh>
    <rPh sb="5" eb="7">
      <t>タンジュン</t>
    </rPh>
    <rPh sb="7" eb="9">
      <t>ケイサン</t>
    </rPh>
    <phoneticPr fontId="20"/>
  </si>
  <si>
    <t>＜構成比（検収調書に合わせる）＞</t>
    <rPh sb="1" eb="4">
      <t>コウセイヒ</t>
    </rPh>
    <rPh sb="5" eb="7">
      <t>ケンシュウ</t>
    </rPh>
    <rPh sb="7" eb="9">
      <t>チョウショ</t>
    </rPh>
    <rPh sb="10" eb="11">
      <t>ア</t>
    </rPh>
    <phoneticPr fontId="20"/>
  </si>
  <si>
    <t>＊譲与税・交付金は構成比が出ていない・市債は一般債と特別債の計であわせる</t>
    <rPh sb="1" eb="3">
      <t>ジョウヨ</t>
    </rPh>
    <rPh sb="3" eb="4">
      <t>ゼイ</t>
    </rPh>
    <rPh sb="5" eb="8">
      <t>コウフキン</t>
    </rPh>
    <rPh sb="9" eb="12">
      <t>コウセイヒ</t>
    </rPh>
    <rPh sb="13" eb="14">
      <t>デ</t>
    </rPh>
    <rPh sb="19" eb="21">
      <t>シサイ</t>
    </rPh>
    <rPh sb="22" eb="24">
      <t>イッパン</t>
    </rPh>
    <rPh sb="24" eb="25">
      <t>サイ</t>
    </rPh>
    <rPh sb="26" eb="28">
      <t>トクベツ</t>
    </rPh>
    <rPh sb="28" eb="29">
      <t>サイ</t>
    </rPh>
    <rPh sb="30" eb="31">
      <t>ケイ</t>
    </rPh>
    <phoneticPr fontId="20"/>
  </si>
  <si>
    <t>歳出の性質別内訳の推移</t>
    <rPh sb="0" eb="2">
      <t>サイシュツ</t>
    </rPh>
    <rPh sb="3" eb="5">
      <t>セイシツ</t>
    </rPh>
    <rPh sb="5" eb="6">
      <t>ベツ</t>
    </rPh>
    <rPh sb="6" eb="8">
      <t>ウチワケ</t>
    </rPh>
    <rPh sb="9" eb="11">
      <t>スイイ</t>
    </rPh>
    <phoneticPr fontId="20"/>
  </si>
  <si>
    <t>投資的経費</t>
    <rPh sb="0" eb="3">
      <t>トウシテキ</t>
    </rPh>
    <rPh sb="3" eb="5">
      <t>ケイヒ</t>
    </rPh>
    <phoneticPr fontId="20"/>
  </si>
  <si>
    <t>公債費</t>
    <rPh sb="0" eb="2">
      <t>コウサイ</t>
    </rPh>
    <rPh sb="2" eb="3">
      <t>ヒ</t>
    </rPh>
    <phoneticPr fontId="20"/>
  </si>
  <si>
    <t>扶助費</t>
    <rPh sb="0" eb="3">
      <t>フジョヒ</t>
    </rPh>
    <phoneticPr fontId="20"/>
  </si>
  <si>
    <t>人件費</t>
    <rPh sb="0" eb="3">
      <t>ジンケンヒ</t>
    </rPh>
    <phoneticPr fontId="20"/>
  </si>
  <si>
    <t>＜義務的経費（公債費＋扶助費＋人件費）の推移＞</t>
    <rPh sb="1" eb="4">
      <t>ギムテキ</t>
    </rPh>
    <rPh sb="4" eb="6">
      <t>ケイヒ</t>
    </rPh>
    <rPh sb="7" eb="9">
      <t>コウサイ</t>
    </rPh>
    <rPh sb="9" eb="10">
      <t>ヒ</t>
    </rPh>
    <rPh sb="11" eb="14">
      <t>フジョヒ</t>
    </rPh>
    <rPh sb="15" eb="18">
      <t>ジンケンヒ</t>
    </rPh>
    <rPh sb="20" eb="22">
      <t>スイイ</t>
    </rPh>
    <phoneticPr fontId="20"/>
  </si>
  <si>
    <t>合計（義務的経費）</t>
    <rPh sb="0" eb="2">
      <t>ゴウケイ</t>
    </rPh>
    <rPh sb="3" eb="6">
      <t>ギムテキ</t>
    </rPh>
    <rPh sb="6" eb="8">
      <t>ケイヒ</t>
    </rPh>
    <phoneticPr fontId="20"/>
  </si>
  <si>
    <t>うち
生活保護費</t>
    <rPh sb="3" eb="5">
      <t>セイカツ</t>
    </rPh>
    <rPh sb="5" eb="7">
      <t>ホゴ</t>
    </rPh>
    <rPh sb="7" eb="8">
      <t>ヒ</t>
    </rPh>
    <phoneticPr fontId="11"/>
  </si>
  <si>
    <t xml:space="preserve"> 　19年度</t>
    <rPh sb="4" eb="6">
      <t>ネンド</t>
    </rPh>
    <phoneticPr fontId="11"/>
  </si>
  <si>
    <t>Ｈ１９年度</t>
    <rPh sb="3" eb="5">
      <t>ネンド</t>
    </rPh>
    <phoneticPr fontId="11"/>
  </si>
  <si>
    <t>19決算</t>
    <rPh sb="2" eb="4">
      <t>ケッサン</t>
    </rPh>
    <phoneticPr fontId="20"/>
  </si>
  <si>
    <t>Ｈ９年度</t>
    <rPh sb="2" eb="4">
      <t>ネンド</t>
    </rPh>
    <phoneticPr fontId="11"/>
  </si>
  <si>
    <t>Ｈ１１年度</t>
    <rPh sb="3" eb="5">
      <t>ネンド</t>
    </rPh>
    <phoneticPr fontId="11"/>
  </si>
  <si>
    <t>Ｈ１３年度</t>
    <rPh sb="3" eb="5">
      <t>ネンド</t>
    </rPh>
    <phoneticPr fontId="11"/>
  </si>
  <si>
    <t>Ｈ１５年度</t>
    <rPh sb="3" eb="5">
      <t>ネンド</t>
    </rPh>
    <phoneticPr fontId="11"/>
  </si>
  <si>
    <t>経常収支比率　＝</t>
    <rPh sb="0" eb="2">
      <t>ケイジョウ</t>
    </rPh>
    <rPh sb="2" eb="4">
      <t>シュウシ</t>
    </rPh>
    <rPh sb="4" eb="6">
      <t>ヒリツ</t>
    </rPh>
    <phoneticPr fontId="11"/>
  </si>
  <si>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11"/>
  </si>
  <si>
    <t>経常一般財源（地方税＋普通交付税等）＋臨時財政対策債＋減収補てん債（特例分）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0">
      <t>ホ</t>
    </rPh>
    <rPh sb="32" eb="33">
      <t>サイ</t>
    </rPh>
    <rPh sb="34" eb="36">
      <t>トクレイ</t>
    </rPh>
    <rPh sb="36" eb="37">
      <t>ブン</t>
    </rPh>
    <phoneticPr fontId="11"/>
  </si>
  <si>
    <t>・形式収支とは</t>
    <rPh sb="1" eb="3">
      <t>ケイシキ</t>
    </rPh>
    <rPh sb="3" eb="5">
      <t>シュウシ</t>
    </rPh>
    <phoneticPr fontId="11"/>
  </si>
  <si>
    <t>・実質収支とは</t>
    <rPh sb="1" eb="3">
      <t>ジッシツ</t>
    </rPh>
    <rPh sb="3" eb="5">
      <t>シュウシ</t>
    </rPh>
    <phoneticPr fontId="11"/>
  </si>
  <si>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11"/>
  </si>
  <si>
    <t xml:space="preserve"> 　　　　区  分
　年　度</t>
    <rPh sb="13" eb="14">
      <t>トシ</t>
    </rPh>
    <rPh sb="15" eb="16">
      <t>ド</t>
    </rPh>
    <phoneticPr fontId="11"/>
  </si>
  <si>
    <t>経常</t>
    <phoneticPr fontId="11"/>
  </si>
  <si>
    <t>収支比率</t>
    <rPh sb="0" eb="2">
      <t>シュウシ</t>
    </rPh>
    <phoneticPr fontId="11"/>
  </si>
  <si>
    <t>歳入歳出</t>
    <phoneticPr fontId="11"/>
  </si>
  <si>
    <t>差引形式</t>
    <phoneticPr fontId="11"/>
  </si>
  <si>
    <t xml:space="preserve"> 　20年度</t>
    <rPh sb="4" eb="6">
      <t>ネンド</t>
    </rPh>
    <phoneticPr fontId="11"/>
  </si>
  <si>
    <t>Ｈ２０年度</t>
    <rPh sb="3" eb="5">
      <t>ネンド</t>
    </rPh>
    <phoneticPr fontId="11"/>
  </si>
  <si>
    <t>20決算</t>
    <rPh sb="2" eb="4">
      <t>ケッサン</t>
    </rPh>
    <phoneticPr fontId="20"/>
  </si>
  <si>
    <t>20決算</t>
    <phoneticPr fontId="20"/>
  </si>
  <si>
    <t xml:space="preserve"> 　21年度</t>
    <rPh sb="4" eb="6">
      <t>ネンド</t>
    </rPh>
    <phoneticPr fontId="11"/>
  </si>
  <si>
    <t>Ｈ２１年度</t>
    <rPh sb="3" eb="5">
      <t>ネンド</t>
    </rPh>
    <phoneticPr fontId="11"/>
  </si>
  <si>
    <t>21決算</t>
    <phoneticPr fontId="20"/>
  </si>
  <si>
    <t>21決算</t>
  </si>
  <si>
    <t>21決算</t>
    <rPh sb="2" eb="4">
      <t>ケッサン</t>
    </rPh>
    <phoneticPr fontId="20"/>
  </si>
  <si>
    <t>　×100</t>
    <phoneticPr fontId="11"/>
  </si>
  <si>
    <t>Ｈ２２年度</t>
    <rPh sb="3" eb="5">
      <t>ネンド</t>
    </rPh>
    <phoneticPr fontId="11"/>
  </si>
  <si>
    <t xml:space="preserve"> 　22年度</t>
    <rPh sb="4" eb="6">
      <t>ネンド</t>
    </rPh>
    <phoneticPr fontId="11"/>
  </si>
  <si>
    <t>増減額</t>
    <rPh sb="0" eb="3">
      <t>ゾウゲンガク</t>
    </rPh>
    <phoneticPr fontId="11"/>
  </si>
  <si>
    <t>22決算</t>
    <rPh sb="2" eb="4">
      <t>ケッサン</t>
    </rPh>
    <phoneticPr fontId="20"/>
  </si>
  <si>
    <t>22決算</t>
  </si>
  <si>
    <t>＜グラフラベルネタ（億円単位）＞</t>
    <rPh sb="10" eb="11">
      <t>オク</t>
    </rPh>
    <rPh sb="11" eb="12">
      <t>エン</t>
    </rPh>
    <rPh sb="12" eb="14">
      <t>タンイ</t>
    </rPh>
    <phoneticPr fontId="20"/>
  </si>
  <si>
    <t>＜グラフラベルネタ（億円単位）＞</t>
    <rPh sb="10" eb="12">
      <t>オクエン</t>
    </rPh>
    <rPh sb="12" eb="14">
      <t>タンイ</t>
    </rPh>
    <phoneticPr fontId="20"/>
  </si>
  <si>
    <t>↑カメラ</t>
    <phoneticPr fontId="20"/>
  </si>
  <si>
    <t>地方債</t>
    <rPh sb="0" eb="3">
      <t>チホウサイ</t>
    </rPh>
    <phoneticPr fontId="20"/>
  </si>
  <si>
    <t>うち一般債</t>
    <rPh sb="2" eb="4">
      <t>イッパン</t>
    </rPh>
    <rPh sb="4" eb="5">
      <t>サイ</t>
    </rPh>
    <phoneticPr fontId="20"/>
  </si>
  <si>
    <t>うち特別債</t>
    <rPh sb="2" eb="4">
      <t>トクベツ</t>
    </rPh>
    <rPh sb="4" eb="5">
      <t>サイ</t>
    </rPh>
    <phoneticPr fontId="20"/>
  </si>
  <si>
    <t>増減額</t>
    <rPh sb="0" eb="2">
      <t>ゾウゲン</t>
    </rPh>
    <rPh sb="2" eb="3">
      <t>ガク</t>
    </rPh>
    <phoneticPr fontId="11"/>
  </si>
  <si>
    <t>普通会計決算見込について</t>
    <rPh sb="0" eb="1">
      <t>ススム</t>
    </rPh>
    <rPh sb="1" eb="2">
      <t>ツウ</t>
    </rPh>
    <rPh sb="2" eb="3">
      <t>カイ</t>
    </rPh>
    <rPh sb="3" eb="4">
      <t>ケイ</t>
    </rPh>
    <rPh sb="4" eb="5">
      <t>ケツ</t>
    </rPh>
    <rPh sb="5" eb="6">
      <t>ザン</t>
    </rPh>
    <rPh sb="6" eb="7">
      <t>ミ</t>
    </rPh>
    <rPh sb="7" eb="8">
      <t>コミ</t>
    </rPh>
    <phoneticPr fontId="20"/>
  </si>
  <si>
    <t>大　　阪　　市</t>
    <rPh sb="0" eb="1">
      <t>ダイ</t>
    </rPh>
    <rPh sb="3" eb="4">
      <t>サカ</t>
    </rPh>
    <rPh sb="6" eb="7">
      <t>シ</t>
    </rPh>
    <phoneticPr fontId="20"/>
  </si>
  <si>
    <t>【特徴】</t>
    <rPh sb="1" eb="3">
      <t>トクチョウ</t>
    </rPh>
    <phoneticPr fontId="20"/>
  </si>
  <si>
    <t>実質収支</t>
    <rPh sb="0" eb="2">
      <t>ジッシツ</t>
    </rPh>
    <rPh sb="2" eb="4">
      <t>シュウシ</t>
    </rPh>
    <phoneticPr fontId="20"/>
  </si>
  <si>
    <t>1　歳出</t>
    <rPh sb="2" eb="4">
      <t>サイシュツ</t>
    </rPh>
    <phoneticPr fontId="20"/>
  </si>
  <si>
    <t>　○義務的経費（人件費・扶助費・公債費）</t>
    <rPh sb="2" eb="5">
      <t>ギムテキ</t>
    </rPh>
    <rPh sb="5" eb="7">
      <t>ケイヒ</t>
    </rPh>
    <rPh sb="8" eb="11">
      <t>ジンケンヒ</t>
    </rPh>
    <rPh sb="12" eb="15">
      <t>フジョヒ</t>
    </rPh>
    <rPh sb="16" eb="19">
      <t>コウサイヒ</t>
    </rPh>
    <phoneticPr fontId="20"/>
  </si>
  <si>
    <t>　　</t>
    <phoneticPr fontId="20"/>
  </si>
  <si>
    <t>　○投資的経費</t>
    <rPh sb="2" eb="5">
      <t>トウシテキ</t>
    </rPh>
    <rPh sb="5" eb="7">
      <t>ケイヒ</t>
    </rPh>
    <phoneticPr fontId="20"/>
  </si>
  <si>
    <t>　○その他経費</t>
    <rPh sb="4" eb="5">
      <t>タ</t>
    </rPh>
    <rPh sb="5" eb="7">
      <t>ケイヒ</t>
    </rPh>
    <phoneticPr fontId="20"/>
  </si>
  <si>
    <t>2　歳入</t>
    <rPh sb="2" eb="4">
      <t>サイニュウ</t>
    </rPh>
    <phoneticPr fontId="20"/>
  </si>
  <si>
    <t>　○地方税</t>
    <rPh sb="2" eb="5">
      <t>チホウゼイ</t>
    </rPh>
    <phoneticPr fontId="20"/>
  </si>
  <si>
    <t>　○地方交付税</t>
    <rPh sb="2" eb="4">
      <t>チホウ</t>
    </rPh>
    <rPh sb="4" eb="7">
      <t>コウフゼイ</t>
    </rPh>
    <phoneticPr fontId="20"/>
  </si>
  <si>
    <t>　○国庫支出金</t>
    <rPh sb="2" eb="4">
      <t>コッコ</t>
    </rPh>
    <rPh sb="4" eb="7">
      <t>シシュツキン</t>
    </rPh>
    <phoneticPr fontId="20"/>
  </si>
  <si>
    <t>　○地方債</t>
    <rPh sb="2" eb="5">
      <t>チホウサイ</t>
    </rPh>
    <phoneticPr fontId="20"/>
  </si>
  <si>
    <t>　○その他</t>
    <rPh sb="4" eb="5">
      <t>タ</t>
    </rPh>
    <phoneticPr fontId="20"/>
  </si>
  <si>
    <t>3　実質収支</t>
    <rPh sb="2" eb="4">
      <t>ジッシツ</t>
    </rPh>
    <rPh sb="4" eb="6">
      <t>シュウシ</t>
    </rPh>
    <phoneticPr fontId="20"/>
  </si>
  <si>
    <t>＜決算規模及び実質収支の推移＞</t>
    <rPh sb="1" eb="3">
      <t>ケッサン</t>
    </rPh>
    <rPh sb="3" eb="5">
      <t>キボ</t>
    </rPh>
    <rPh sb="5" eb="6">
      <t>オヨ</t>
    </rPh>
    <rPh sb="7" eb="9">
      <t>ジッシツ</t>
    </rPh>
    <rPh sb="9" eb="11">
      <t>シュウシ</t>
    </rPh>
    <rPh sb="12" eb="14">
      <t>スイイ</t>
    </rPh>
    <phoneticPr fontId="20"/>
  </si>
  <si>
    <t>4　財政構造の弾力性</t>
    <rPh sb="2" eb="4">
      <t>ザイセイ</t>
    </rPh>
    <rPh sb="4" eb="6">
      <t>コウゾウ</t>
    </rPh>
    <rPh sb="7" eb="10">
      <t>ダンリョクセイ</t>
    </rPh>
    <phoneticPr fontId="20"/>
  </si>
  <si>
    <t>（単位：百万円)</t>
    <rPh sb="1" eb="3">
      <t>タンイ</t>
    </rPh>
    <rPh sb="4" eb="7">
      <t>ヒャクマンエン</t>
    </rPh>
    <phoneticPr fontId="20"/>
  </si>
  <si>
    <t>歳入額</t>
    <rPh sb="0" eb="3">
      <t>サイニュウガク</t>
    </rPh>
    <phoneticPr fontId="20"/>
  </si>
  <si>
    <t>歳出額</t>
    <rPh sb="0" eb="2">
      <t>サイシュツ</t>
    </rPh>
    <rPh sb="2" eb="3">
      <t>ガク</t>
    </rPh>
    <phoneticPr fontId="20"/>
  </si>
  <si>
    <t>形式収支</t>
    <rPh sb="0" eb="2">
      <t>ケイシキ</t>
    </rPh>
    <rPh sb="2" eb="4">
      <t>シュウシ</t>
    </rPh>
    <phoneticPr fontId="20"/>
  </si>
  <si>
    <t>翌年度へ繰越
すべき財源</t>
    <rPh sb="0" eb="3">
      <t>ヨクネンド</t>
    </rPh>
    <rPh sb="4" eb="6">
      <t>クリコ</t>
    </rPh>
    <rPh sb="10" eb="12">
      <t>ザイゲン</t>
    </rPh>
    <phoneticPr fontId="20"/>
  </si>
  <si>
    <t>20年度</t>
    <rPh sb="2" eb="4">
      <t>ネンド</t>
    </rPh>
    <phoneticPr fontId="20"/>
  </si>
  <si>
    <t>比較</t>
    <rPh sb="0" eb="2">
      <t>ヒカク</t>
    </rPh>
    <phoneticPr fontId="20"/>
  </si>
  <si>
    <r>
      <t>2</t>
    </r>
    <r>
      <rPr>
        <sz val="11"/>
        <rFont val="ＭＳ Ｐゴシック"/>
        <family val="3"/>
        <charset val="128"/>
      </rPr>
      <t>3</t>
    </r>
    <r>
      <rPr>
        <sz val="11"/>
        <rFont val="ＭＳ Ｐゴシック"/>
        <family val="3"/>
        <charset val="128"/>
      </rPr>
      <t>決算</t>
    </r>
    <phoneticPr fontId="20"/>
  </si>
  <si>
    <r>
      <t>2</t>
    </r>
    <r>
      <rPr>
        <sz val="11"/>
        <rFont val="ＭＳ Ｐゴシック"/>
        <family val="3"/>
        <charset val="128"/>
      </rPr>
      <t>3</t>
    </r>
    <r>
      <rPr>
        <sz val="11"/>
        <rFont val="ＭＳ Ｐゴシック"/>
        <family val="3"/>
        <charset val="128"/>
      </rPr>
      <t>決算</t>
    </r>
    <rPh sb="2" eb="4">
      <t>ケッサン</t>
    </rPh>
    <phoneticPr fontId="20"/>
  </si>
  <si>
    <t>Ｈ２３年度</t>
    <rPh sb="3" eb="5">
      <t>ネンド</t>
    </rPh>
    <phoneticPr fontId="11"/>
  </si>
  <si>
    <t>地方税</t>
    <phoneticPr fontId="20"/>
  </si>
  <si>
    <t>地方交付税
・臨時財政対策債</t>
    <rPh sb="0" eb="2">
      <t>チホウ</t>
    </rPh>
    <rPh sb="2" eb="5">
      <t>コウフゼイ</t>
    </rPh>
    <rPh sb="7" eb="9">
      <t>リンジ</t>
    </rPh>
    <rPh sb="9" eb="11">
      <t>ザイセイ</t>
    </rPh>
    <rPh sb="11" eb="13">
      <t>タイサク</t>
    </rPh>
    <rPh sb="13" eb="14">
      <t>サイ</t>
    </rPh>
    <phoneticPr fontId="20"/>
  </si>
  <si>
    <t xml:space="preserve"> 　23年度</t>
    <rPh sb="4" eb="6">
      <t>ネンド</t>
    </rPh>
    <phoneticPr fontId="11"/>
  </si>
  <si>
    <t>5　地方債残高</t>
    <rPh sb="2" eb="5">
      <t>チホウサイ</t>
    </rPh>
    <rPh sb="5" eb="7">
      <t>ザンダカ</t>
    </rPh>
    <phoneticPr fontId="20"/>
  </si>
  <si>
    <t>残高</t>
    <rPh sb="0" eb="2">
      <t>ザンダカ</t>
    </rPh>
    <phoneticPr fontId="11"/>
  </si>
  <si>
    <t>　○譲与税・交付金</t>
    <rPh sb="2" eb="4">
      <t>ジョウヨ</t>
    </rPh>
    <rPh sb="4" eb="5">
      <t>ゼイ</t>
    </rPh>
    <rPh sb="6" eb="9">
      <t>コウフキン</t>
    </rPh>
    <phoneticPr fontId="20"/>
  </si>
  <si>
    <t>（全会計ベース）</t>
    <rPh sb="1" eb="2">
      <t>ゼン</t>
    </rPh>
    <rPh sb="2" eb="4">
      <t>カイケイ</t>
    </rPh>
    <phoneticPr fontId="11"/>
  </si>
  <si>
    <r>
      <t>24</t>
    </r>
    <r>
      <rPr>
        <sz val="11"/>
        <rFont val="ＭＳ Ｐゴシック"/>
        <family val="3"/>
        <charset val="128"/>
      </rPr>
      <t>決算</t>
    </r>
    <phoneticPr fontId="20"/>
  </si>
  <si>
    <r>
      <t>24</t>
    </r>
    <r>
      <rPr>
        <sz val="11"/>
        <rFont val="ＭＳ Ｐゴシック"/>
        <family val="3"/>
        <charset val="128"/>
      </rPr>
      <t>決算</t>
    </r>
    <rPh sb="2" eb="4">
      <t>ケッサン</t>
    </rPh>
    <phoneticPr fontId="20"/>
  </si>
  <si>
    <t xml:space="preserve"> 　24年度</t>
    <rPh sb="4" eb="6">
      <t>ネンド</t>
    </rPh>
    <phoneticPr fontId="11"/>
  </si>
  <si>
    <t>(△</t>
    <phoneticPr fontId="11"/>
  </si>
  <si>
    <t>4.2)</t>
    <phoneticPr fontId="11"/>
  </si>
  <si>
    <t>Ｈ２４年度</t>
    <rPh sb="3" eb="5">
      <t>ネンド</t>
    </rPh>
    <phoneticPr fontId="11"/>
  </si>
  <si>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11"/>
  </si>
  <si>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11"/>
  </si>
  <si>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11"/>
  </si>
  <si>
    <t>を中心とする毎年経常的に収入される一般財源（経常一般財源）、臨時財政対策債及び減収補て</t>
    <rPh sb="1" eb="3">
      <t>チュウシン</t>
    </rPh>
    <rPh sb="6" eb="8">
      <t>マイトシ</t>
    </rPh>
    <rPh sb="8" eb="10">
      <t>ケイジョウ</t>
    </rPh>
    <rPh sb="10" eb="11">
      <t>テキ</t>
    </rPh>
    <rPh sb="12" eb="14">
      <t>シュウニュウ</t>
    </rPh>
    <phoneticPr fontId="11"/>
  </si>
  <si>
    <t>ん債(特例分)の合計額に占める割合。</t>
    <rPh sb="1" eb="2">
      <t>サイ</t>
    </rPh>
    <rPh sb="3" eb="5">
      <t>トクレイ</t>
    </rPh>
    <rPh sb="5" eb="6">
      <t>ブン</t>
    </rPh>
    <phoneticPr fontId="11"/>
  </si>
  <si>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11"/>
  </si>
  <si>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11"/>
  </si>
  <si>
    <t>わらない見込みのものを、予算の定めるところにより翌年度に繰り越すこと。）等の財源を控除</t>
    <rPh sb="4" eb="6">
      <t>ミコ</t>
    </rPh>
    <rPh sb="12" eb="14">
      <t>ヨサン</t>
    </rPh>
    <rPh sb="15" eb="16">
      <t>サダ</t>
    </rPh>
    <phoneticPr fontId="11"/>
  </si>
  <si>
    <t>した額。</t>
    <phoneticPr fontId="11"/>
  </si>
  <si>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11"/>
  </si>
  <si>
    <t>うち
障がい者自立支援給付費</t>
    <rPh sb="3" eb="4">
      <t>ショウ</t>
    </rPh>
    <rPh sb="6" eb="7">
      <t>シャ</t>
    </rPh>
    <rPh sb="7" eb="9">
      <t>ジリツ</t>
    </rPh>
    <rPh sb="9" eb="11">
      <t>シエン</t>
    </rPh>
    <rPh sb="11" eb="13">
      <t>キュウフ</t>
    </rPh>
    <rPh sb="13" eb="14">
      <t>ヒ</t>
    </rPh>
    <phoneticPr fontId="11"/>
  </si>
  <si>
    <t>24年度の上段（　　）は、財政調整基金への移替額（118,616百万円）を除いた実質的な決算額</t>
    <rPh sb="2" eb="4">
      <t>ネンド</t>
    </rPh>
    <rPh sb="5" eb="7">
      <t>ジョウダン</t>
    </rPh>
    <rPh sb="13" eb="15">
      <t>ザイセイ</t>
    </rPh>
    <rPh sb="15" eb="17">
      <t>チョウセイ</t>
    </rPh>
    <rPh sb="17" eb="19">
      <t>キキン</t>
    </rPh>
    <rPh sb="21" eb="22">
      <t>ワタル</t>
    </rPh>
    <rPh sb="22" eb="23">
      <t>カワ</t>
    </rPh>
    <rPh sb="23" eb="24">
      <t>ガク</t>
    </rPh>
    <rPh sb="32" eb="34">
      <t>ヒャクマン</t>
    </rPh>
    <rPh sb="34" eb="35">
      <t>エン</t>
    </rPh>
    <rPh sb="37" eb="38">
      <t>ノゾ</t>
    </rPh>
    <rPh sb="40" eb="43">
      <t>ジッシツテキ</t>
    </rPh>
    <rPh sb="44" eb="46">
      <t>ケッサン</t>
    </rPh>
    <rPh sb="46" eb="47">
      <t>ガク</t>
    </rPh>
    <phoneticPr fontId="11"/>
  </si>
  <si>
    <t>うち
財産収入</t>
    <rPh sb="3" eb="5">
      <t>ザイサン</t>
    </rPh>
    <rPh sb="5" eb="7">
      <t>シュウニュウ</t>
    </rPh>
    <phoneticPr fontId="11"/>
  </si>
  <si>
    <t xml:space="preserve"> 　25年度</t>
    <rPh sb="4" eb="6">
      <t>ネンド</t>
    </rPh>
    <phoneticPr fontId="11"/>
  </si>
  <si>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11"/>
  </si>
  <si>
    <t>＝　一般会計　＋</t>
    <rPh sb="2" eb="4">
      <t>イッパン</t>
    </rPh>
    <rPh sb="4" eb="6">
      <t>カイケイ</t>
    </rPh>
    <phoneticPr fontId="11"/>
  </si>
  <si>
    <t>　　心身障害者扶養共済事業会計</t>
    <rPh sb="2" eb="4">
      <t>シンシン</t>
    </rPh>
    <rPh sb="4" eb="7">
      <t>ショウガイシャ</t>
    </rPh>
    <rPh sb="7" eb="9">
      <t>フヨウ</t>
    </rPh>
    <rPh sb="9" eb="11">
      <t>キョウサイ</t>
    </rPh>
    <rPh sb="11" eb="13">
      <t>ジギョウ</t>
    </rPh>
    <rPh sb="13" eb="15">
      <t>カイケイ</t>
    </rPh>
    <phoneticPr fontId="11"/>
  </si>
  <si>
    <r>
      <t>25決算</t>
    </r>
    <r>
      <rPr>
        <sz val="11"/>
        <rFont val="ＭＳ Ｐゴシック"/>
        <family val="3"/>
        <charset val="128"/>
      </rPr>
      <t/>
    </r>
  </si>
  <si>
    <t>18決算</t>
    <phoneticPr fontId="20"/>
  </si>
  <si>
    <r>
      <t>2</t>
    </r>
    <r>
      <rPr>
        <sz val="11"/>
        <rFont val="ＭＳ Ｐゴシック"/>
        <family val="3"/>
        <charset val="128"/>
      </rPr>
      <t>5決算</t>
    </r>
    <rPh sb="2" eb="4">
      <t>ケッサン</t>
    </rPh>
    <phoneticPr fontId="20"/>
  </si>
  <si>
    <t>-</t>
    <phoneticPr fontId="20"/>
  </si>
  <si>
    <t>-</t>
    <phoneticPr fontId="20"/>
  </si>
  <si>
    <t>18決算</t>
    <phoneticPr fontId="20"/>
  </si>
  <si>
    <t>19決算</t>
    <phoneticPr fontId="20"/>
  </si>
  <si>
    <r>
      <t>2</t>
    </r>
    <r>
      <rPr>
        <sz val="11"/>
        <rFont val="ＭＳ Ｐゴシック"/>
        <family val="3"/>
        <charset val="128"/>
      </rPr>
      <t>3</t>
    </r>
    <r>
      <rPr>
        <sz val="11"/>
        <rFont val="ＭＳ Ｐゴシック"/>
        <family val="3"/>
        <charset val="128"/>
      </rPr>
      <t>決算</t>
    </r>
    <phoneticPr fontId="20"/>
  </si>
  <si>
    <t>25決算</t>
    <rPh sb="2" eb="4">
      <t>ケッサン</t>
    </rPh>
    <phoneticPr fontId="20"/>
  </si>
  <si>
    <t>21決算</t>
    <phoneticPr fontId="20"/>
  </si>
  <si>
    <t>地方税</t>
    <phoneticPr fontId="20"/>
  </si>
  <si>
    <t>Ｈ２５年度</t>
    <rPh sb="3" eb="5">
      <t>ネンド</t>
    </rPh>
    <phoneticPr fontId="11"/>
  </si>
  <si>
    <t>うち
臨時財政対策債</t>
    <rPh sb="3" eb="5">
      <t>リンジ</t>
    </rPh>
    <rPh sb="5" eb="7">
      <t>ザイセイ</t>
    </rPh>
    <rPh sb="7" eb="9">
      <t>タイサク</t>
    </rPh>
    <rPh sb="9" eb="10">
      <t>サイ</t>
    </rPh>
    <phoneticPr fontId="11"/>
  </si>
  <si>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11"/>
  </si>
  <si>
    <r>
      <t>2</t>
    </r>
    <r>
      <rPr>
        <sz val="11"/>
        <rFont val="ＭＳ Ｐゴシック"/>
        <family val="3"/>
        <charset val="128"/>
      </rPr>
      <t>6</t>
    </r>
    <r>
      <rPr>
        <sz val="11"/>
        <rFont val="ＭＳ Ｐゴシック"/>
        <family val="3"/>
        <charset val="128"/>
      </rPr>
      <t>決算</t>
    </r>
    <r>
      <rPr>
        <sz val="11"/>
        <rFont val="ＭＳ Ｐゴシック"/>
        <family val="3"/>
        <charset val="128"/>
      </rPr>
      <t/>
    </r>
    <phoneticPr fontId="11"/>
  </si>
  <si>
    <t>25決算</t>
  </si>
  <si>
    <r>
      <t>2</t>
    </r>
    <r>
      <rPr>
        <sz val="11"/>
        <rFont val="ＭＳ Ｐゴシック"/>
        <family val="3"/>
        <charset val="128"/>
      </rPr>
      <t>6</t>
    </r>
    <r>
      <rPr>
        <sz val="11"/>
        <rFont val="ＭＳ Ｐゴシック"/>
        <family val="3"/>
        <charset val="128"/>
      </rPr>
      <t>決算</t>
    </r>
    <r>
      <rPr>
        <sz val="11"/>
        <rFont val="ＭＳ Ｐゴシック"/>
        <family val="3"/>
        <charset val="128"/>
      </rPr>
      <t/>
    </r>
    <phoneticPr fontId="11"/>
  </si>
  <si>
    <t>26決算</t>
    <phoneticPr fontId="20"/>
  </si>
  <si>
    <r>
      <t>26</t>
    </r>
    <r>
      <rPr>
        <sz val="11"/>
        <rFont val="ＭＳ Ｐゴシック"/>
        <family val="3"/>
        <charset val="128"/>
      </rPr>
      <t>決算</t>
    </r>
    <rPh sb="2" eb="4">
      <t>ケッサン</t>
    </rPh>
    <phoneticPr fontId="20"/>
  </si>
  <si>
    <t>26決算</t>
    <rPh sb="2" eb="4">
      <t>ケッサン</t>
    </rPh>
    <phoneticPr fontId="20"/>
  </si>
  <si>
    <t>うち
地方消費税交付金</t>
    <rPh sb="3" eb="5">
      <t>チホウ</t>
    </rPh>
    <rPh sb="5" eb="8">
      <t>ショウヒゼイ</t>
    </rPh>
    <rPh sb="8" eb="11">
      <t>コウフキン</t>
    </rPh>
    <phoneticPr fontId="11"/>
  </si>
  <si>
    <t xml:space="preserve"> 　26年度</t>
    <rPh sb="4" eb="6">
      <t>ネンド</t>
    </rPh>
    <phoneticPr fontId="11"/>
  </si>
  <si>
    <t>Ｈ２６年度</t>
    <rPh sb="3" eb="5">
      <t>ネンド</t>
    </rPh>
    <phoneticPr fontId="11"/>
  </si>
  <si>
    <r>
      <t>　</t>
    </r>
    <r>
      <rPr>
        <sz val="11"/>
        <rFont val="HGP創英角ﾎﾟｯﾌﾟ体"/>
        <family val="3"/>
        <charset val="128"/>
      </rPr>
      <t/>
    </r>
    <phoneticPr fontId="11"/>
  </si>
  <si>
    <t>　　母子父子寡婦福祉貸付資金会計</t>
    <rPh sb="2" eb="4">
      <t>ボシ</t>
    </rPh>
    <rPh sb="4" eb="6">
      <t>フシ</t>
    </rPh>
    <rPh sb="6" eb="8">
      <t>カフ</t>
    </rPh>
    <rPh sb="8" eb="10">
      <t>フクシ</t>
    </rPh>
    <rPh sb="10" eb="12">
      <t>カシツケ</t>
    </rPh>
    <rPh sb="12" eb="14">
      <t>シキン</t>
    </rPh>
    <rPh sb="14" eb="16">
      <t>カイケイ</t>
    </rPh>
    <phoneticPr fontId="11"/>
  </si>
  <si>
    <t>うち
繰入金</t>
    <rPh sb="3" eb="5">
      <t>クリイレ</t>
    </rPh>
    <rPh sb="5" eb="6">
      <t>キン</t>
    </rPh>
    <phoneticPr fontId="11"/>
  </si>
  <si>
    <t>うち
繰出金</t>
    <rPh sb="3" eb="5">
      <t>クリダシ</t>
    </rPh>
    <rPh sb="5" eb="6">
      <t>キン</t>
    </rPh>
    <phoneticPr fontId="11"/>
  </si>
  <si>
    <t>27年度</t>
    <rPh sb="2" eb="4">
      <t>ネンド</t>
    </rPh>
    <phoneticPr fontId="20"/>
  </si>
  <si>
    <r>
      <t>2</t>
    </r>
    <r>
      <rPr>
        <sz val="11"/>
        <rFont val="ＭＳ Ｐゴシック"/>
        <family val="3"/>
        <charset val="128"/>
      </rPr>
      <t>7決算</t>
    </r>
    <phoneticPr fontId="11"/>
  </si>
  <si>
    <r>
      <t>2</t>
    </r>
    <r>
      <rPr>
        <sz val="11"/>
        <rFont val="ＭＳ Ｐゴシック"/>
        <family val="3"/>
        <charset val="128"/>
      </rPr>
      <t>7決算</t>
    </r>
    <phoneticPr fontId="11"/>
  </si>
  <si>
    <r>
      <t>2</t>
    </r>
    <r>
      <rPr>
        <sz val="11"/>
        <rFont val="ＭＳ Ｐゴシック"/>
        <family val="3"/>
        <charset val="128"/>
      </rPr>
      <t>7決算</t>
    </r>
    <phoneticPr fontId="11"/>
  </si>
  <si>
    <t>27決算</t>
    <phoneticPr fontId="20"/>
  </si>
  <si>
    <t>27決算</t>
    <rPh sb="2" eb="4">
      <t>ケッサン</t>
    </rPh>
    <phoneticPr fontId="20"/>
  </si>
  <si>
    <r>
      <t>27</t>
    </r>
    <r>
      <rPr>
        <sz val="11"/>
        <rFont val="ＭＳ Ｐゴシック"/>
        <family val="3"/>
        <charset val="128"/>
      </rPr>
      <t>決算</t>
    </r>
    <rPh sb="2" eb="4">
      <t>ケッサン</t>
    </rPh>
    <phoneticPr fontId="20"/>
  </si>
  <si>
    <r>
      <t>2</t>
    </r>
    <r>
      <rPr>
        <sz val="11"/>
        <rFont val="ＭＳ Ｐゴシック"/>
        <family val="3"/>
        <charset val="128"/>
      </rPr>
      <t>7</t>
    </r>
    <r>
      <rPr>
        <sz val="11"/>
        <rFont val="ＭＳ Ｐゴシック"/>
        <family val="3"/>
        <charset val="128"/>
      </rPr>
      <t>決算</t>
    </r>
    <rPh sb="2" eb="4">
      <t>ケッサン</t>
    </rPh>
    <phoneticPr fontId="20"/>
  </si>
  <si>
    <t>Ｈ２７年度</t>
    <rPh sb="3" eb="5">
      <t>ネンド</t>
    </rPh>
    <phoneticPr fontId="11"/>
  </si>
  <si>
    <t xml:space="preserve"> 　27年度</t>
    <rPh sb="4" eb="6">
      <t>ネンド</t>
    </rPh>
    <phoneticPr fontId="11"/>
  </si>
  <si>
    <t>（参　考）</t>
    <rPh sb="1" eb="2">
      <t>サン</t>
    </rPh>
    <rPh sb="3" eb="4">
      <t>コウ</t>
    </rPh>
    <phoneticPr fontId="11"/>
  </si>
  <si>
    <t>　　</t>
    <phoneticPr fontId="11"/>
  </si>
  <si>
    <t>　　</t>
    <phoneticPr fontId="20"/>
  </si>
  <si>
    <t>27年度</t>
    <phoneticPr fontId="11"/>
  </si>
  <si>
    <t>（単位：百万円・％）</t>
    <rPh sb="1" eb="3">
      <t>タンイ</t>
    </rPh>
    <rPh sb="4" eb="7">
      <t>ヒャクマンエン</t>
    </rPh>
    <phoneticPr fontId="20"/>
  </si>
  <si>
    <t>区分</t>
    <rPh sb="0" eb="2">
      <t>クブン</t>
    </rPh>
    <phoneticPr fontId="20"/>
  </si>
  <si>
    <t>差引増△減</t>
    <rPh sb="0" eb="2">
      <t>サシヒキ</t>
    </rPh>
    <rPh sb="2" eb="3">
      <t>ゾウ</t>
    </rPh>
    <rPh sb="4" eb="5">
      <t>ゲン</t>
    </rPh>
    <phoneticPr fontId="20"/>
  </si>
  <si>
    <t>伸び率</t>
    <rPh sb="0" eb="1">
      <t>ノ</t>
    </rPh>
    <rPh sb="2" eb="3">
      <t>リツ</t>
    </rPh>
    <phoneticPr fontId="20"/>
  </si>
  <si>
    <t>市税総計</t>
    <rPh sb="0" eb="2">
      <t>シゼイ</t>
    </rPh>
    <rPh sb="2" eb="4">
      <t>ソウケイ</t>
    </rPh>
    <phoneticPr fontId="20"/>
  </si>
  <si>
    <t>市民税</t>
    <rPh sb="0" eb="3">
      <t>シミンゼイ</t>
    </rPh>
    <phoneticPr fontId="20"/>
  </si>
  <si>
    <t>個人市民税</t>
    <rPh sb="0" eb="2">
      <t>コジン</t>
    </rPh>
    <rPh sb="2" eb="5">
      <t>シミンゼイ</t>
    </rPh>
    <phoneticPr fontId="20"/>
  </si>
  <si>
    <t>法人市民税</t>
    <rPh sb="0" eb="2">
      <t>ホウジン</t>
    </rPh>
    <rPh sb="2" eb="5">
      <t>シミンゼイ</t>
    </rPh>
    <phoneticPr fontId="20"/>
  </si>
  <si>
    <t>固定資産税</t>
    <rPh sb="0" eb="5">
      <t>コ</t>
    </rPh>
    <phoneticPr fontId="20"/>
  </si>
  <si>
    <t>土地</t>
    <rPh sb="0" eb="2">
      <t>トチ</t>
    </rPh>
    <phoneticPr fontId="20"/>
  </si>
  <si>
    <t>家屋</t>
    <rPh sb="0" eb="2">
      <t>カオク</t>
    </rPh>
    <phoneticPr fontId="20"/>
  </si>
  <si>
    <t>償却資産</t>
    <rPh sb="0" eb="2">
      <t>ショウキャク</t>
    </rPh>
    <rPh sb="2" eb="4">
      <t>シサン</t>
    </rPh>
    <phoneticPr fontId="20"/>
  </si>
  <si>
    <t>交付金</t>
    <rPh sb="0" eb="3">
      <t>コウフキン</t>
    </rPh>
    <phoneticPr fontId="20"/>
  </si>
  <si>
    <t>都市計画税</t>
    <rPh sb="0" eb="5">
      <t>ト</t>
    </rPh>
    <phoneticPr fontId="20"/>
  </si>
  <si>
    <t>軽自動車税</t>
    <rPh sb="0" eb="5">
      <t>ケ</t>
    </rPh>
    <phoneticPr fontId="20"/>
  </si>
  <si>
    <t>市たばこ税</t>
    <rPh sb="0" eb="5">
      <t>シ</t>
    </rPh>
    <phoneticPr fontId="20"/>
  </si>
  <si>
    <t>事業所税</t>
    <rPh sb="0" eb="4">
      <t>ジ</t>
    </rPh>
    <phoneticPr fontId="20"/>
  </si>
  <si>
    <t>◆</t>
    <phoneticPr fontId="20"/>
  </si>
  <si>
    <t>＜主な税目の増△減＞</t>
    <rPh sb="1" eb="2">
      <t>オモ</t>
    </rPh>
    <rPh sb="3" eb="5">
      <t>ゼイモク</t>
    </rPh>
    <rPh sb="6" eb="7">
      <t>ゾウ</t>
    </rPh>
    <rPh sb="8" eb="9">
      <t>ゲン</t>
    </rPh>
    <phoneticPr fontId="20"/>
  </si>
  <si>
    <t>個人市民税</t>
    <rPh sb="0" eb="5">
      <t>コ</t>
    </rPh>
    <phoneticPr fontId="20"/>
  </si>
  <si>
    <t>法人市民税</t>
    <rPh sb="0" eb="5">
      <t>ホ</t>
    </rPh>
    <phoneticPr fontId="20"/>
  </si>
  <si>
    <r>
      <t>○　</t>
    </r>
    <r>
      <rPr>
        <b/>
        <sz val="12"/>
        <rFont val="ＭＳ 明朝"/>
        <family val="1"/>
        <charset val="128"/>
      </rPr>
      <t/>
    </r>
    <phoneticPr fontId="20"/>
  </si>
  <si>
    <t>＜収納率＞</t>
    <rPh sb="1" eb="3">
      <t>シュウノウ</t>
    </rPh>
    <rPh sb="3" eb="4">
      <t>リツ</t>
    </rPh>
    <phoneticPr fontId="20"/>
  </si>
  <si>
    <t>（参考）市税収入の推移</t>
    <rPh sb="1" eb="3">
      <t>サンコウ</t>
    </rPh>
    <rPh sb="4" eb="6">
      <t>シゼイ</t>
    </rPh>
    <rPh sb="6" eb="8">
      <t>シュウニュウ</t>
    </rPh>
    <rPh sb="9" eb="11">
      <t>スイイ</t>
    </rPh>
    <phoneticPr fontId="20"/>
  </si>
  <si>
    <t>平　成　２８　年　度</t>
    <rPh sb="0" eb="1">
      <t>ヒラ</t>
    </rPh>
    <rPh sb="2" eb="3">
      <t>シゲル</t>
    </rPh>
    <rPh sb="7" eb="8">
      <t>トシ</t>
    </rPh>
    <rPh sb="9" eb="10">
      <t>ド</t>
    </rPh>
    <phoneticPr fontId="20"/>
  </si>
  <si>
    <t>平成２９年９月</t>
    <rPh sb="0" eb="2">
      <t>ヘイセイ</t>
    </rPh>
    <rPh sb="4" eb="5">
      <t>ネン</t>
    </rPh>
    <rPh sb="6" eb="7">
      <t>ガツ</t>
    </rPh>
    <phoneticPr fontId="20"/>
  </si>
  <si>
    <t>うち
教育・保育
給付費</t>
    <rPh sb="3" eb="5">
      <t>キョウイク</t>
    </rPh>
    <rPh sb="6" eb="8">
      <t>ホイク</t>
    </rPh>
    <rPh sb="9" eb="11">
      <t>キュウフ</t>
    </rPh>
    <rPh sb="11" eb="12">
      <t>ヒ</t>
    </rPh>
    <phoneticPr fontId="11"/>
  </si>
  <si>
    <t>28年度</t>
    <phoneticPr fontId="11"/>
  </si>
  <si>
    <t>平成28年度　　大阪市普通会計決算見込額</t>
    <phoneticPr fontId="11"/>
  </si>
  <si>
    <t>決算見込額</t>
    <phoneticPr fontId="11"/>
  </si>
  <si>
    <t>（伸び率）</t>
    <phoneticPr fontId="11"/>
  </si>
  <si>
    <r>
      <rPr>
        <sz val="16"/>
        <color theme="1"/>
        <rFont val="HG丸ｺﾞｼｯｸM-PRO"/>
        <family val="3"/>
        <charset val="128"/>
      </rPr>
      <t>　</t>
    </r>
    <r>
      <rPr>
        <u/>
        <sz val="16"/>
        <color theme="1"/>
        <rFont val="HG丸ｺﾞｼｯｸM-PRO"/>
        <family val="3"/>
        <charset val="128"/>
      </rPr>
      <t>28年度</t>
    </r>
    <rPh sb="3" eb="5">
      <t>ネンド</t>
    </rPh>
    <phoneticPr fontId="11"/>
  </si>
  <si>
    <r>
      <rPr>
        <sz val="16"/>
        <color theme="1"/>
        <rFont val="HG丸ｺﾞｼｯｸM-PRO"/>
        <family val="3"/>
        <charset val="128"/>
      </rPr>
      <t>　　　</t>
    </r>
    <r>
      <rPr>
        <u/>
        <sz val="16"/>
        <color theme="1"/>
        <rFont val="HG丸ｺﾞｼｯｸM-PRO"/>
        <family val="3"/>
        <charset val="128"/>
      </rPr>
      <t>27年度</t>
    </r>
    <rPh sb="5" eb="7">
      <t>ネンド</t>
    </rPh>
    <phoneticPr fontId="11"/>
  </si>
  <si>
    <t>　　　１，９１０百万円</t>
    <rPh sb="8" eb="11">
      <t>ヒャクマンエン</t>
    </rPh>
    <phoneticPr fontId="11"/>
  </si>
  <si>
    <t xml:space="preserve">     　 ４０１百万円</t>
    <rPh sb="10" eb="13">
      <t>ヒャクマンエン</t>
    </rPh>
    <phoneticPr fontId="11"/>
  </si>
  <si>
    <t>１，９９０百万円</t>
    <rPh sb="5" eb="8">
      <t>ヒャクマンエン</t>
    </rPh>
    <phoneticPr fontId="11"/>
  </si>
  <si>
    <t>４００百万円</t>
    <rPh sb="3" eb="6">
      <t>ヒャクマンエン</t>
    </rPh>
    <phoneticPr fontId="11"/>
  </si>
  <si>
    <r>
      <t>・その結果、実質収支は</t>
    </r>
    <r>
      <rPr>
        <sz val="11"/>
        <rFont val="HGS創英角ﾎﾟｯﾌﾟ体"/>
        <family val="3"/>
        <charset val="128"/>
      </rPr>
      <t>４億円の黒字</t>
    </r>
    <r>
      <rPr>
        <sz val="11"/>
        <rFont val="HG丸ｺﾞｼｯｸM-PRO"/>
        <family val="3"/>
        <charset val="128"/>
      </rPr>
      <t>となり、</t>
    </r>
    <r>
      <rPr>
        <sz val="11"/>
        <rFont val="HGP創英角ﾎﾟｯﾌﾟ体"/>
        <family val="3"/>
        <charset val="128"/>
      </rPr>
      <t>平成元年度決算から28年連続で黒字</t>
    </r>
    <r>
      <rPr>
        <sz val="11"/>
        <rFont val="HG丸ｺﾞｼｯｸM-PRO"/>
        <family val="3"/>
        <charset val="128"/>
      </rPr>
      <t xml:space="preserve">
　を維持できている。</t>
    </r>
    <rPh sb="3" eb="5">
      <t>ケッカ</t>
    </rPh>
    <rPh sb="6" eb="8">
      <t>ジッシツ</t>
    </rPh>
    <rPh sb="8" eb="10">
      <t>シュウシ</t>
    </rPh>
    <rPh sb="13" eb="14">
      <t>エン</t>
    </rPh>
    <rPh sb="15" eb="17">
      <t>クロジ</t>
    </rPh>
    <rPh sb="41" eb="43">
      <t>イジ</t>
    </rPh>
    <phoneticPr fontId="20"/>
  </si>
  <si>
    <r>
      <t>・市債発行をこの間 極力抑制してきた結果、
・</t>
    </r>
    <r>
      <rPr>
        <sz val="11"/>
        <color theme="1"/>
        <rFont val="HGP創英角ﾎﾟｯﾌﾟ体"/>
        <family val="3"/>
        <charset val="128"/>
      </rPr>
      <t>11</t>
    </r>
    <r>
      <rPr>
        <sz val="11"/>
        <color theme="1"/>
        <rFont val="HGS創英角ﾎﾟｯﾌﾟ体"/>
        <family val="3"/>
        <charset val="128"/>
      </rPr>
      <t>年連続で減少</t>
    </r>
    <r>
      <rPr>
        <sz val="11"/>
        <color theme="1"/>
        <rFont val="HG丸ｺﾞｼｯｸM-PRO"/>
        <family val="3"/>
        <charset val="128"/>
      </rPr>
      <t>（△1,413億円、△6.1％）し、
・</t>
    </r>
    <r>
      <rPr>
        <sz val="11"/>
        <color theme="1"/>
        <rFont val="HGS創英角ﾎﾟｯﾌﾟ体"/>
        <family val="3"/>
        <charset val="128"/>
      </rPr>
      <t>平成28年度末で２兆1,859億円</t>
    </r>
    <r>
      <rPr>
        <sz val="11"/>
        <color theme="1"/>
        <rFont val="HG丸ｺﾞｼｯｸM-PRO"/>
        <family val="3"/>
        <charset val="128"/>
      </rPr>
      <t>となっている。
・なお、全会計ベースでは平成２８年度末で４兆2,768億円となっている。</t>
    </r>
    <rPh sb="25" eb="26">
      <t>ネン</t>
    </rPh>
    <rPh sb="26" eb="28">
      <t>レンゾク</t>
    </rPh>
    <rPh sb="29" eb="31">
      <t>ゲンショウ</t>
    </rPh>
    <rPh sb="38" eb="40">
      <t>オクエン</t>
    </rPh>
    <rPh sb="51" eb="53">
      <t>ヘイセイ</t>
    </rPh>
    <rPh sb="55" eb="57">
      <t>ネンド</t>
    </rPh>
    <rPh sb="57" eb="58">
      <t>マツ</t>
    </rPh>
    <rPh sb="60" eb="61">
      <t>チョウ</t>
    </rPh>
    <rPh sb="66" eb="68">
      <t>オクエン</t>
    </rPh>
    <rPh sb="80" eb="81">
      <t>ゼン</t>
    </rPh>
    <rPh sb="81" eb="83">
      <t>カイケイ</t>
    </rPh>
    <rPh sb="88" eb="90">
      <t>ヘイセイ</t>
    </rPh>
    <rPh sb="92" eb="94">
      <t>ネンド</t>
    </rPh>
    <rPh sb="94" eb="95">
      <t>マツ</t>
    </rPh>
    <rPh sb="97" eb="98">
      <t>チョウ</t>
    </rPh>
    <rPh sb="103" eb="105">
      <t>オクエン</t>
    </rPh>
    <phoneticPr fontId="20"/>
  </si>
  <si>
    <t>　　歳出総額は１兆5,728億円で、前年度決算と比較すると、△572億円、△3.5％の減となっている。</t>
    <rPh sb="2" eb="4">
      <t>サイシュツ</t>
    </rPh>
    <rPh sb="4" eb="6">
      <t>ソウガク</t>
    </rPh>
    <rPh sb="18" eb="21">
      <t>ゼンネンド</t>
    </rPh>
    <rPh sb="21" eb="23">
      <t>ケッサン</t>
    </rPh>
    <rPh sb="24" eb="26">
      <t>ヒカク</t>
    </rPh>
    <rPh sb="43" eb="44">
      <t>ゲン</t>
    </rPh>
    <phoneticPr fontId="20"/>
  </si>
  <si>
    <r>
      <t>　　４億円の黒字となり、</t>
    </r>
    <r>
      <rPr>
        <sz val="11"/>
        <rFont val="HGP創英角ﾎﾟｯﾌﾟ体"/>
        <family val="3"/>
        <charset val="128"/>
      </rPr>
      <t>平成元年度決算から28年連続で黒字</t>
    </r>
    <r>
      <rPr>
        <sz val="11"/>
        <rFont val="HG丸ｺﾞｼｯｸM-PRO"/>
        <family val="3"/>
        <charset val="128"/>
      </rPr>
      <t>を維持できている。</t>
    </r>
    <rPh sb="6" eb="8">
      <t>クロジ</t>
    </rPh>
    <rPh sb="30" eb="32">
      <t>イジ</t>
    </rPh>
    <phoneticPr fontId="20"/>
  </si>
  <si>
    <t>28年度</t>
    <rPh sb="2" eb="4">
      <t>ネンド</t>
    </rPh>
    <phoneticPr fontId="20"/>
  </si>
  <si>
    <r>
      <t>　　市債発行をこの間極力抑制してきた結果、</t>
    </r>
    <r>
      <rPr>
        <sz val="11"/>
        <rFont val="HGS創英角ﾎﾟｯﾌﾟ体"/>
        <family val="3"/>
        <charset val="128"/>
      </rPr>
      <t>11年連続で減少</t>
    </r>
    <r>
      <rPr>
        <sz val="11"/>
        <rFont val="HG丸ｺﾞｼｯｸM-PRO"/>
        <family val="3"/>
        <charset val="128"/>
      </rPr>
      <t>（△1,413億円、△6.1％）し、</t>
    </r>
    <rPh sb="2" eb="6">
      <t>シサイハッコウ</t>
    </rPh>
    <rPh sb="9" eb="10">
      <t>カン</t>
    </rPh>
    <rPh sb="10" eb="12">
      <t>キョクリョク</t>
    </rPh>
    <rPh sb="12" eb="14">
      <t>ヨクセイ</t>
    </rPh>
    <rPh sb="18" eb="20">
      <t>ケッカ</t>
    </rPh>
    <rPh sb="23" eb="24">
      <t>ネン</t>
    </rPh>
    <rPh sb="24" eb="26">
      <t>レンゾク</t>
    </rPh>
    <rPh sb="27" eb="29">
      <t>ゲンショウ</t>
    </rPh>
    <rPh sb="36" eb="38">
      <t>オクエン</t>
    </rPh>
    <phoneticPr fontId="20"/>
  </si>
  <si>
    <t>　平成28年度末で２兆1,859億円となっている。</t>
    <phoneticPr fontId="20"/>
  </si>
  <si>
    <t>　（市民一人当たり　28年度決算：812千円　27年度決算：865千円　）</t>
    <phoneticPr fontId="20"/>
  </si>
  <si>
    <t xml:space="preserve">
</t>
    <phoneticPr fontId="11"/>
  </si>
  <si>
    <t>　　（詳細はP９～10を参照）</t>
    <phoneticPr fontId="11"/>
  </si>
  <si>
    <r>
      <t>28</t>
    </r>
    <r>
      <rPr>
        <sz val="11"/>
        <rFont val="ＭＳ Ｐゴシック"/>
        <family val="3"/>
        <charset val="128"/>
      </rPr>
      <t>決算</t>
    </r>
    <phoneticPr fontId="11"/>
  </si>
  <si>
    <t>28決算</t>
    <phoneticPr fontId="11"/>
  </si>
  <si>
    <r>
      <t>2</t>
    </r>
    <r>
      <rPr>
        <sz val="11"/>
        <rFont val="ＭＳ Ｐゴシック"/>
        <family val="3"/>
        <charset val="128"/>
      </rPr>
      <t>8決算</t>
    </r>
    <rPh sb="2" eb="4">
      <t>ケッサン</t>
    </rPh>
    <phoneticPr fontId="20"/>
  </si>
  <si>
    <r>
      <t>28</t>
    </r>
    <r>
      <rPr>
        <sz val="11"/>
        <rFont val="ＭＳ Ｐゴシック"/>
        <family val="3"/>
        <charset val="128"/>
      </rPr>
      <t>決算</t>
    </r>
    <rPh sb="2" eb="4">
      <t>ケッサン</t>
    </rPh>
    <phoneticPr fontId="20"/>
  </si>
  <si>
    <t>28決算</t>
    <rPh sb="2" eb="4">
      <t>ケッサン</t>
    </rPh>
    <phoneticPr fontId="20"/>
  </si>
  <si>
    <t xml:space="preserve"> 　28年度</t>
    <rPh sb="4" eb="6">
      <t>ネンド</t>
    </rPh>
    <phoneticPr fontId="11"/>
  </si>
  <si>
    <t>Ｈ２８年度</t>
    <rPh sb="3" eb="5">
      <t>ネンド</t>
    </rPh>
    <phoneticPr fontId="11"/>
  </si>
  <si>
    <t>- 会計相互間の重複</t>
    <phoneticPr fontId="11"/>
  </si>
  <si>
    <r>
      <t>・市政改革を引き続き推進し、財政の健全化に努めたが、
・地方交付税や臨時財政対策債などの減に加え、
・障がい者自立支援給付費の増などにより扶助費が増加した結果、
・前年度決算と比較して</t>
    </r>
    <r>
      <rPr>
        <sz val="11"/>
        <rFont val="HGP創英角ﾎﾟｯﾌﾟ体"/>
        <family val="3"/>
        <charset val="128"/>
      </rPr>
      <t>2.5ポイント悪化</t>
    </r>
    <r>
      <rPr>
        <sz val="11"/>
        <rFont val="HG丸ｺﾞｼｯｸM-PRO"/>
        <family val="3"/>
        <charset val="128"/>
      </rPr>
      <t>し、</t>
    </r>
    <r>
      <rPr>
        <sz val="11"/>
        <rFont val="HGP創英角ﾎﾟｯﾌﾟ体"/>
        <family val="3"/>
        <charset val="128"/>
      </rPr>
      <t>100.1％</t>
    </r>
    <r>
      <rPr>
        <sz val="11"/>
        <rFont val="HG丸ｺﾞｼｯｸM-PRO"/>
        <family val="3"/>
        <charset val="128"/>
      </rPr>
      <t>となっている。</t>
    </r>
    <rPh sb="14" eb="16">
      <t>ザイセイ</t>
    </rPh>
    <rPh sb="17" eb="20">
      <t>ケンゼンカ</t>
    </rPh>
    <rPh sb="21" eb="22">
      <t>ツト</t>
    </rPh>
    <rPh sb="28" eb="30">
      <t>チホウ</t>
    </rPh>
    <rPh sb="30" eb="33">
      <t>コウフゼイ</t>
    </rPh>
    <rPh sb="34" eb="36">
      <t>リンジ</t>
    </rPh>
    <rPh sb="36" eb="38">
      <t>ザイセイ</t>
    </rPh>
    <rPh sb="38" eb="40">
      <t>タイサク</t>
    </rPh>
    <rPh sb="40" eb="41">
      <t>サイ</t>
    </rPh>
    <rPh sb="44" eb="45">
      <t>ゲン</t>
    </rPh>
    <rPh sb="46" eb="47">
      <t>クワ</t>
    </rPh>
    <rPh sb="73" eb="75">
      <t>ゾウカ</t>
    </rPh>
    <rPh sb="77" eb="79">
      <t>ケッカ</t>
    </rPh>
    <rPh sb="82" eb="85">
      <t>ゼンネンド</t>
    </rPh>
    <rPh sb="85" eb="87">
      <t>ケッサン</t>
    </rPh>
    <rPh sb="88" eb="90">
      <t>ヒカク</t>
    </rPh>
    <rPh sb="99" eb="101">
      <t>アッカ</t>
    </rPh>
    <phoneticPr fontId="20"/>
  </si>
  <si>
    <t>　　</t>
    <phoneticPr fontId="20"/>
  </si>
  <si>
    <t>　　</t>
    <phoneticPr fontId="11"/>
  </si>
  <si>
    <t>　　市政改革を引き続き推進し、財政の健全化に努めたが、地方交付税や臨時財政対策債などの減に加え、</t>
    <rPh sb="2" eb="4">
      <t>シセイ</t>
    </rPh>
    <rPh sb="4" eb="6">
      <t>カイカク</t>
    </rPh>
    <rPh sb="7" eb="8">
      <t>ヒ</t>
    </rPh>
    <rPh sb="9" eb="10">
      <t>ツヅ</t>
    </rPh>
    <rPh sb="11" eb="13">
      <t>スイシン</t>
    </rPh>
    <rPh sb="15" eb="17">
      <t>ザイセイ</t>
    </rPh>
    <rPh sb="18" eb="21">
      <t>ケンゼンカ</t>
    </rPh>
    <rPh sb="22" eb="23">
      <t>ツト</t>
    </rPh>
    <phoneticPr fontId="20"/>
  </si>
  <si>
    <t>　指標である経常収支比率は、前年度決算と比較して2.5ポイント悪化し、100.1％となっている。</t>
    <rPh sb="31" eb="33">
      <t>アッカ</t>
    </rPh>
    <phoneticPr fontId="20"/>
  </si>
  <si>
    <t>　　　扶助費については、障がい者自立支援給付費（＋50億円、＋7.2％）や教育・保育給付費</t>
    <rPh sb="3" eb="6">
      <t>フジョヒ</t>
    </rPh>
    <rPh sb="12" eb="13">
      <t>ショウ</t>
    </rPh>
    <rPh sb="15" eb="16">
      <t>シャ</t>
    </rPh>
    <rPh sb="16" eb="18">
      <t>ジリツ</t>
    </rPh>
    <rPh sb="18" eb="20">
      <t>シエン</t>
    </rPh>
    <rPh sb="20" eb="22">
      <t>キュウフ</t>
    </rPh>
    <rPh sb="22" eb="23">
      <t>ヒ</t>
    </rPh>
    <rPh sb="27" eb="29">
      <t>オクエン</t>
    </rPh>
    <rPh sb="37" eb="39">
      <t>キョウイク</t>
    </rPh>
    <rPh sb="40" eb="42">
      <t>ホイク</t>
    </rPh>
    <rPh sb="42" eb="44">
      <t>キュウフ</t>
    </rPh>
    <rPh sb="44" eb="45">
      <t>ヒ</t>
    </rPh>
    <phoneticPr fontId="20"/>
  </si>
  <si>
    <t>　　（＋40億円、＋7.5％）の増などにより増（＋135億円、＋2.6％）となったが、職員数の削減など</t>
    <phoneticPr fontId="11"/>
  </si>
  <si>
    <t>　　による人件費の減（△71億円、△3.5％）や、元金償還額の減などにより公債費が減（△125億円、</t>
    <phoneticPr fontId="20"/>
  </si>
  <si>
    <t>　　△4.5％）となった結果、義務的経費が3年ぶりに減（△61億円、△0.6％）となっている。</t>
    <phoneticPr fontId="20"/>
  </si>
  <si>
    <t>　　　前年度における地方消費税の一時的な増収の影響による地方消費税交付金の減（△67億円、</t>
    <rPh sb="3" eb="6">
      <t>ゼンネンド</t>
    </rPh>
    <rPh sb="10" eb="12">
      <t>チホウ</t>
    </rPh>
    <rPh sb="12" eb="15">
      <t>ショウヒゼイ</t>
    </rPh>
    <rPh sb="16" eb="19">
      <t>イチジテキ</t>
    </rPh>
    <rPh sb="20" eb="22">
      <t>ゾウシュウ</t>
    </rPh>
    <rPh sb="23" eb="25">
      <t>エイキョウ</t>
    </rPh>
    <rPh sb="28" eb="30">
      <t>チホウ</t>
    </rPh>
    <rPh sb="30" eb="33">
      <t>ショウヒゼイ</t>
    </rPh>
    <rPh sb="33" eb="36">
      <t>コウフキン</t>
    </rPh>
    <rPh sb="37" eb="38">
      <t>ゲン</t>
    </rPh>
    <rPh sb="42" eb="44">
      <t>オクエン</t>
    </rPh>
    <phoneticPr fontId="20"/>
  </si>
  <si>
    <t>　　△10.1％）などにより減（△98億円、△10.2％）となっている。</t>
    <phoneticPr fontId="11"/>
  </si>
  <si>
    <t>　　　国の基準財政収入額の算定において、固定資産税が増となったことなどにより、△90億円、</t>
    <rPh sb="3" eb="4">
      <t>クニ</t>
    </rPh>
    <rPh sb="5" eb="7">
      <t>キジュン</t>
    </rPh>
    <rPh sb="7" eb="9">
      <t>ザイセイ</t>
    </rPh>
    <rPh sb="9" eb="11">
      <t>シュウニュウ</t>
    </rPh>
    <rPh sb="11" eb="12">
      <t>ガク</t>
    </rPh>
    <rPh sb="13" eb="15">
      <t>サンテイ</t>
    </rPh>
    <rPh sb="20" eb="22">
      <t>コテイ</t>
    </rPh>
    <rPh sb="22" eb="25">
      <t>シサンゼイ</t>
    </rPh>
    <rPh sb="26" eb="27">
      <t>ゾウ</t>
    </rPh>
    <rPh sb="42" eb="44">
      <t>オクエン</t>
    </rPh>
    <phoneticPr fontId="20"/>
  </si>
  <si>
    <t>　　△21.5％の減となっている。なお、後年度に地方交付税で全額措置される臨時財政対策債を含めた</t>
    <phoneticPr fontId="11"/>
  </si>
  <si>
    <t>　　実質的な地方交付税総額は、884億円（△219億円、△19.9％）となっている。</t>
    <phoneticPr fontId="11"/>
  </si>
  <si>
    <t>　　　臨時財政対策債の減（△129億円、△18.9％）などにより、３年連続の減（△104億円、</t>
    <rPh sb="3" eb="5">
      <t>リンジ</t>
    </rPh>
    <rPh sb="5" eb="7">
      <t>ザイセイ</t>
    </rPh>
    <rPh sb="7" eb="9">
      <t>タイサク</t>
    </rPh>
    <rPh sb="9" eb="10">
      <t>サイ</t>
    </rPh>
    <rPh sb="11" eb="12">
      <t>ゲン</t>
    </rPh>
    <rPh sb="17" eb="19">
      <t>オクエン</t>
    </rPh>
    <rPh sb="34" eb="35">
      <t>ネン</t>
    </rPh>
    <rPh sb="35" eb="37">
      <t>レンゾク</t>
    </rPh>
    <rPh sb="38" eb="39">
      <t>ゲン</t>
    </rPh>
    <rPh sb="44" eb="46">
      <t>オクエン</t>
    </rPh>
    <phoneticPr fontId="20"/>
  </si>
  <si>
    <t>　　△10.2％）となっている。</t>
    <phoneticPr fontId="20"/>
  </si>
  <si>
    <t>　　　法人税割の一部国税化等の税制改正などに伴う法人市民税の減（△95億円、△7.2％）などにより、</t>
    <rPh sb="3" eb="6">
      <t>ホウジンゼイ</t>
    </rPh>
    <rPh sb="6" eb="7">
      <t>ワリ</t>
    </rPh>
    <rPh sb="8" eb="10">
      <t>イチブ</t>
    </rPh>
    <rPh sb="10" eb="12">
      <t>コクゼイ</t>
    </rPh>
    <rPh sb="12" eb="13">
      <t>カ</t>
    </rPh>
    <rPh sb="13" eb="14">
      <t>トウ</t>
    </rPh>
    <rPh sb="15" eb="17">
      <t>ゼイセイ</t>
    </rPh>
    <rPh sb="17" eb="19">
      <t>カイセイ</t>
    </rPh>
    <rPh sb="22" eb="23">
      <t>トモナ</t>
    </rPh>
    <rPh sb="24" eb="26">
      <t>ホウジン</t>
    </rPh>
    <rPh sb="26" eb="29">
      <t>シミンゼイ</t>
    </rPh>
    <rPh sb="30" eb="31">
      <t>ゲン</t>
    </rPh>
    <rPh sb="35" eb="37">
      <t>オクエン</t>
    </rPh>
    <phoneticPr fontId="20"/>
  </si>
  <si>
    <t>　　ほぼ横ばいではあるものの、全体として４年ぶりの減（△6億円、△0.1％）となっている。</t>
    <rPh sb="15" eb="17">
      <t>ゼンタイ</t>
    </rPh>
    <rPh sb="21" eb="22">
      <t>ネン</t>
    </rPh>
    <rPh sb="25" eb="26">
      <t>ゲン</t>
    </rPh>
    <phoneticPr fontId="20"/>
  </si>
  <si>
    <r>
      <t xml:space="preserve">  　・法人税割の一部国税化等の税制改正などに伴う法人市民税の減などにより
  　　ほぼ横ばいではあるものの、</t>
    </r>
    <r>
      <rPr>
        <sz val="11"/>
        <rFont val="HGS創英角ﾎﾟｯﾌﾟ体"/>
        <family val="3"/>
        <charset val="128"/>
      </rPr>
      <t>地方税が４年ぶりにマイナス</t>
    </r>
    <r>
      <rPr>
        <sz val="11"/>
        <rFont val="HG丸ｺﾞｼｯｸM-PRO"/>
        <family val="3"/>
        <charset val="128"/>
      </rPr>
      <t>となったことや、
  　・</t>
    </r>
    <r>
      <rPr>
        <sz val="11"/>
        <rFont val="HGS創英角ﾎﾟｯﾌﾟ体"/>
        <family val="3"/>
        <charset val="128"/>
      </rPr>
      <t>地方交付税・臨時財政対策債が減</t>
    </r>
    <r>
      <rPr>
        <sz val="11"/>
        <rFont val="HG丸ｺﾞｼｯｸM-PRO"/>
        <family val="3"/>
        <charset val="128"/>
      </rPr>
      <t>となったことなどにより、
  　・総額1兆5,748億円（前年度比△57１億円、△3.5％）となっている。</t>
    </r>
    <rPh sb="44" eb="45">
      <t>ヨコ</t>
    </rPh>
    <phoneticPr fontId="11"/>
  </si>
  <si>
    <t>　　歳入総額は1兆5,748億円で、前年度決算と比較すると、△57１億円、△3.5％の減となっている。</t>
    <rPh sb="2" eb="4">
      <t>サイニュウ</t>
    </rPh>
    <rPh sb="4" eb="6">
      <t>ソウガク</t>
    </rPh>
    <rPh sb="18" eb="21">
      <t>ゼンネンド</t>
    </rPh>
    <rPh sb="21" eb="23">
      <t>ケッサン</t>
    </rPh>
    <rPh sb="24" eb="26">
      <t>ヒカク</t>
    </rPh>
    <rPh sb="43" eb="44">
      <t>ゲン</t>
    </rPh>
    <phoneticPr fontId="20"/>
  </si>
  <si>
    <r>
      <t xml:space="preserve">  　・障がい者自立支援給付費や教育・保育給付費などの</t>
    </r>
    <r>
      <rPr>
        <sz val="11"/>
        <rFont val="HGS創英角ﾎﾟｯﾌﾟ体"/>
        <family val="3"/>
        <charset val="128"/>
      </rPr>
      <t>扶助費の増加</t>
    </r>
    <r>
      <rPr>
        <sz val="11"/>
        <rFont val="HG丸ｺﾞｼｯｸM-PRO"/>
        <family val="3"/>
        <charset val="128"/>
      </rPr>
      <t>などがあるものの、
  　・市政改革を引き続き推進し、</t>
    </r>
    <r>
      <rPr>
        <sz val="11"/>
        <rFont val="HGS創英角ﾎﾟｯﾌﾟ体"/>
        <family val="3"/>
        <charset val="128"/>
      </rPr>
      <t>人件費の削減や施策・事業の見直し等</t>
    </r>
    <r>
      <rPr>
        <sz val="11"/>
        <rFont val="HG丸ｺﾞｼｯｸM-PRO"/>
        <family val="3"/>
        <charset val="128"/>
      </rPr>
      <t>を進めたことや、
  　・会計廃止の影響などによる</t>
    </r>
    <r>
      <rPr>
        <sz val="11"/>
        <rFont val="HGS創英角ﾎﾟｯﾌﾟ体"/>
        <family val="3"/>
        <charset val="128"/>
      </rPr>
      <t>その他経費の減</t>
    </r>
    <r>
      <rPr>
        <sz val="11"/>
        <rFont val="HG丸ｺﾞｼｯｸM-PRO"/>
        <family val="3"/>
        <charset val="128"/>
      </rPr>
      <t>などにより、
  　・総額1兆5,728億円（前年度比△572億円、△3.5％）となっている。</t>
    </r>
    <rPh sb="104" eb="105">
      <t>タ</t>
    </rPh>
    <rPh sb="105" eb="107">
      <t>ケイヒ</t>
    </rPh>
    <phoneticPr fontId="11"/>
  </si>
  <si>
    <r>
      <t>　　　</t>
    </r>
    <r>
      <rPr>
        <sz val="11"/>
        <color theme="1"/>
        <rFont val="HG丸ｺﾞｼｯｸM-PRO"/>
        <family val="3"/>
        <charset val="128"/>
      </rPr>
      <t>会計廃止の影響などにより、</t>
    </r>
    <r>
      <rPr>
        <sz val="11"/>
        <rFont val="HG丸ｺﾞｼｯｸM-PRO"/>
        <family val="3"/>
        <charset val="128"/>
      </rPr>
      <t>△363億円、△9.7％の減となっている。</t>
    </r>
    <rPh sb="3" eb="5">
      <t>カイケイ</t>
    </rPh>
    <rPh sb="5" eb="7">
      <t>ハイシ</t>
    </rPh>
    <rPh sb="8" eb="10">
      <t>エイキョウ</t>
    </rPh>
    <phoneticPr fontId="20"/>
  </si>
  <si>
    <r>
      <t>　　　</t>
    </r>
    <r>
      <rPr>
        <sz val="11"/>
        <color theme="1"/>
        <rFont val="HG丸ｺﾞｼｯｸM-PRO"/>
        <family val="3"/>
        <charset val="128"/>
      </rPr>
      <t>会計廃止の影響などにより</t>
    </r>
    <r>
      <rPr>
        <sz val="11"/>
        <rFont val="HG丸ｺﾞｼｯｸM-PRO"/>
        <family val="3"/>
        <charset val="128"/>
      </rPr>
      <t>、△504億円、△9.7％となっている。</t>
    </r>
    <rPh sb="3" eb="5">
      <t>カイケイ</t>
    </rPh>
    <rPh sb="5" eb="7">
      <t>ハイシ</t>
    </rPh>
    <rPh sb="8" eb="10">
      <t>エイキョウ</t>
    </rPh>
    <phoneticPr fontId="20"/>
  </si>
  <si>
    <t>　障がい者自立支援給付費の増などにより扶助費が増加した結果、財政構造の弾力性を判断するための</t>
    <rPh sb="1" eb="2">
      <t>ショウ</t>
    </rPh>
    <rPh sb="4" eb="5">
      <t>シャ</t>
    </rPh>
    <rPh sb="5" eb="7">
      <t>ジリツ</t>
    </rPh>
    <rPh sb="7" eb="9">
      <t>シエン</t>
    </rPh>
    <rPh sb="9" eb="11">
      <t>キュウフ</t>
    </rPh>
    <rPh sb="11" eb="12">
      <t>ヒ</t>
    </rPh>
    <rPh sb="13" eb="14">
      <t>ゾウ</t>
    </rPh>
    <rPh sb="19" eb="22">
      <t>フジョヒ</t>
    </rPh>
    <rPh sb="23" eb="25">
      <t>ゾウカ</t>
    </rPh>
    <rPh sb="27" eb="29">
      <t>ケッカ</t>
    </rPh>
    <phoneticPr fontId="20"/>
  </si>
  <si>
    <t>　　　うめきた２期区域整備事業の増（＋46億円、著増）などがあるものの、屋内運動場等の天井等落</t>
    <rPh sb="8" eb="9">
      <t>キ</t>
    </rPh>
    <rPh sb="9" eb="11">
      <t>クイキ</t>
    </rPh>
    <rPh sb="11" eb="13">
      <t>セイビ</t>
    </rPh>
    <rPh sb="13" eb="15">
      <t>ジギョウ</t>
    </rPh>
    <rPh sb="16" eb="17">
      <t>ゾウ</t>
    </rPh>
    <rPh sb="21" eb="23">
      <t>オクエン</t>
    </rPh>
    <rPh sb="24" eb="26">
      <t>チョゾウ</t>
    </rPh>
    <rPh sb="36" eb="38">
      <t>オクナイ</t>
    </rPh>
    <rPh sb="38" eb="42">
      <t>ウンドウジョウナド</t>
    </rPh>
    <rPh sb="43" eb="45">
      <t>テンジョウ</t>
    </rPh>
    <rPh sb="45" eb="46">
      <t>トウ</t>
    </rPh>
    <rPh sb="46" eb="47">
      <t>オチ</t>
    </rPh>
    <phoneticPr fontId="20"/>
  </si>
  <si>
    <t>　　下防止対策（△42億円、△99.0％）や城東区役所庁舎建替事業（△29億円、△99.6％）の減など</t>
    <rPh sb="22" eb="27">
      <t>ジョウトウクヤクショ</t>
    </rPh>
    <rPh sb="27" eb="29">
      <t>チョウシャ</t>
    </rPh>
    <rPh sb="29" eb="31">
      <t>タテカ</t>
    </rPh>
    <rPh sb="31" eb="33">
      <t>ジギョウ</t>
    </rPh>
    <rPh sb="37" eb="39">
      <t>オクエン</t>
    </rPh>
    <phoneticPr fontId="20"/>
  </si>
  <si>
    <t>　　により2年連続の減（△8億円、△0.8％）となっている。　　</t>
    <phoneticPr fontId="11"/>
  </si>
  <si>
    <t>　　となっている。</t>
    <phoneticPr fontId="20"/>
  </si>
  <si>
    <t>　　　年金生活者等支援臨時福祉給付金の増（＋93億円、著増）などにより増（＋90億円、＋2.5％）</t>
    <rPh sb="3" eb="5">
      <t>ネンキン</t>
    </rPh>
    <rPh sb="5" eb="8">
      <t>セイカツシャ</t>
    </rPh>
    <rPh sb="8" eb="9">
      <t>トウ</t>
    </rPh>
    <rPh sb="9" eb="11">
      <t>シエン</t>
    </rPh>
    <rPh sb="11" eb="13">
      <t>リンジ</t>
    </rPh>
    <rPh sb="13" eb="15">
      <t>フクシ</t>
    </rPh>
    <rPh sb="15" eb="18">
      <t>キュウフキン</t>
    </rPh>
    <rPh sb="19" eb="20">
      <t>ゾウ</t>
    </rPh>
    <rPh sb="24" eb="26">
      <t>オクエン</t>
    </rPh>
    <rPh sb="27" eb="29">
      <t>チョゾウ</t>
    </rPh>
    <phoneticPr fontId="20"/>
  </si>
  <si>
    <t>（単位：百万円・％）</t>
    <phoneticPr fontId="11"/>
  </si>
  <si>
    <t>増減額</t>
    <phoneticPr fontId="11"/>
  </si>
  <si>
    <t>歳入総額</t>
    <phoneticPr fontId="11"/>
  </si>
  <si>
    <t>歳出総額</t>
    <phoneticPr fontId="11"/>
  </si>
  <si>
    <t>地方税</t>
    <phoneticPr fontId="11"/>
  </si>
  <si>
    <t>義務的経費</t>
    <phoneticPr fontId="11"/>
  </si>
  <si>
    <t>譲与税・交付金</t>
    <phoneticPr fontId="11"/>
  </si>
  <si>
    <t>人件費</t>
    <phoneticPr fontId="11"/>
  </si>
  <si>
    <t>扶助費</t>
    <phoneticPr fontId="11"/>
  </si>
  <si>
    <t>公債費</t>
    <phoneticPr fontId="11"/>
  </si>
  <si>
    <t>その他</t>
    <phoneticPr fontId="11"/>
  </si>
  <si>
    <t>投資的経費</t>
    <phoneticPr fontId="11"/>
  </si>
  <si>
    <t>その他経費</t>
    <phoneticPr fontId="11"/>
  </si>
  <si>
    <t>１００．１％</t>
    <phoneticPr fontId="11"/>
  </si>
  <si>
    <t>　　　９７．６％</t>
    <phoneticPr fontId="11"/>
  </si>
  <si>
    <t>　２兆１，８５９億円</t>
    <phoneticPr fontId="11"/>
  </si>
  <si>
    <t>　　　２兆３，２７２億円</t>
    <phoneticPr fontId="11"/>
  </si>
  <si>
    <t>　４兆２，７６８億円</t>
    <phoneticPr fontId="11"/>
  </si>
  <si>
    <t>　　　４兆４，５６７億円</t>
    <phoneticPr fontId="11"/>
  </si>
  <si>
    <t>※計数はそれぞれ四捨五入によっているので、端数において合計とは一致しないものがある</t>
    <rPh sb="1" eb="3">
      <t>ケイスウ</t>
    </rPh>
    <rPh sb="8" eb="12">
      <t>シシャゴニュウ</t>
    </rPh>
    <rPh sb="21" eb="23">
      <t>ハスウ</t>
    </rPh>
    <rPh sb="27" eb="29">
      <t>ゴウケイ</t>
    </rPh>
    <rPh sb="31" eb="33">
      <t>イッチ</t>
    </rPh>
    <phoneticPr fontId="20"/>
  </si>
  <si>
    <t>28年度決算見込は、ほぼ横ばいではあるものの、4年ぶりの減</t>
    <rPh sb="2" eb="4">
      <t>ネンド</t>
    </rPh>
    <rPh sb="4" eb="6">
      <t>ケッサン</t>
    </rPh>
    <rPh sb="6" eb="8">
      <t>ミコ</t>
    </rPh>
    <rPh sb="12" eb="13">
      <t>ヨコ</t>
    </rPh>
    <rPh sb="24" eb="25">
      <t>ネン</t>
    </rPh>
    <rPh sb="28" eb="29">
      <t>ゲン</t>
    </rPh>
    <phoneticPr fontId="20"/>
  </si>
  <si>
    <t>納税義務者数の増などにより、＋3.0%と5年連続の増</t>
    <rPh sb="0" eb="2">
      <t>ノウゼイ</t>
    </rPh>
    <rPh sb="2" eb="4">
      <t>ギム</t>
    </rPh>
    <rPh sb="4" eb="5">
      <t>シャ</t>
    </rPh>
    <rPh sb="5" eb="6">
      <t>スウ</t>
    </rPh>
    <rPh sb="7" eb="8">
      <t>ゾウ</t>
    </rPh>
    <rPh sb="21" eb="22">
      <t>ネン</t>
    </rPh>
    <rPh sb="22" eb="24">
      <t>レンゾク</t>
    </rPh>
    <rPh sb="25" eb="26">
      <t>ゾウ</t>
    </rPh>
    <phoneticPr fontId="20"/>
  </si>
  <si>
    <r>
      <t>○　</t>
    </r>
    <r>
      <rPr>
        <b/>
        <sz val="12"/>
        <rFont val="ＭＳ 明朝"/>
        <family val="1"/>
        <charset val="128"/>
      </rPr>
      <t/>
    </r>
    <phoneticPr fontId="20"/>
  </si>
  <si>
    <t>税制改正（法人税割の一部国税化等）による減などにより、△7.2%と2年連続の減</t>
    <rPh sb="0" eb="2">
      <t>ゼイセイ</t>
    </rPh>
    <rPh sb="2" eb="4">
      <t>カイセイ</t>
    </rPh>
    <rPh sb="20" eb="21">
      <t>ゲン</t>
    </rPh>
    <rPh sb="34" eb="35">
      <t>ネン</t>
    </rPh>
    <rPh sb="35" eb="37">
      <t>レンゾク</t>
    </rPh>
    <rPh sb="38" eb="39">
      <t>ゲン</t>
    </rPh>
    <phoneticPr fontId="20"/>
  </si>
  <si>
    <r>
      <t>○　</t>
    </r>
    <r>
      <rPr>
        <b/>
        <sz val="12"/>
        <rFont val="ＭＳ 明朝"/>
        <family val="1"/>
        <charset val="128"/>
      </rPr>
      <t/>
    </r>
    <phoneticPr fontId="20"/>
  </si>
  <si>
    <t>家屋の新増築による増などにより、＋1.5％と4年連続の増</t>
    <rPh sb="0" eb="2">
      <t>カオク</t>
    </rPh>
    <rPh sb="3" eb="6">
      <t>シンゾウチク</t>
    </rPh>
    <rPh sb="9" eb="10">
      <t>ゾウ</t>
    </rPh>
    <rPh sb="23" eb="24">
      <t>ネン</t>
    </rPh>
    <rPh sb="24" eb="26">
      <t>レンゾク</t>
    </rPh>
    <rPh sb="27" eb="28">
      <t>ゾウ</t>
    </rPh>
    <phoneticPr fontId="20"/>
  </si>
  <si>
    <t>※27・28年度の計数はそれぞれ四捨五入によっているので、端数において合計とは一致しないものがある</t>
    <rPh sb="6" eb="8">
      <t>ネンド</t>
    </rPh>
    <phoneticPr fontId="20"/>
  </si>
  <si>
    <t>8年度</t>
    <rPh sb="1" eb="3">
      <t>ネンド</t>
    </rPh>
    <phoneticPr fontId="20"/>
  </si>
  <si>
    <t>20年度</t>
    <rPh sb="2" eb="4">
      <t>ネンド</t>
    </rPh>
    <phoneticPr fontId="74"/>
  </si>
  <si>
    <t>21年度</t>
    <rPh sb="2" eb="4">
      <t>ネンド</t>
    </rPh>
    <phoneticPr fontId="74"/>
  </si>
  <si>
    <t>22年度</t>
    <rPh sb="2" eb="4">
      <t>ネンド</t>
    </rPh>
    <phoneticPr fontId="74"/>
  </si>
  <si>
    <t>25年度</t>
    <rPh sb="2" eb="4">
      <t>ネンド</t>
    </rPh>
    <phoneticPr fontId="74"/>
  </si>
  <si>
    <t>26年度</t>
    <rPh sb="2" eb="4">
      <t>ネンド</t>
    </rPh>
    <phoneticPr fontId="74"/>
  </si>
  <si>
    <t>27年度</t>
    <rPh sb="2" eb="4">
      <t>ネンド</t>
    </rPh>
    <phoneticPr fontId="74"/>
  </si>
  <si>
    <t>28年度
（見込）</t>
    <rPh sb="2" eb="4">
      <t>ネンド</t>
    </rPh>
    <rPh sb="6" eb="8">
      <t>ミコ</t>
    </rPh>
    <phoneticPr fontId="74"/>
  </si>
  <si>
    <t>固定資産税・都市計画税</t>
    <rPh sb="0" eb="2">
      <t>コテイ</t>
    </rPh>
    <rPh sb="2" eb="5">
      <t>シサンゼイ</t>
    </rPh>
    <rPh sb="6" eb="8">
      <t>トシ</t>
    </rPh>
    <rPh sb="8" eb="10">
      <t>ケイカク</t>
    </rPh>
    <rPh sb="10" eb="11">
      <t>ゼイ</t>
    </rPh>
    <phoneticPr fontId="20"/>
  </si>
  <si>
    <t>その他の税</t>
    <rPh sb="2" eb="3">
      <t>タ</t>
    </rPh>
    <rPh sb="4" eb="5">
      <t>ゼイ</t>
    </rPh>
    <phoneticPr fontId="20"/>
  </si>
  <si>
    <t>23年度</t>
    <rPh sb="2" eb="4">
      <t>ネンド</t>
    </rPh>
    <phoneticPr fontId="74"/>
  </si>
  <si>
    <t>24年度</t>
    <rPh sb="2" eb="4">
      <t>ネンド</t>
    </rPh>
    <phoneticPr fontId="74"/>
  </si>
  <si>
    <t>28年度</t>
    <rPh sb="2" eb="4">
      <t>ネンド</t>
    </rPh>
    <phoneticPr fontId="74"/>
  </si>
  <si>
    <t>※　H28決算以降は、計に合わせた端数調整を行わないこととしたため、四捨五入の関係で合計が一致しない場合がある。</t>
    <rPh sb="5" eb="7">
      <t>ケッサン</t>
    </rPh>
    <rPh sb="7" eb="9">
      <t>イコウ</t>
    </rPh>
    <rPh sb="11" eb="12">
      <t>ケイ</t>
    </rPh>
    <rPh sb="13" eb="14">
      <t>ア</t>
    </rPh>
    <rPh sb="17" eb="19">
      <t>ハスウ</t>
    </rPh>
    <rPh sb="19" eb="21">
      <t>チョウセイ</t>
    </rPh>
    <rPh sb="22" eb="23">
      <t>オコナ</t>
    </rPh>
    <phoneticPr fontId="20"/>
  </si>
  <si>
    <t>収納率</t>
    <rPh sb="0" eb="2">
      <t>シュウノウ</t>
    </rPh>
    <rPh sb="2" eb="3">
      <t>リツ</t>
    </rPh>
    <phoneticPr fontId="20"/>
  </si>
  <si>
    <t>うち現年課税分</t>
    <rPh sb="2" eb="3">
      <t>ゲン</t>
    </rPh>
    <rPh sb="3" eb="4">
      <t>ネン</t>
    </rPh>
    <rPh sb="4" eb="6">
      <t>カゼイ</t>
    </rPh>
    <rPh sb="6" eb="7">
      <t>ブン</t>
    </rPh>
    <phoneticPr fontId="20"/>
  </si>
  <si>
    <t>24年度</t>
    <rPh sb="2" eb="3">
      <t>ネン</t>
    </rPh>
    <rPh sb="3" eb="4">
      <t>ド</t>
    </rPh>
    <phoneticPr fontId="11"/>
  </si>
  <si>
    <t>25年度</t>
    <rPh sb="2" eb="4">
      <t>ネンド</t>
    </rPh>
    <phoneticPr fontId="20"/>
  </si>
  <si>
    <t>26年度</t>
    <rPh sb="2" eb="4">
      <t>ネンド</t>
    </rPh>
    <phoneticPr fontId="20"/>
  </si>
  <si>
    <t>28年度（見込）</t>
    <rPh sb="2" eb="4">
      <t>ネンド</t>
    </rPh>
    <rPh sb="5" eb="7">
      <t>ミコミ</t>
    </rPh>
    <phoneticPr fontId="20"/>
  </si>
  <si>
    <t>24年度</t>
    <rPh sb="2" eb="4">
      <t>ネンド</t>
    </rPh>
    <phoneticPr fontId="20"/>
  </si>
  <si>
    <t>29年度</t>
    <rPh sb="2" eb="4">
      <t>ネンド</t>
    </rPh>
    <phoneticPr fontId="20"/>
  </si>
  <si>
    <t>30年度</t>
    <rPh sb="2" eb="4">
      <t>ネンド</t>
    </rPh>
    <phoneticPr fontId="20"/>
  </si>
  <si>
    <t>19年度</t>
    <rPh sb="2" eb="4">
      <t>ネンド</t>
    </rPh>
    <phoneticPr fontId="20"/>
  </si>
  <si>
    <t>市税総額の未収金</t>
    <rPh sb="0" eb="2">
      <t>シゼイ</t>
    </rPh>
    <rPh sb="2" eb="4">
      <t>ソウガク</t>
    </rPh>
    <rPh sb="5" eb="8">
      <t>ミシュウキン</t>
    </rPh>
    <phoneticPr fontId="20"/>
  </si>
  <si>
    <t>現年課税分の未収金</t>
    <rPh sb="0" eb="1">
      <t>ゲン</t>
    </rPh>
    <rPh sb="1" eb="2">
      <t>ネン</t>
    </rPh>
    <rPh sb="2" eb="4">
      <t>カゼイ</t>
    </rPh>
    <rPh sb="4" eb="5">
      <t>ブン</t>
    </rPh>
    <rPh sb="6" eb="8">
      <t>ミシュウ</t>
    </rPh>
    <rPh sb="8" eb="9">
      <t>キン</t>
    </rPh>
    <phoneticPr fontId="20"/>
  </si>
  <si>
    <t>滞納繰越分の未収金</t>
    <rPh sb="0" eb="2">
      <t>タイノウ</t>
    </rPh>
    <rPh sb="2" eb="4">
      <t>クリコシ</t>
    </rPh>
    <rPh sb="4" eb="5">
      <t>ブン</t>
    </rPh>
    <rPh sb="6" eb="8">
      <t>ミシュウ</t>
    </rPh>
    <rPh sb="8" eb="9">
      <t>キン</t>
    </rPh>
    <phoneticPr fontId="20"/>
  </si>
  <si>
    <t>現年課税分の収納率</t>
    <rPh sb="0" eb="1">
      <t>ゲン</t>
    </rPh>
    <rPh sb="1" eb="2">
      <t>ネン</t>
    </rPh>
    <rPh sb="2" eb="4">
      <t>カゼイ</t>
    </rPh>
    <rPh sb="4" eb="5">
      <t>ブン</t>
    </rPh>
    <rPh sb="6" eb="8">
      <t>シュウノウ</t>
    </rPh>
    <rPh sb="8" eb="9">
      <t>リツ</t>
    </rPh>
    <phoneticPr fontId="20"/>
  </si>
  <si>
    <t>市税総額の収納率</t>
    <rPh sb="0" eb="2">
      <t>シゼイ</t>
    </rPh>
    <rPh sb="2" eb="4">
      <t>ソウガク</t>
    </rPh>
    <rPh sb="5" eb="7">
      <t>シュウノウ</t>
    </rPh>
    <rPh sb="7" eb="8">
      <t>リツ</t>
    </rPh>
    <phoneticPr fontId="20"/>
  </si>
  <si>
    <t>課税年度</t>
    <rPh sb="0" eb="2">
      <t>カゼイ</t>
    </rPh>
    <rPh sb="2" eb="4">
      <t>ネンド</t>
    </rPh>
    <phoneticPr fontId="20"/>
  </si>
  <si>
    <t>繰越 １年目</t>
    <rPh sb="0" eb="2">
      <t>クリコシ</t>
    </rPh>
    <rPh sb="4" eb="6">
      <t>ネンメ</t>
    </rPh>
    <phoneticPr fontId="20"/>
  </si>
  <si>
    <t>繰越 ２年目</t>
    <rPh sb="0" eb="2">
      <t>クリコシ</t>
    </rPh>
    <rPh sb="4" eb="6">
      <t>ネンメ</t>
    </rPh>
    <phoneticPr fontId="20"/>
  </si>
  <si>
    <t>繰越 ３年目</t>
    <rPh sb="0" eb="2">
      <t>クリコシ</t>
    </rPh>
    <rPh sb="4" eb="6">
      <t>ネンメ</t>
    </rPh>
    <phoneticPr fontId="20"/>
  </si>
  <si>
    <t>繰越 ４年目</t>
    <rPh sb="0" eb="2">
      <t>クリコシ</t>
    </rPh>
    <rPh sb="4" eb="6">
      <t>ネンメ</t>
    </rPh>
    <phoneticPr fontId="20"/>
  </si>
  <si>
    <t>合計</t>
    <rPh sb="0" eb="2">
      <t>ゴウケイ</t>
    </rPh>
    <phoneticPr fontId="20"/>
  </si>
  <si>
    <t>３年度</t>
    <rPh sb="1" eb="3">
      <t>ネンド</t>
    </rPh>
    <phoneticPr fontId="20"/>
  </si>
  <si>
    <t>４年度</t>
    <rPh sb="1" eb="3">
      <t>ネンド</t>
    </rPh>
    <phoneticPr fontId="20"/>
  </si>
  <si>
    <t>５年度</t>
    <rPh sb="1" eb="3">
      <t>ネンド</t>
    </rPh>
    <phoneticPr fontId="20"/>
  </si>
  <si>
    <t>６年度</t>
    <rPh sb="1" eb="3">
      <t>ネンド</t>
    </rPh>
    <phoneticPr fontId="20"/>
  </si>
  <si>
    <t>７年度</t>
    <rPh sb="1" eb="3">
      <t>ネンド</t>
    </rPh>
    <phoneticPr fontId="20"/>
  </si>
  <si>
    <t>８年度</t>
    <rPh sb="1" eb="3">
      <t>ネンド</t>
    </rPh>
    <phoneticPr fontId="20"/>
  </si>
  <si>
    <t>９年度</t>
    <rPh sb="1" eb="3">
      <t>ネンド</t>
    </rPh>
    <phoneticPr fontId="20"/>
  </si>
  <si>
    <t>１０年度</t>
    <rPh sb="2" eb="4">
      <t>ネンド</t>
    </rPh>
    <phoneticPr fontId="20"/>
  </si>
  <si>
    <t>１１年度</t>
    <rPh sb="2" eb="4">
      <t>ネンド</t>
    </rPh>
    <phoneticPr fontId="20"/>
  </si>
  <si>
    <t>１２年度</t>
    <rPh sb="2" eb="4">
      <t>ネンド</t>
    </rPh>
    <phoneticPr fontId="20"/>
  </si>
  <si>
    <t>１３年度</t>
    <rPh sb="2" eb="4">
      <t>ネンド</t>
    </rPh>
    <phoneticPr fontId="20"/>
  </si>
  <si>
    <t>１４年度</t>
    <rPh sb="2" eb="4">
      <t>ネンド</t>
    </rPh>
    <phoneticPr fontId="20"/>
  </si>
  <si>
    <t>17年度</t>
    <rPh sb="2" eb="4">
      <t>ネンド</t>
    </rPh>
    <phoneticPr fontId="20"/>
  </si>
  <si>
    <t>18年度</t>
    <rPh sb="2" eb="4">
      <t>ネンド</t>
    </rPh>
    <phoneticPr fontId="20"/>
  </si>
  <si>
    <t>21年度</t>
    <rPh sb="2" eb="4">
      <t>ネンド</t>
    </rPh>
    <phoneticPr fontId="20"/>
  </si>
  <si>
    <t>22年度</t>
    <rPh sb="2" eb="4">
      <t>ネンド</t>
    </rPh>
    <phoneticPr fontId="20"/>
  </si>
  <si>
    <t>23年度</t>
    <rPh sb="2" eb="4">
      <t>ネンド</t>
    </rPh>
    <phoneticPr fontId="20"/>
  </si>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</sst>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0_ "/>
    <numFmt numFmtId="178" formatCode="#,##0.0;&quot;△ &quot;#,##0.0"/>
    <numFmt numFmtId="179" formatCode="#,##0;&quot;△ &quot;#,##0"/>
    <numFmt numFmtId="180" formatCode="0_ "/>
    <numFmt numFmtId="181" formatCode="0.00_ "/>
    <numFmt numFmtId="182" formatCode="#,##0.0_ "/>
    <numFmt numFmtId="183" formatCode="#,##0.0;[Red]\-#,##0.0"/>
    <numFmt numFmtId="184" formatCode="0.000_ "/>
    <numFmt numFmtId="185" formatCode="&quot;(&quot;#,##0.0&quot;)&quot;;&quot;&quot;\(&quot;△ &quot;#,##0.0&quot;)&quot;"/>
    <numFmt numFmtId="186" formatCode="#,##0;&quot;▲ &quot;#,##0"/>
    <numFmt numFmtId="187" formatCode="#,##0;&quot;△ &quot;#,##0;&quot;－&quot;"/>
    <numFmt numFmtId="188" formatCode="\(#,##0\)_ "/>
    <numFmt numFmtId="189" formatCode="#,##0_);\(#,##0\)"/>
    <numFmt numFmtId="190" formatCode="&quot;△&quot;\ #,000&quot;億&quot;&quot;円&quot;"/>
    <numFmt numFmtId="191" formatCode="0.0;&quot;△ &quot;0.0"/>
    <numFmt numFmtId="192" formatCode="0.0;&quot;▲ &quot;0.0"/>
    <numFmt numFmtId="193" formatCode="0.0%"/>
  </numFmts>
  <fonts count="81">
    <font>
      <sz val="10.5"/>
      <name val="明朝体"/>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0"/>
      <name val="明朝"/>
      <family val="1"/>
      <charset val="128"/>
    </font>
    <font>
      <sz val="10.5"/>
      <name val="ＭＳ Ｐゴシック"/>
      <family val="3"/>
      <charset val="128"/>
    </font>
    <font>
      <sz val="11"/>
      <name val="ＭＳ Ｐゴシック"/>
      <family val="3"/>
      <charset val="128"/>
    </font>
    <font>
      <sz val="10.5"/>
      <name val="明朝体"/>
      <family val="3"/>
      <charset val="128"/>
    </font>
    <font>
      <i/>
      <sz val="10"/>
      <name val="ＭＳ Ｐゴシック"/>
      <family val="3"/>
      <charset val="128"/>
    </font>
    <font>
      <sz val="10.5"/>
      <name val="ＭＳ Ｐ明朝"/>
      <family val="1"/>
      <charset val="128"/>
    </font>
    <font>
      <sz val="10"/>
      <name val="ＭＳ Ｐ明朝"/>
      <family val="1"/>
      <charset val="128"/>
    </font>
    <font>
      <sz val="8"/>
      <name val="ＭＳ Ｐゴシック"/>
      <family val="3"/>
      <charset val="128"/>
    </font>
    <font>
      <sz val="6"/>
      <name val="ＭＳ Ｐゴシック"/>
      <family val="3"/>
      <charset val="128"/>
    </font>
    <font>
      <sz val="10"/>
      <name val="ＭＳ Ｐゴシック"/>
      <family val="3"/>
      <charset val="128"/>
    </font>
    <font>
      <sz val="10"/>
      <name val="HG丸ｺﾞｼｯｸM-PRO"/>
      <family val="3"/>
      <charset val="128"/>
    </font>
    <font>
      <sz val="9"/>
      <name val="HG丸ｺﾞｼｯｸM-PRO"/>
      <family val="3"/>
      <charset val="128"/>
    </font>
    <font>
      <sz val="10.5"/>
      <name val="HG丸ｺﾞｼｯｸM-PRO"/>
      <family val="3"/>
      <charset val="128"/>
    </font>
    <font>
      <sz val="12"/>
      <name val="HG丸ｺﾞｼｯｸM-PRO"/>
      <family val="3"/>
      <charset val="128"/>
    </font>
    <font>
      <sz val="11"/>
      <name val="HG丸ｺﾞｼｯｸM-PRO"/>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sz val="11"/>
      <name val="HGS創英角ﾎﾟｯﾌﾟ体"/>
      <family val="3"/>
      <charset val="128"/>
    </font>
    <font>
      <b/>
      <sz val="11"/>
      <name val="HG創英角ﾎﾟｯﾌﾟ体"/>
      <family val="3"/>
      <charset val="128"/>
    </font>
    <font>
      <sz val="11"/>
      <name val="HGP創英角ﾎﾟｯﾌﾟ体"/>
      <family val="3"/>
      <charset val="128"/>
    </font>
    <font>
      <sz val="16"/>
      <name val="HG創英角ﾎﾟｯﾌﾟ体"/>
      <family val="3"/>
      <charset val="128"/>
    </font>
    <font>
      <sz val="7"/>
      <name val="ＭＳ Ｐゴシック"/>
      <family val="3"/>
      <charset val="128"/>
    </font>
    <font>
      <sz val="11"/>
      <color rgb="FFFF0000"/>
      <name val="HG創英角ﾎﾟｯﾌﾟ体"/>
      <family val="3"/>
      <charset val="128"/>
    </font>
    <font>
      <sz val="11"/>
      <color theme="1"/>
      <name val="HG丸ｺﾞｼｯｸM-PRO"/>
      <family val="3"/>
      <charset val="128"/>
    </font>
    <font>
      <sz val="11"/>
      <color theme="1"/>
      <name val="HGS創英角ﾎﾟｯﾌﾟ体"/>
      <family val="3"/>
      <charset val="128"/>
    </font>
    <font>
      <sz val="8"/>
      <name val="ＭＳ Ｐ明朝"/>
      <family val="1"/>
      <charset val="128"/>
    </font>
    <font>
      <sz val="11"/>
      <color theme="1"/>
      <name val="HGP創英角ﾎﾟｯﾌﾟ体"/>
      <family val="3"/>
      <charset val="128"/>
    </font>
    <font>
      <sz val="12"/>
      <name val="明朝"/>
      <family val="1"/>
      <charset val="128"/>
    </font>
    <font>
      <b/>
      <sz val="12"/>
      <color rgb="FFFF0000"/>
      <name val="HG丸ｺﾞｼｯｸM-PRO"/>
      <family val="3"/>
      <charset val="128"/>
    </font>
    <font>
      <sz val="12"/>
      <name val="ＭＳ 明朝"/>
      <family val="1"/>
      <charset val="128"/>
    </font>
    <font>
      <sz val="10"/>
      <color theme="1"/>
      <name val="明朝"/>
      <family val="1"/>
      <charset val="128"/>
    </font>
    <font>
      <sz val="14"/>
      <color theme="1"/>
      <name val="HGP創英角ﾎﾟｯﾌﾟ体"/>
      <family val="3"/>
      <charset val="128"/>
    </font>
    <font>
      <i/>
      <sz val="10"/>
      <color theme="1"/>
      <name val="ＭＳ Ｐゴシック"/>
      <family val="3"/>
      <charset val="128"/>
    </font>
    <font>
      <sz val="10"/>
      <color theme="1"/>
      <name val="HG丸ｺﾞｼｯｸM-PRO"/>
      <family val="3"/>
      <charset val="128"/>
    </font>
    <font>
      <sz val="8"/>
      <color theme="1"/>
      <name val="HG丸ｺﾞｼｯｸM-PRO"/>
      <family val="3"/>
      <charset val="128"/>
    </font>
    <font>
      <sz val="11"/>
      <color theme="1"/>
      <name val="ＭＳ 明朝"/>
      <family val="1"/>
      <charset val="128"/>
    </font>
    <font>
      <b/>
      <sz val="11"/>
      <color theme="1"/>
      <name val="メイリオ"/>
      <family val="3"/>
      <charset val="128"/>
    </font>
    <font>
      <sz val="12"/>
      <color theme="1"/>
      <name val="HG丸ｺﾞｼｯｸM-PRO"/>
      <family val="3"/>
      <charset val="128"/>
    </font>
    <font>
      <u/>
      <sz val="16"/>
      <color theme="1"/>
      <name val="HG丸ｺﾞｼｯｸM-PRO"/>
      <family val="3"/>
      <charset val="128"/>
    </font>
    <font>
      <sz val="16"/>
      <color theme="1"/>
      <name val="HG丸ｺﾞｼｯｸM-PRO"/>
      <family val="3"/>
      <charset val="128"/>
    </font>
    <font>
      <i/>
      <sz val="12"/>
      <color theme="1"/>
      <name val="HG丸ｺﾞｼｯｸM-PRO"/>
      <family val="3"/>
      <charset val="128"/>
    </font>
    <font>
      <sz val="12"/>
      <color theme="1"/>
      <name val="明朝"/>
      <family val="1"/>
      <charset val="128"/>
    </font>
    <font>
      <b/>
      <sz val="14"/>
      <name val="ＭＳ 明朝"/>
      <family val="1"/>
      <charset val="128"/>
    </font>
    <font>
      <sz val="20"/>
      <name val="ＭＳ ゴシック"/>
      <family val="3"/>
      <charset val="128"/>
    </font>
    <font>
      <sz val="11"/>
      <name val="ＭＳ 明朝"/>
      <family val="1"/>
      <charset val="128"/>
    </font>
    <font>
      <sz val="10"/>
      <name val="ＭＳ 明朝"/>
      <family val="1"/>
      <charset val="128"/>
    </font>
    <font>
      <sz val="14"/>
      <name val="ＭＳ 明朝"/>
      <family val="1"/>
      <charset val="128"/>
    </font>
    <font>
      <sz val="14"/>
      <color indexed="10"/>
      <name val="ＭＳ 明朝"/>
      <family val="1"/>
      <charset val="128"/>
    </font>
    <font>
      <sz val="10"/>
      <color theme="1"/>
      <name val="ＭＳ 明朝"/>
      <family val="1"/>
      <charset val="128"/>
    </font>
    <font>
      <b/>
      <u/>
      <sz val="14"/>
      <name val="ＭＳ Ｐゴシック"/>
      <family val="3"/>
      <charset val="128"/>
    </font>
    <font>
      <b/>
      <sz val="12"/>
      <name val="ＭＳ ゴシック"/>
      <family val="3"/>
      <charset val="128"/>
    </font>
    <font>
      <b/>
      <sz val="12"/>
      <name val="ＭＳ 明朝"/>
      <family val="1"/>
      <charset val="128"/>
    </font>
    <font>
      <b/>
      <i/>
      <sz val="10"/>
      <name val="ＭＳ 明朝"/>
      <family val="1"/>
      <charset val="128"/>
    </font>
    <font>
      <b/>
      <sz val="11"/>
      <name val="ＭＳ 明朝"/>
      <family val="1"/>
      <charset val="128"/>
    </font>
    <font>
      <sz val="12"/>
      <name val="ＭＳ ゴシック"/>
      <family val="3"/>
      <charset val="128"/>
    </font>
    <font>
      <sz val="8"/>
      <name val="HG丸ｺﾞｼｯｸM-PRO"/>
      <family val="3"/>
      <charset val="128"/>
    </font>
    <font>
      <sz val="8"/>
      <name val="ＭＳ 明朝"/>
      <family val="1"/>
      <charset val="128"/>
    </font>
    <font>
      <sz val="8"/>
      <name val="ＭＳ ゴシック"/>
      <family val="3"/>
      <charset val="128"/>
    </font>
    <font>
      <sz val="6"/>
      <name val="ＭＳ 明朝"/>
      <family val="1"/>
      <charset val="128"/>
    </font>
    <font>
      <sz val="11"/>
      <color indexed="12"/>
      <name val="ＭＳ ゴシック"/>
      <family val="3"/>
      <charset val="128"/>
    </font>
    <font>
      <sz val="14"/>
      <color indexed="8"/>
      <name val="ＭＳ 明朝"/>
      <family val="1"/>
      <charset val="128"/>
    </font>
    <font>
      <sz val="9"/>
      <name val="ＭＳ Ｐゴシック"/>
      <family val="3"/>
      <charset val="128"/>
    </font>
    <font>
      <sz val="10"/>
      <color indexed="12"/>
      <name val="ＭＳ Ｐゴシック"/>
      <family val="3"/>
      <charset val="128"/>
    </font>
    <font>
      <sz val="10"/>
      <color rgb="FF000000"/>
      <name val="ＭＳ Ｐゴシック"/>
      <family val="3"/>
      <charset val="128"/>
    </font>
    <font>
      <sz val="10"/>
      <color theme="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0"/>
        <bgColor indexed="64"/>
      </patternFill>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14">
    <xf numFmtId="0" fontId="0" fillId="0" borderId="0"/>
    <xf numFmtId="9" fontId="10" fillId="0" borderId="0" applyFont="0" applyFill="0" applyBorder="0" applyAlignment="0" applyProtection="0"/>
    <xf numFmtId="38" fontId="10" fillId="0" borderId="0" applyFont="0" applyFill="0" applyBorder="0" applyAlignment="0" applyProtection="0"/>
    <xf numFmtId="0" fontId="15" fillId="0" borderId="0"/>
    <xf numFmtId="0" fontId="14" fillId="0" borderId="0"/>
    <xf numFmtId="38" fontId="14" fillId="0" borderId="0" applyFont="0" applyFill="0" applyBorder="0" applyAlignment="0" applyProtection="0"/>
    <xf numFmtId="0" fontId="9" fillId="0" borderId="0"/>
    <xf numFmtId="0" fontId="9" fillId="0" borderId="0"/>
    <xf numFmtId="0" fontId="45" fillId="0" borderId="0"/>
    <xf numFmtId="0" fontId="3"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cellStyleXfs>
  <cellXfs count="587">
    <xf numFmtId="0" fontId="0" fillId="0" borderId="0" xfId="0"/>
    <xf numFmtId="38" fontId="13" fillId="0" borderId="0" xfId="2" applyFont="1"/>
    <xf numFmtId="38" fontId="13" fillId="0" borderId="0" xfId="2" applyFont="1" applyAlignment="1">
      <alignment horizontal="center"/>
    </xf>
    <xf numFmtId="0" fontId="17" fillId="2" borderId="0" xfId="0" applyNumberFormat="1" applyFont="1" applyFill="1"/>
    <xf numFmtId="0" fontId="17" fillId="2" borderId="0" xfId="0" applyFont="1" applyFill="1"/>
    <xf numFmtId="0" fontId="18" fillId="2" borderId="0" xfId="0" applyNumberFormat="1" applyFont="1" applyFill="1" applyAlignment="1">
      <alignment vertical="center"/>
    </xf>
    <xf numFmtId="0" fontId="17" fillId="2" borderId="2" xfId="0" applyNumberFormat="1" applyFont="1" applyFill="1" applyBorder="1" applyAlignment="1">
      <alignment vertical="center"/>
    </xf>
    <xf numFmtId="0" fontId="17" fillId="2" borderId="3" xfId="0" applyNumberFormat="1" applyFont="1" applyFill="1" applyBorder="1" applyAlignment="1">
      <alignment vertical="center"/>
    </xf>
    <xf numFmtId="0" fontId="17" fillId="2" borderId="4" xfId="0" applyNumberFormat="1" applyFont="1" applyFill="1" applyBorder="1" applyAlignment="1">
      <alignment vertical="center"/>
    </xf>
    <xf numFmtId="0" fontId="17" fillId="2" borderId="5" xfId="0" applyNumberFormat="1" applyFont="1" applyFill="1" applyBorder="1" applyAlignment="1">
      <alignment horizontal="right" vertical="center"/>
    </xf>
    <xf numFmtId="0" fontId="17" fillId="2" borderId="6" xfId="0" applyNumberFormat="1" applyFont="1" applyFill="1" applyBorder="1" applyAlignment="1">
      <alignment vertical="center"/>
    </xf>
    <xf numFmtId="0" fontId="18" fillId="2" borderId="5" xfId="0" applyNumberFormat="1" applyFont="1" applyFill="1" applyBorder="1" applyAlignment="1">
      <alignment vertical="center"/>
    </xf>
    <xf numFmtId="0" fontId="17" fillId="2" borderId="7" xfId="0" applyNumberFormat="1" applyFont="1" applyFill="1" applyBorder="1" applyAlignment="1">
      <alignment vertical="center"/>
    </xf>
    <xf numFmtId="0" fontId="18" fillId="2" borderId="7" xfId="0" applyNumberFormat="1" applyFont="1" applyFill="1" applyBorder="1" applyAlignment="1">
      <alignment horizontal="distributed" vertical="center" justifyLastLine="1"/>
    </xf>
    <xf numFmtId="0" fontId="18" fillId="2" borderId="8" xfId="0" applyNumberFormat="1" applyFont="1" applyFill="1" applyBorder="1" applyAlignment="1">
      <alignment vertical="center"/>
    </xf>
    <xf numFmtId="0" fontId="17" fillId="2" borderId="8" xfId="0" applyNumberFormat="1" applyFont="1" applyFill="1" applyBorder="1" applyAlignment="1">
      <alignment vertical="center"/>
    </xf>
    <xf numFmtId="0" fontId="18" fillId="2" borderId="9" xfId="0" applyNumberFormat="1" applyFont="1" applyFill="1" applyBorder="1" applyAlignment="1">
      <alignment vertical="center"/>
    </xf>
    <xf numFmtId="176" fontId="18" fillId="2" borderId="9" xfId="0" applyNumberFormat="1" applyFont="1" applyFill="1" applyBorder="1" applyAlignment="1">
      <alignment vertical="center"/>
    </xf>
    <xf numFmtId="182" fontId="18" fillId="2" borderId="9" xfId="0" applyNumberFormat="1" applyFont="1" applyFill="1" applyBorder="1" applyAlignment="1">
      <alignment vertical="center"/>
    </xf>
    <xf numFmtId="176" fontId="18" fillId="2" borderId="3" xfId="0" applyNumberFormat="1" applyFont="1" applyFill="1" applyBorder="1" applyAlignment="1">
      <alignment horizontal="right" vertical="center"/>
    </xf>
    <xf numFmtId="177" fontId="18" fillId="2" borderId="4" xfId="0" applyNumberFormat="1" applyFont="1" applyFill="1" applyBorder="1" applyAlignment="1">
      <alignment vertical="center"/>
    </xf>
    <xf numFmtId="180" fontId="18" fillId="2" borderId="4" xfId="0" applyNumberFormat="1" applyFont="1" applyFill="1" applyBorder="1" applyAlignment="1">
      <alignment vertical="center"/>
    </xf>
    <xf numFmtId="176" fontId="18" fillId="2" borderId="4" xfId="0" applyNumberFormat="1" applyFont="1" applyFill="1" applyBorder="1" applyAlignment="1">
      <alignment vertical="center"/>
    </xf>
    <xf numFmtId="176" fontId="18" fillId="2" borderId="8" xfId="0" applyNumberFormat="1" applyFont="1" applyFill="1" applyBorder="1" applyAlignment="1">
      <alignment vertical="center"/>
    </xf>
    <xf numFmtId="182" fontId="18" fillId="2" borderId="8" xfId="0" applyNumberFormat="1" applyFont="1" applyFill="1" applyBorder="1" applyAlignment="1">
      <alignment vertical="center"/>
    </xf>
    <xf numFmtId="176" fontId="18" fillId="2" borderId="10" xfId="0" applyNumberFormat="1" applyFont="1" applyFill="1" applyBorder="1" applyAlignment="1">
      <alignment horizontal="right" vertical="center"/>
    </xf>
    <xf numFmtId="177" fontId="18" fillId="2" borderId="11" xfId="0" applyNumberFormat="1" applyFont="1" applyFill="1" applyBorder="1" applyAlignment="1">
      <alignment vertical="center"/>
    </xf>
    <xf numFmtId="180" fontId="18" fillId="2" borderId="11" xfId="0" applyNumberFormat="1" applyFont="1" applyFill="1" applyBorder="1" applyAlignment="1">
      <alignment vertical="center"/>
    </xf>
    <xf numFmtId="0" fontId="18" fillId="2" borderId="8" xfId="0" applyNumberFormat="1" applyFont="1" applyFill="1" applyBorder="1" applyAlignment="1">
      <alignment horizontal="left" vertical="center"/>
    </xf>
    <xf numFmtId="0" fontId="17" fillId="2" borderId="0" xfId="0" applyNumberFormat="1" applyFont="1" applyFill="1" applyAlignment="1">
      <alignment horizontal="center"/>
    </xf>
    <xf numFmtId="0" fontId="17" fillId="2" borderId="0" xfId="0" applyNumberFormat="1" applyFont="1" applyFill="1" applyAlignment="1">
      <alignment horizontal="right"/>
    </xf>
    <xf numFmtId="3" fontId="17" fillId="2" borderId="0" xfId="0" applyNumberFormat="1" applyFont="1" applyFill="1"/>
    <xf numFmtId="38" fontId="17" fillId="2" borderId="0" xfId="2" applyFont="1" applyFill="1" applyAlignment="1"/>
    <xf numFmtId="38" fontId="15" fillId="0" borderId="0" xfId="2" applyFont="1" applyAlignment="1"/>
    <xf numFmtId="183" fontId="13" fillId="0" borderId="0" xfId="2" applyNumberFormat="1" applyFont="1"/>
    <xf numFmtId="38" fontId="13" fillId="0" borderId="0" xfId="2" applyFont="1" applyAlignment="1">
      <alignment wrapText="1"/>
    </xf>
    <xf numFmtId="38" fontId="21" fillId="0" borderId="0" xfId="2" applyFont="1" applyAlignment="1">
      <alignment horizontal="center"/>
    </xf>
    <xf numFmtId="0" fontId="18" fillId="2" borderId="7" xfId="0" applyNumberFormat="1" applyFont="1" applyFill="1" applyBorder="1" applyAlignment="1">
      <alignment horizontal="center" vertical="center"/>
    </xf>
    <xf numFmtId="0" fontId="18" fillId="2" borderId="8"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25" fillId="0" borderId="0" xfId="0" applyFont="1"/>
    <xf numFmtId="0" fontId="26" fillId="0" borderId="0" xfId="0" applyFont="1"/>
    <xf numFmtId="0" fontId="26" fillId="0" borderId="0" xfId="0" applyFont="1" applyAlignment="1"/>
    <xf numFmtId="0" fontId="26" fillId="0" borderId="0" xfId="0" quotePrefix="1" applyFont="1"/>
    <xf numFmtId="38" fontId="13" fillId="0" borderId="0" xfId="2" applyFont="1" applyFill="1"/>
    <xf numFmtId="0" fontId="17" fillId="0" borderId="0" xfId="0" applyNumberFormat="1" applyFont="1" applyFill="1"/>
    <xf numFmtId="0" fontId="18" fillId="0" borderId="8" xfId="0" applyNumberFormat="1" applyFont="1" applyFill="1" applyBorder="1" applyAlignment="1">
      <alignment horizontal="left" vertical="center"/>
    </xf>
    <xf numFmtId="176" fontId="18" fillId="0" borderId="8" xfId="0" applyNumberFormat="1" applyFont="1" applyFill="1" applyBorder="1" applyAlignment="1">
      <alignment vertical="center"/>
    </xf>
    <xf numFmtId="182" fontId="18" fillId="0" borderId="8" xfId="0" applyNumberFormat="1" applyFont="1" applyFill="1" applyBorder="1" applyAlignment="1">
      <alignment vertical="center"/>
    </xf>
    <xf numFmtId="176" fontId="18" fillId="0" borderId="10" xfId="0" applyNumberFormat="1" applyFont="1" applyFill="1" applyBorder="1" applyAlignment="1">
      <alignment horizontal="right" vertical="center"/>
    </xf>
    <xf numFmtId="177" fontId="18" fillId="0" borderId="11" xfId="0" applyNumberFormat="1" applyFont="1" applyFill="1" applyBorder="1" applyAlignment="1">
      <alignment vertical="center"/>
    </xf>
    <xf numFmtId="180" fontId="18" fillId="0" borderId="11" xfId="0" applyNumberFormat="1" applyFont="1" applyFill="1" applyBorder="1" applyAlignment="1">
      <alignment vertical="center"/>
    </xf>
    <xf numFmtId="0" fontId="22" fillId="0" borderId="0" xfId="3" applyNumberFormat="1" applyFont="1" applyFill="1" applyAlignment="1">
      <alignment horizontal="center"/>
    </xf>
    <xf numFmtId="0" fontId="12" fillId="0" borderId="0" xfId="3" applyFont="1" applyFill="1" applyAlignment="1">
      <alignment horizontal="center"/>
    </xf>
    <xf numFmtId="0" fontId="22" fillId="0" borderId="0" xfId="3" applyNumberFormat="1" applyFont="1" applyFill="1"/>
    <xf numFmtId="0" fontId="12" fillId="0" borderId="0" xfId="3" applyNumberFormat="1" applyFont="1" applyFill="1"/>
    <xf numFmtId="0" fontId="26" fillId="0" borderId="0" xfId="4" applyFont="1"/>
    <xf numFmtId="0" fontId="30" fillId="0" borderId="0" xfId="4" applyFont="1" applyAlignment="1">
      <alignment horizontal="center"/>
    </xf>
    <xf numFmtId="0" fontId="30" fillId="0" borderId="0" xfId="4" applyFont="1" applyAlignment="1">
      <alignment horizontal="distributed"/>
    </xf>
    <xf numFmtId="0" fontId="31" fillId="0" borderId="0" xfId="4" applyFont="1"/>
    <xf numFmtId="0" fontId="31" fillId="3" borderId="5" xfId="4" applyFont="1" applyFill="1" applyBorder="1"/>
    <xf numFmtId="0" fontId="31" fillId="3" borderId="14" xfId="4" applyFont="1" applyFill="1" applyBorder="1"/>
    <xf numFmtId="0" fontId="31" fillId="3" borderId="6" xfId="4" applyFont="1" applyFill="1" applyBorder="1"/>
    <xf numFmtId="0" fontId="31" fillId="3" borderId="1" xfId="4" applyFont="1" applyFill="1" applyBorder="1"/>
    <xf numFmtId="0" fontId="32" fillId="3" borderId="0" xfId="4" applyFont="1" applyFill="1" applyBorder="1" applyAlignment="1">
      <alignment horizontal="center"/>
    </xf>
    <xf numFmtId="0" fontId="31" fillId="3" borderId="0" xfId="4" applyFont="1" applyFill="1" applyBorder="1"/>
    <xf numFmtId="0" fontId="31" fillId="3" borderId="20" xfId="4" applyFont="1" applyFill="1" applyBorder="1"/>
    <xf numFmtId="0" fontId="31" fillId="0" borderId="5" xfId="4" applyFont="1" applyFill="1" applyBorder="1"/>
    <xf numFmtId="0" fontId="31" fillId="0" borderId="14" xfId="4" applyFont="1" applyFill="1" applyBorder="1"/>
    <xf numFmtId="0" fontId="31" fillId="0" borderId="6" xfId="4" applyFont="1" applyFill="1" applyBorder="1"/>
    <xf numFmtId="0" fontId="31" fillId="3" borderId="0" xfId="4" applyFont="1" applyFill="1" applyBorder="1" applyAlignment="1">
      <alignment horizontal="center" vertical="center"/>
    </xf>
    <xf numFmtId="0" fontId="31" fillId="0" borderId="10" xfId="4" applyFont="1" applyFill="1" applyBorder="1" applyAlignment="1">
      <alignment horizontal="left" vertical="distributed" wrapText="1" indent="1"/>
    </xf>
    <xf numFmtId="0" fontId="31" fillId="0" borderId="13" xfId="4" applyFont="1" applyFill="1" applyBorder="1" applyAlignment="1">
      <alignment horizontal="left" vertical="distributed" wrapText="1" indent="1"/>
    </xf>
    <xf numFmtId="0" fontId="31" fillId="0" borderId="11" xfId="4" applyFont="1" applyFill="1" applyBorder="1" applyAlignment="1">
      <alignment horizontal="left" vertical="distributed" wrapText="1" indent="1"/>
    </xf>
    <xf numFmtId="0" fontId="31" fillId="3" borderId="0" xfId="4" applyFont="1" applyFill="1" applyBorder="1" applyAlignment="1">
      <alignment horizontal="left" vertical="distributed" wrapText="1" indent="1"/>
    </xf>
    <xf numFmtId="0" fontId="31" fillId="0" borderId="5" xfId="4" applyFont="1" applyFill="1" applyBorder="1" applyAlignment="1">
      <alignment horizontal="left" vertical="distributed" wrapText="1" indent="1"/>
    </xf>
    <xf numFmtId="0" fontId="31" fillId="0" borderId="14" xfId="4" applyFont="1" applyFill="1" applyBorder="1" applyAlignment="1">
      <alignment horizontal="left" vertical="distributed" wrapText="1" indent="1"/>
    </xf>
    <xf numFmtId="0" fontId="31" fillId="0" borderId="6" xfId="4" applyFont="1" applyFill="1" applyBorder="1" applyAlignment="1">
      <alignment horizontal="left" vertical="distributed" wrapText="1" indent="1"/>
    </xf>
    <xf numFmtId="0" fontId="31" fillId="3" borderId="10" xfId="4" applyFont="1" applyFill="1" applyBorder="1"/>
    <xf numFmtId="0" fontId="31" fillId="3" borderId="13" xfId="4" applyFont="1" applyFill="1" applyBorder="1"/>
    <xf numFmtId="0" fontId="31" fillId="3" borderId="11" xfId="4" applyFont="1" applyFill="1" applyBorder="1"/>
    <xf numFmtId="0" fontId="26" fillId="0" borderId="0" xfId="4" applyFont="1" applyFill="1"/>
    <xf numFmtId="0" fontId="31" fillId="0" borderId="0" xfId="4" applyFont="1" applyAlignment="1">
      <alignment horizontal="right"/>
    </xf>
    <xf numFmtId="0" fontId="26" fillId="2" borderId="0" xfId="4" applyFont="1" applyFill="1"/>
    <xf numFmtId="0" fontId="26" fillId="2" borderId="0" xfId="4" applyFont="1" applyFill="1" applyAlignment="1">
      <alignment horizontal="right"/>
    </xf>
    <xf numFmtId="0" fontId="26" fillId="2" borderId="9" xfId="4" applyFont="1" applyFill="1" applyBorder="1"/>
    <xf numFmtId="0" fontId="26" fillId="2" borderId="9" xfId="4" applyFont="1" applyFill="1" applyBorder="1" applyAlignment="1">
      <alignment horizontal="center" vertical="center"/>
    </xf>
    <xf numFmtId="0" fontId="26" fillId="2" borderId="9" xfId="4" applyFont="1" applyFill="1" applyBorder="1" applyAlignment="1">
      <alignment horizontal="center" vertical="center" wrapText="1"/>
    </xf>
    <xf numFmtId="0" fontId="22" fillId="2" borderId="9" xfId="4" applyFont="1" applyFill="1" applyBorder="1" applyAlignment="1">
      <alignment horizontal="center" vertical="center" wrapText="1"/>
    </xf>
    <xf numFmtId="186" fontId="26" fillId="2" borderId="9" xfId="4" applyNumberFormat="1" applyFont="1" applyFill="1" applyBorder="1" applyAlignment="1">
      <alignment vertical="center"/>
    </xf>
    <xf numFmtId="0" fontId="26" fillId="2" borderId="0" xfId="4" applyFont="1" applyFill="1" applyAlignment="1">
      <alignment horizontal="center"/>
    </xf>
    <xf numFmtId="0" fontId="18" fillId="2" borderId="0" xfId="0" applyNumberFormat="1" applyFont="1" applyFill="1" applyAlignment="1">
      <alignment horizontal="right" vertical="center"/>
    </xf>
    <xf numFmtId="0" fontId="26" fillId="0" borderId="0" xfId="0" applyFont="1"/>
    <xf numFmtId="0" fontId="22" fillId="0" borderId="0" xfId="4" applyFont="1"/>
    <xf numFmtId="0" fontId="31" fillId="0" borderId="0" xfId="0" applyFont="1"/>
    <xf numFmtId="0" fontId="23" fillId="0" borderId="0" xfId="0" applyFont="1"/>
    <xf numFmtId="0" fontId="17" fillId="2" borderId="5" xfId="0" applyNumberFormat="1" applyFont="1" applyFill="1" applyBorder="1" applyAlignment="1">
      <alignment vertical="center"/>
    </xf>
    <xf numFmtId="0" fontId="18" fillId="2" borderId="1" xfId="0" applyNumberFormat="1" applyFont="1" applyFill="1" applyBorder="1" applyAlignment="1">
      <alignment horizontal="distributed" vertical="center" justifyLastLine="1"/>
    </xf>
    <xf numFmtId="0" fontId="17" fillId="2" borderId="10" xfId="0" applyNumberFormat="1" applyFont="1" applyFill="1" applyBorder="1" applyAlignment="1">
      <alignment vertical="center"/>
    </xf>
    <xf numFmtId="177" fontId="18" fillId="2" borderId="3" xfId="0" applyNumberFormat="1" applyFont="1" applyFill="1" applyBorder="1" applyAlignment="1">
      <alignment vertical="center"/>
    </xf>
    <xf numFmtId="177" fontId="18" fillId="2" borderId="10" xfId="0" applyNumberFormat="1" applyFont="1" applyFill="1" applyBorder="1" applyAlignment="1">
      <alignment vertical="center"/>
    </xf>
    <xf numFmtId="177" fontId="18" fillId="0" borderId="10" xfId="0" applyNumberFormat="1" applyFont="1" applyFill="1" applyBorder="1" applyAlignment="1">
      <alignment vertical="center"/>
    </xf>
    <xf numFmtId="0" fontId="17" fillId="2" borderId="22" xfId="0" applyFont="1" applyFill="1" applyBorder="1"/>
    <xf numFmtId="0" fontId="18" fillId="2" borderId="23" xfId="0" applyNumberFormat="1" applyFont="1" applyFill="1" applyBorder="1" applyAlignment="1">
      <alignment horizontal="distributed" vertical="center" justifyLastLine="1"/>
    </xf>
    <xf numFmtId="176" fontId="18" fillId="2" borderId="31" xfId="0" applyNumberFormat="1" applyFont="1" applyFill="1" applyBorder="1"/>
    <xf numFmtId="176" fontId="18" fillId="0" borderId="31" xfId="0" applyNumberFormat="1" applyFont="1" applyFill="1" applyBorder="1"/>
    <xf numFmtId="0" fontId="17" fillId="2" borderId="30" xfId="0" applyFont="1" applyFill="1" applyBorder="1" applyAlignment="1">
      <alignment horizontal="right"/>
    </xf>
    <xf numFmtId="0" fontId="38" fillId="0" borderId="0" xfId="0" applyFont="1"/>
    <xf numFmtId="0" fontId="38" fillId="0" borderId="0" xfId="4" applyFont="1"/>
    <xf numFmtId="0" fontId="12" fillId="0" borderId="0" xfId="3" applyFont="1" applyFill="1"/>
    <xf numFmtId="58" fontId="12" fillId="0" borderId="0" xfId="3" applyNumberFormat="1" applyFont="1" applyFill="1" applyBorder="1" applyAlignment="1">
      <alignment horizontal="left" vertical="center"/>
    </xf>
    <xf numFmtId="0" fontId="12" fillId="0" borderId="0" xfId="3" applyFont="1" applyFill="1" applyBorder="1" applyAlignment="1">
      <alignment vertical="center"/>
    </xf>
    <xf numFmtId="0" fontId="12" fillId="0" borderId="1" xfId="3" applyFont="1" applyFill="1" applyBorder="1"/>
    <xf numFmtId="178" fontId="22" fillId="0" borderId="6" xfId="1" applyNumberFormat="1" applyFont="1" applyFill="1" applyBorder="1" applyAlignment="1">
      <alignment vertical="center"/>
    </xf>
    <xf numFmtId="178" fontId="22" fillId="0" borderId="11" xfId="1" applyNumberFormat="1" applyFont="1" applyFill="1" applyBorder="1" applyAlignment="1">
      <alignment vertical="center"/>
    </xf>
    <xf numFmtId="178" fontId="22" fillId="0" borderId="20" xfId="1" applyNumberFormat="1" applyFont="1" applyFill="1" applyBorder="1" applyAlignment="1">
      <alignment vertical="center"/>
    </xf>
    <xf numFmtId="0" fontId="12" fillId="0" borderId="11" xfId="3" applyFont="1" applyFill="1" applyBorder="1"/>
    <xf numFmtId="0" fontId="12" fillId="0" borderId="0" xfId="3" applyFont="1" applyFill="1" applyBorder="1"/>
    <xf numFmtId="0" fontId="24" fillId="0" borderId="0" xfId="3" applyFont="1" applyFill="1" applyBorder="1" applyAlignment="1">
      <alignment vertical="center"/>
    </xf>
    <xf numFmtId="0" fontId="12" fillId="0" borderId="0" xfId="3" applyNumberFormat="1" applyFont="1" applyFill="1" applyAlignment="1">
      <alignment horizontal="center"/>
    </xf>
    <xf numFmtId="0" fontId="16" fillId="0" borderId="0" xfId="3" applyFont="1" applyFill="1" applyAlignment="1">
      <alignment horizontal="center"/>
    </xf>
    <xf numFmtId="176" fontId="18" fillId="0" borderId="5" xfId="0" applyNumberFormat="1" applyFont="1" applyFill="1" applyBorder="1" applyAlignment="1">
      <alignment horizontal="right" vertical="center"/>
    </xf>
    <xf numFmtId="0" fontId="17" fillId="2" borderId="10" xfId="0" applyNumberFormat="1" applyFont="1" applyFill="1" applyBorder="1"/>
    <xf numFmtId="177" fontId="18" fillId="0" borderId="11" xfId="0" applyNumberFormat="1" applyFont="1" applyFill="1" applyBorder="1" applyAlignment="1">
      <alignment horizontal="right" vertical="center"/>
    </xf>
    <xf numFmtId="0" fontId="41" fillId="2" borderId="0" xfId="0" applyNumberFormat="1" applyFont="1" applyFill="1" applyAlignment="1">
      <alignment horizontal="left"/>
    </xf>
    <xf numFmtId="0" fontId="25" fillId="0" borderId="0" xfId="3" applyNumberFormat="1" applyFont="1" applyFill="1" applyBorder="1" applyAlignment="1">
      <alignment horizontal="center"/>
    </xf>
    <xf numFmtId="0" fontId="43" fillId="0" borderId="0" xfId="3" applyFont="1" applyFill="1" applyBorder="1"/>
    <xf numFmtId="0" fontId="43" fillId="0" borderId="0" xfId="3" applyNumberFormat="1" applyFont="1" applyFill="1" applyAlignment="1">
      <alignment horizontal="center"/>
    </xf>
    <xf numFmtId="0" fontId="43" fillId="0" borderId="0" xfId="3" applyFont="1" applyFill="1" applyAlignment="1">
      <alignment horizontal="center"/>
    </xf>
    <xf numFmtId="0" fontId="26" fillId="0" borderId="0" xfId="0" applyFont="1" applyAlignment="1"/>
    <xf numFmtId="0" fontId="26" fillId="0" borderId="0" xfId="0" applyFont="1"/>
    <xf numFmtId="188" fontId="18" fillId="0" borderId="7" xfId="0" applyNumberFormat="1" applyFont="1" applyFill="1" applyBorder="1" applyAlignment="1">
      <alignment vertical="center"/>
    </xf>
    <xf numFmtId="176" fontId="18" fillId="0" borderId="1" xfId="0" applyNumberFormat="1" applyFont="1" applyFill="1" applyBorder="1" applyAlignment="1">
      <alignment horizontal="right" vertical="center"/>
    </xf>
    <xf numFmtId="177" fontId="18" fillId="0" borderId="20" xfId="0" applyNumberFormat="1" applyFont="1" applyFill="1" applyBorder="1" applyAlignment="1">
      <alignment horizontal="right" vertical="center"/>
    </xf>
    <xf numFmtId="189" fontId="18" fillId="0" borderId="8" xfId="0" applyNumberFormat="1" applyFont="1" applyFill="1" applyBorder="1" applyAlignment="1">
      <alignment vertical="center"/>
    </xf>
    <xf numFmtId="0" fontId="26" fillId="0" borderId="0" xfId="0" applyFont="1"/>
    <xf numFmtId="0" fontId="26" fillId="0" borderId="0" xfId="0" applyFont="1"/>
    <xf numFmtId="0" fontId="26" fillId="0" borderId="0" xfId="0" applyFont="1"/>
    <xf numFmtId="0" fontId="31" fillId="0" borderId="0" xfId="4" applyFont="1" applyFill="1"/>
    <xf numFmtId="38" fontId="18" fillId="0" borderId="11" xfId="2" applyFont="1" applyFill="1" applyBorder="1" applyAlignment="1">
      <alignment vertical="center"/>
    </xf>
    <xf numFmtId="179" fontId="26" fillId="2" borderId="9" xfId="4" applyNumberFormat="1" applyFont="1" applyFill="1" applyBorder="1" applyAlignment="1">
      <alignment vertical="center"/>
    </xf>
    <xf numFmtId="0" fontId="9" fillId="0" borderId="0" xfId="6"/>
    <xf numFmtId="0" fontId="9" fillId="0" borderId="12" xfId="6" applyBorder="1" applyAlignment="1">
      <alignment horizontal="distributed" vertical="center"/>
    </xf>
    <xf numFmtId="0" fontId="9" fillId="0" borderId="2" xfId="6" applyBorder="1" applyAlignment="1">
      <alignment horizontal="center" vertical="center"/>
    </xf>
    <xf numFmtId="0" fontId="9" fillId="0" borderId="9" xfId="6" applyFont="1" applyBorder="1" applyAlignment="1">
      <alignment horizontal="center"/>
    </xf>
    <xf numFmtId="0" fontId="9" fillId="0" borderId="0" xfId="6" applyAlignment="1"/>
    <xf numFmtId="0" fontId="9" fillId="0" borderId="9" xfId="6" applyBorder="1" applyAlignment="1">
      <alignment horizontal="distributed" vertical="center"/>
    </xf>
    <xf numFmtId="179" fontId="9" fillId="0" borderId="9" xfId="6" applyNumberFormat="1" applyBorder="1" applyAlignment="1">
      <alignment horizontal="right" vertical="center"/>
    </xf>
    <xf numFmtId="179" fontId="9" fillId="0" borderId="9" xfId="6" applyNumberFormat="1" applyBorder="1" applyAlignment="1"/>
    <xf numFmtId="179" fontId="9" fillId="0" borderId="9" xfId="6" applyNumberFormat="1" applyFill="1" applyBorder="1" applyAlignment="1"/>
    <xf numFmtId="0" fontId="9" fillId="0" borderId="0" xfId="6" applyBorder="1" applyAlignment="1">
      <alignment horizontal="distributed" vertical="center"/>
    </xf>
    <xf numFmtId="179" fontId="9" fillId="0" borderId="0" xfId="6" applyNumberFormat="1" applyBorder="1" applyAlignment="1">
      <alignment horizontal="right" vertical="center"/>
    </xf>
    <xf numFmtId="0" fontId="9" fillId="0" borderId="2" xfId="6" applyFont="1" applyBorder="1" applyAlignment="1">
      <alignment horizontal="center" vertical="center"/>
    </xf>
    <xf numFmtId="181" fontId="9" fillId="0" borderId="9" xfId="6" applyNumberFormat="1" applyBorder="1" applyAlignment="1">
      <alignment horizontal="right" vertical="center"/>
    </xf>
    <xf numFmtId="177" fontId="9" fillId="0" borderId="9" xfId="6" applyNumberFormat="1" applyBorder="1" applyAlignment="1">
      <alignment horizontal="right" vertical="center"/>
    </xf>
    <xf numFmtId="177" fontId="28" fillId="0" borderId="9" xfId="6" applyNumberFormat="1" applyFont="1" applyBorder="1" applyAlignment="1">
      <alignment horizontal="right" vertical="center"/>
    </xf>
    <xf numFmtId="177" fontId="9" fillId="0" borderId="9" xfId="6" applyNumberFormat="1" applyFont="1" applyBorder="1" applyAlignment="1">
      <alignment horizontal="right" vertical="center"/>
    </xf>
    <xf numFmtId="0" fontId="9" fillId="0" borderId="9" xfId="6" applyFont="1" applyBorder="1" applyAlignment="1">
      <alignment horizontal="center" vertical="center"/>
    </xf>
    <xf numFmtId="179" fontId="9" fillId="0" borderId="9" xfId="6" applyNumberFormat="1" applyFont="1" applyBorder="1" applyAlignment="1">
      <alignment horizontal="right" vertical="center"/>
    </xf>
    <xf numFmtId="179" fontId="28" fillId="0" borderId="9" xfId="6" applyNumberFormat="1" applyFont="1" applyBorder="1" applyAlignment="1">
      <alignment horizontal="right" vertical="center"/>
    </xf>
    <xf numFmtId="179" fontId="29" fillId="0" borderId="9" xfId="6" applyNumberFormat="1" applyFont="1" applyBorder="1" applyAlignment="1">
      <alignment horizontal="right" vertical="center"/>
    </xf>
    <xf numFmtId="0" fontId="19" fillId="0" borderId="13" xfId="6" applyFont="1" applyFill="1" applyBorder="1" applyAlignment="1">
      <alignment vertical="center"/>
    </xf>
    <xf numFmtId="0" fontId="19" fillId="0" borderId="0" xfId="6" applyFont="1"/>
    <xf numFmtId="0" fontId="19" fillId="0" borderId="12" xfId="6" applyFont="1" applyBorder="1" applyAlignment="1">
      <alignment horizontal="distributed" vertical="center"/>
    </xf>
    <xf numFmtId="0" fontId="19" fillId="0" borderId="9" xfId="6" applyFont="1" applyBorder="1" applyAlignment="1">
      <alignment horizontal="distributed" vertical="center"/>
    </xf>
    <xf numFmtId="179" fontId="19" fillId="0" borderId="9" xfId="6" applyNumberFormat="1" applyFont="1" applyBorder="1" applyAlignment="1">
      <alignment horizontal="right" vertical="center"/>
    </xf>
    <xf numFmtId="0" fontId="21" fillId="6" borderId="13" xfId="6" applyFont="1" applyFill="1" applyBorder="1" applyAlignment="1">
      <alignment vertical="center"/>
    </xf>
    <xf numFmtId="0" fontId="19" fillId="6" borderId="13" xfId="6" applyFont="1" applyFill="1" applyBorder="1" applyAlignment="1">
      <alignment vertical="center"/>
    </xf>
    <xf numFmtId="0" fontId="19" fillId="6" borderId="0" xfId="6" applyFont="1" applyFill="1"/>
    <xf numFmtId="0" fontId="9" fillId="6" borderId="0" xfId="6" applyFill="1"/>
    <xf numFmtId="0" fontId="19" fillId="6" borderId="12" xfId="6" applyFont="1" applyFill="1" applyBorder="1" applyAlignment="1">
      <alignment horizontal="distributed" vertical="center"/>
    </xf>
    <xf numFmtId="0" fontId="21" fillId="6" borderId="9" xfId="6" applyFont="1" applyFill="1" applyBorder="1" applyAlignment="1">
      <alignment horizontal="distributed" vertical="center"/>
    </xf>
    <xf numFmtId="179" fontId="27" fillId="6" borderId="9" xfId="6" applyNumberFormat="1" applyFont="1" applyFill="1" applyBorder="1" applyAlignment="1">
      <alignment horizontal="right" vertical="center"/>
    </xf>
    <xf numFmtId="0" fontId="21" fillId="6" borderId="0" xfId="6" applyFont="1" applyFill="1" applyBorder="1" applyAlignment="1">
      <alignment horizontal="left" vertical="center"/>
    </xf>
    <xf numFmtId="179" fontId="27" fillId="6" borderId="0" xfId="6" applyNumberFormat="1" applyFont="1" applyFill="1" applyBorder="1" applyAlignment="1">
      <alignment horizontal="right" vertical="center"/>
    </xf>
    <xf numFmtId="0" fontId="21" fillId="0" borderId="0" xfId="6" applyFont="1" applyBorder="1" applyAlignment="1">
      <alignment horizontal="distributed" vertical="center"/>
    </xf>
    <xf numFmtId="179" fontId="27" fillId="0" borderId="0" xfId="6" applyNumberFormat="1" applyFont="1" applyBorder="1" applyAlignment="1">
      <alignment horizontal="right" vertical="center"/>
    </xf>
    <xf numFmtId="0" fontId="9" fillId="0" borderId="13" xfId="6" applyFill="1" applyBorder="1" applyAlignment="1">
      <alignment horizontal="left" vertical="center"/>
    </xf>
    <xf numFmtId="179" fontId="9" fillId="0" borderId="9" xfId="6" applyNumberFormat="1" applyFont="1" applyFill="1" applyBorder="1" applyAlignment="1">
      <alignment horizontal="right" vertical="center"/>
    </xf>
    <xf numFmtId="0" fontId="19" fillId="0" borderId="0" xfId="6" applyFont="1" applyFill="1" applyBorder="1" applyAlignment="1">
      <alignment horizontal="distributed" vertical="center"/>
    </xf>
    <xf numFmtId="179" fontId="9" fillId="0" borderId="14" xfId="6" applyNumberFormat="1" applyFill="1" applyBorder="1" applyAlignment="1">
      <alignment horizontal="right" vertical="center"/>
    </xf>
    <xf numFmtId="177" fontId="9" fillId="0" borderId="9" xfId="6" applyNumberFormat="1" applyFill="1" applyBorder="1" applyAlignment="1">
      <alignment horizontal="right" vertical="center"/>
    </xf>
    <xf numFmtId="179" fontId="9" fillId="0" borderId="0" xfId="6" applyNumberFormat="1" applyFill="1" applyBorder="1" applyAlignment="1">
      <alignment horizontal="right" vertical="center"/>
    </xf>
    <xf numFmtId="0" fontId="19" fillId="2" borderId="0" xfId="7" applyFont="1" applyFill="1"/>
    <xf numFmtId="0" fontId="9" fillId="2" borderId="0" xfId="7" applyFont="1" applyFill="1"/>
    <xf numFmtId="0" fontId="9" fillId="0" borderId="0" xfId="7" applyFont="1"/>
    <xf numFmtId="0" fontId="19" fillId="2" borderId="28" xfId="7" applyFont="1" applyFill="1" applyBorder="1" applyAlignment="1">
      <alignment horizontal="distributed" vertical="center"/>
    </xf>
    <xf numFmtId="0" fontId="19" fillId="2" borderId="29" xfId="7" applyFont="1" applyFill="1" applyBorder="1" applyAlignment="1">
      <alignment horizontal="center" vertical="center"/>
    </xf>
    <xf numFmtId="0" fontId="37" fillId="2" borderId="29" xfId="7" applyFont="1" applyFill="1" applyBorder="1" applyAlignment="1">
      <alignment horizontal="distributed" vertical="center" wrapText="1"/>
    </xf>
    <xf numFmtId="179" fontId="19" fillId="2" borderId="29" xfId="7" applyNumberFormat="1" applyFont="1" applyFill="1" applyBorder="1" applyAlignment="1">
      <alignment vertical="center"/>
    </xf>
    <xf numFmtId="0" fontId="37" fillId="2" borderId="29" xfId="7" applyFont="1" applyFill="1" applyBorder="1" applyAlignment="1">
      <alignment horizontal="distributed" vertical="center"/>
    </xf>
    <xf numFmtId="0" fontId="9" fillId="0" borderId="0" xfId="7" applyFont="1" applyBorder="1"/>
    <xf numFmtId="179" fontId="9" fillId="2" borderId="0" xfId="7" applyNumberFormat="1" applyFont="1" applyFill="1" applyBorder="1" applyAlignment="1">
      <alignment horizontal="right" vertical="center"/>
    </xf>
    <xf numFmtId="179" fontId="9" fillId="0" borderId="0" xfId="7" applyNumberFormat="1" applyFont="1" applyFill="1" applyBorder="1" applyAlignment="1">
      <alignment horizontal="right" vertical="center"/>
    </xf>
    <xf numFmtId="179" fontId="9" fillId="2" borderId="29" xfId="7" applyNumberFormat="1" applyFont="1" applyFill="1" applyBorder="1" applyAlignment="1">
      <alignment vertical="center"/>
    </xf>
    <xf numFmtId="0" fontId="26" fillId="0" borderId="0" xfId="0" applyFont="1"/>
    <xf numFmtId="0" fontId="26" fillId="0" borderId="0" xfId="0" applyFont="1"/>
    <xf numFmtId="0" fontId="26" fillId="0" borderId="0" xfId="0" applyFont="1"/>
    <xf numFmtId="0" fontId="44" fillId="0" borderId="0" xfId="0" applyFont="1"/>
    <xf numFmtId="0" fontId="8" fillId="0" borderId="9" xfId="6" applyFont="1" applyBorder="1" applyAlignment="1">
      <alignment horizontal="center"/>
    </xf>
    <xf numFmtId="0" fontId="8" fillId="0" borderId="2" xfId="6" applyFont="1" applyBorder="1" applyAlignment="1">
      <alignment horizontal="center" vertical="center"/>
    </xf>
    <xf numFmtId="177" fontId="29" fillId="0" borderId="9" xfId="6" applyNumberFormat="1" applyFont="1" applyBorder="1" applyAlignment="1">
      <alignment horizontal="right" vertical="center"/>
    </xf>
    <xf numFmtId="0" fontId="8" fillId="0" borderId="9" xfId="6" applyFont="1" applyBorder="1" applyAlignment="1">
      <alignment horizontal="center" vertical="center"/>
    </xf>
    <xf numFmtId="0" fontId="7" fillId="0" borderId="9" xfId="6" applyFont="1" applyBorder="1" applyAlignment="1">
      <alignment horizontal="center" vertical="center"/>
    </xf>
    <xf numFmtId="179" fontId="5" fillId="2" borderId="29" xfId="7" applyNumberFormat="1" applyFont="1" applyFill="1" applyBorder="1" applyAlignment="1">
      <alignment vertical="center"/>
    </xf>
    <xf numFmtId="176" fontId="18" fillId="0" borderId="8" xfId="0" applyNumberFormat="1" applyFont="1" applyFill="1" applyBorder="1" applyAlignment="1">
      <alignment vertical="center" shrinkToFit="1"/>
    </xf>
    <xf numFmtId="182" fontId="18" fillId="0" borderId="8" xfId="0" applyNumberFormat="1" applyFont="1" applyFill="1" applyBorder="1" applyAlignment="1">
      <alignment vertical="center" shrinkToFit="1"/>
    </xf>
    <xf numFmtId="176" fontId="18" fillId="0" borderId="10" xfId="0" applyNumberFormat="1" applyFont="1" applyFill="1" applyBorder="1" applyAlignment="1">
      <alignment horizontal="right" vertical="center" shrinkToFit="1"/>
    </xf>
    <xf numFmtId="177" fontId="18" fillId="0" borderId="11" xfId="0" applyNumberFormat="1" applyFont="1" applyFill="1" applyBorder="1" applyAlignment="1">
      <alignment vertical="center" shrinkToFit="1"/>
    </xf>
    <xf numFmtId="38" fontId="18" fillId="0" borderId="11" xfId="2" applyFont="1" applyFill="1" applyBorder="1" applyAlignment="1">
      <alignment vertical="center" shrinkToFit="1"/>
    </xf>
    <xf numFmtId="176" fontId="18" fillId="2" borderId="31" xfId="0" applyNumberFormat="1" applyFont="1" applyFill="1" applyBorder="1" applyAlignment="1">
      <alignment shrinkToFit="1"/>
    </xf>
    <xf numFmtId="0" fontId="26" fillId="0" borderId="0" xfId="0" applyFont="1" applyAlignment="1"/>
    <xf numFmtId="0" fontId="26" fillId="0" borderId="0" xfId="0" applyFont="1"/>
    <xf numFmtId="0" fontId="25" fillId="0" borderId="0" xfId="3" applyNumberFormat="1" applyFont="1" applyFill="1" applyAlignment="1">
      <alignment horizontal="center"/>
    </xf>
    <xf numFmtId="0" fontId="22" fillId="0" borderId="0" xfId="3" applyNumberFormat="1" applyFont="1" applyFill="1" applyAlignment="1">
      <alignment horizontal="right" vertical="center"/>
    </xf>
    <xf numFmtId="0" fontId="4" fillId="0" borderId="9" xfId="6" applyFont="1" applyBorder="1" applyAlignment="1">
      <alignment horizontal="center"/>
    </xf>
    <xf numFmtId="0" fontId="4" fillId="0" borderId="9" xfId="6" applyFont="1" applyBorder="1" applyAlignment="1">
      <alignment horizontal="center" vertical="center"/>
    </xf>
    <xf numFmtId="179" fontId="19" fillId="0" borderId="29" xfId="7" applyNumberFormat="1" applyFont="1" applyFill="1" applyBorder="1" applyAlignment="1">
      <alignment vertical="center"/>
    </xf>
    <xf numFmtId="0" fontId="46" fillId="0" borderId="0" xfId="3" applyNumberFormat="1" applyFont="1" applyFill="1"/>
    <xf numFmtId="0" fontId="46" fillId="0" borderId="0" xfId="3" applyFont="1" applyFill="1"/>
    <xf numFmtId="58" fontId="46" fillId="0" borderId="0" xfId="3" applyNumberFormat="1" applyFont="1" applyFill="1" applyBorder="1" applyAlignment="1">
      <alignment horizontal="left" vertical="center"/>
    </xf>
    <xf numFmtId="0" fontId="47" fillId="0" borderId="0" xfId="3" applyNumberFormat="1" applyFont="1" applyFill="1" applyAlignment="1">
      <alignment vertical="center"/>
    </xf>
    <xf numFmtId="0" fontId="48" fillId="0" borderId="0" xfId="3" applyFont="1" applyFill="1"/>
    <xf numFmtId="0" fontId="49" fillId="0" borderId="0" xfId="3" applyNumberFormat="1" applyFont="1" applyFill="1"/>
    <xf numFmtId="0" fontId="49" fillId="0" borderId="0" xfId="3" applyFont="1" applyFill="1"/>
    <xf numFmtId="0" fontId="49" fillId="0" borderId="0" xfId="3" applyNumberFormat="1" applyFont="1" applyFill="1" applyAlignment="1">
      <alignment horizontal="right"/>
    </xf>
    <xf numFmtId="0" fontId="46" fillId="0" borderId="0" xfId="3" applyNumberFormat="1" applyFont="1" applyFill="1" applyAlignment="1">
      <alignment vertical="center"/>
    </xf>
    <xf numFmtId="178" fontId="49" fillId="0" borderId="0" xfId="1" applyNumberFormat="1" applyFont="1" applyFill="1" applyBorder="1" applyAlignment="1">
      <alignment horizontal="right" vertical="center"/>
    </xf>
    <xf numFmtId="0" fontId="49" fillId="0" borderId="0" xfId="3" applyNumberFormat="1" applyFont="1" applyFill="1" applyBorder="1" applyAlignment="1">
      <alignment horizontal="distributed" vertical="center" wrapText="1"/>
    </xf>
    <xf numFmtId="176" fontId="49" fillId="0" borderId="0" xfId="3" applyNumberFormat="1" applyFont="1" applyFill="1" applyBorder="1" applyAlignment="1">
      <alignment horizontal="right" vertical="center"/>
    </xf>
    <xf numFmtId="0" fontId="52" fillId="0" borderId="0" xfId="3" applyNumberFormat="1" applyFont="1" applyFill="1" applyBorder="1" applyAlignment="1">
      <alignment horizontal="left" vertical="center" wrapText="1"/>
    </xf>
    <xf numFmtId="0" fontId="51" fillId="0" borderId="0" xfId="3" applyNumberFormat="1" applyFont="1" applyFill="1" applyBorder="1" applyAlignment="1">
      <alignment horizontal="left" vertical="center" wrapText="1"/>
    </xf>
    <xf numFmtId="0" fontId="49" fillId="0" borderId="0" xfId="3" applyNumberFormat="1" applyFont="1" applyFill="1" applyAlignment="1">
      <alignment horizontal="center"/>
    </xf>
    <xf numFmtId="0" fontId="53" fillId="0" borderId="0" xfId="3" applyFont="1" applyFill="1" applyAlignment="1">
      <alignment horizontal="center"/>
    </xf>
    <xf numFmtId="0" fontId="54" fillId="0" borderId="0" xfId="3" applyNumberFormat="1" applyFont="1" applyFill="1" applyAlignment="1">
      <alignment horizontal="center"/>
    </xf>
    <xf numFmtId="0" fontId="53" fillId="0" borderId="0" xfId="3" applyNumberFormat="1" applyFont="1" applyFill="1" applyBorder="1" applyAlignment="1">
      <alignment horizontal="left"/>
    </xf>
    <xf numFmtId="0" fontId="56" fillId="0" borderId="0" xfId="3" applyNumberFormat="1" applyFont="1" applyFill="1" applyAlignment="1">
      <alignment horizontal="left"/>
    </xf>
    <xf numFmtId="49" fontId="53" fillId="0" borderId="0" xfId="3" quotePrefix="1" applyNumberFormat="1" applyFont="1" applyFill="1" applyAlignment="1">
      <alignment horizontal="center"/>
    </xf>
    <xf numFmtId="49" fontId="53" fillId="0" borderId="0" xfId="3" applyNumberFormat="1" applyFont="1" applyFill="1" applyAlignment="1">
      <alignment horizontal="center"/>
    </xf>
    <xf numFmtId="0" fontId="53" fillId="0" borderId="0" xfId="3" quotePrefix="1" applyNumberFormat="1" applyFont="1" applyFill="1" applyAlignment="1">
      <alignment horizontal="center"/>
    </xf>
    <xf numFmtId="0" fontId="56" fillId="0" borderId="0" xfId="3" applyNumberFormat="1" applyFont="1" applyFill="1" applyAlignment="1">
      <alignment horizontal="center"/>
    </xf>
    <xf numFmtId="0" fontId="57" fillId="0" borderId="0" xfId="3" applyFont="1" applyFill="1" applyAlignment="1">
      <alignment horizontal="center"/>
    </xf>
    <xf numFmtId="0" fontId="53" fillId="0" borderId="0" xfId="3" applyNumberFormat="1" applyFont="1" applyFill="1"/>
    <xf numFmtId="0" fontId="53" fillId="0" borderId="0" xfId="3" applyNumberFormat="1" applyFont="1" applyFill="1" applyAlignment="1">
      <alignment horizontal="left"/>
    </xf>
    <xf numFmtId="0" fontId="49" fillId="0" borderId="0" xfId="3" applyNumberFormat="1" applyFont="1" applyFill="1" applyAlignment="1">
      <alignment horizontal="left"/>
    </xf>
    <xf numFmtId="0" fontId="46" fillId="0" borderId="0" xfId="3" applyNumberFormat="1" applyFont="1" applyFill="1" applyAlignment="1">
      <alignment horizontal="center"/>
    </xf>
    <xf numFmtId="190" fontId="49" fillId="0" borderId="0" xfId="3" applyNumberFormat="1" applyFont="1" applyFill="1" applyAlignment="1">
      <alignment horizontal="center"/>
    </xf>
    <xf numFmtId="0" fontId="53" fillId="0" borderId="0" xfId="3" applyFont="1" applyFill="1"/>
    <xf numFmtId="0" fontId="49" fillId="0" borderId="0" xfId="3" applyFont="1" applyFill="1" applyAlignment="1">
      <alignment horizontal="center"/>
    </xf>
    <xf numFmtId="0" fontId="46" fillId="0" borderId="0" xfId="3" applyNumberFormat="1" applyFont="1" applyFill="1" applyAlignment="1">
      <alignment horizontal="center" vertical="center"/>
    </xf>
    <xf numFmtId="0" fontId="46" fillId="0" borderId="0" xfId="3" applyNumberFormat="1" applyFont="1" applyFill="1" applyAlignment="1">
      <alignment horizontal="left" vertical="center"/>
    </xf>
    <xf numFmtId="0" fontId="46" fillId="0" borderId="0" xfId="3" applyFont="1" applyFill="1" applyAlignment="1">
      <alignment horizontal="center"/>
    </xf>
    <xf numFmtId="0" fontId="49" fillId="0" borderId="9" xfId="3" applyNumberFormat="1" applyFont="1" applyFill="1" applyBorder="1" applyAlignment="1">
      <alignment horizontal="center" vertical="center"/>
    </xf>
    <xf numFmtId="0" fontId="49" fillId="0" borderId="0" xfId="3" applyNumberFormat="1" applyFont="1" applyFill="1" applyBorder="1" applyAlignment="1">
      <alignment horizontal="distributed" vertical="center"/>
    </xf>
    <xf numFmtId="179" fontId="50" fillId="0" borderId="0" xfId="1" applyNumberFormat="1" applyFont="1" applyFill="1" applyBorder="1" applyAlignment="1">
      <alignment horizontal="right" vertical="top"/>
    </xf>
    <xf numFmtId="0" fontId="26" fillId="0" borderId="0" xfId="0" applyFont="1"/>
    <xf numFmtId="0" fontId="22" fillId="0" borderId="5" xfId="3" applyNumberFormat="1" applyFont="1" applyFill="1" applyBorder="1" applyAlignment="1">
      <alignment vertical="center"/>
    </xf>
    <xf numFmtId="0" fontId="22" fillId="0" borderId="14" xfId="3" applyNumberFormat="1" applyFont="1" applyFill="1" applyBorder="1" applyAlignment="1">
      <alignment vertical="center"/>
    </xf>
    <xf numFmtId="0" fontId="22" fillId="0" borderId="6" xfId="3" applyNumberFormat="1" applyFont="1" applyFill="1" applyBorder="1" applyAlignment="1">
      <alignment vertical="center"/>
    </xf>
    <xf numFmtId="0" fontId="22" fillId="0" borderId="16" xfId="3" applyNumberFormat="1" applyFont="1" applyFill="1" applyBorder="1" applyAlignment="1">
      <alignment vertical="center"/>
    </xf>
    <xf numFmtId="0" fontId="22" fillId="0" borderId="10" xfId="3" applyNumberFormat="1" applyFont="1" applyFill="1" applyBorder="1" applyAlignment="1">
      <alignment vertical="center"/>
    </xf>
    <xf numFmtId="0" fontId="22" fillId="0" borderId="13" xfId="3" applyNumberFormat="1" applyFont="1" applyFill="1" applyBorder="1" applyAlignment="1">
      <alignment vertical="center"/>
    </xf>
    <xf numFmtId="0" fontId="22" fillId="0" borderId="11" xfId="3" applyNumberFormat="1" applyFont="1" applyFill="1" applyBorder="1" applyAlignment="1">
      <alignment vertical="center"/>
    </xf>
    <xf numFmtId="0" fontId="22" fillId="0" borderId="17" xfId="3" applyNumberFormat="1" applyFont="1" applyFill="1" applyBorder="1" applyAlignment="1">
      <alignment vertical="center"/>
    </xf>
    <xf numFmtId="178" fontId="22" fillId="0" borderId="21" xfId="1" applyNumberFormat="1" applyFont="1" applyFill="1" applyBorder="1" applyAlignment="1">
      <alignment horizontal="right" vertical="center"/>
    </xf>
    <xf numFmtId="178" fontId="22" fillId="0" borderId="0" xfId="1" applyNumberFormat="1" applyFont="1" applyFill="1" applyBorder="1" applyAlignment="1">
      <alignment horizontal="right" vertical="center"/>
    </xf>
    <xf numFmtId="178" fontId="22" fillId="0" borderId="13" xfId="1" applyNumberFormat="1" applyFont="1" applyFill="1" applyBorder="1" applyAlignment="1">
      <alignment horizontal="right" vertical="center"/>
    </xf>
    <xf numFmtId="0" fontId="22" fillId="0" borderId="2" xfId="3" applyNumberFormat="1" applyFont="1" applyFill="1" applyBorder="1" applyAlignment="1">
      <alignment horizontal="distributed" vertical="center"/>
    </xf>
    <xf numFmtId="178" fontId="22" fillId="0" borderId="18" xfId="1" applyNumberFormat="1" applyFont="1" applyFill="1" applyBorder="1" applyAlignment="1">
      <alignment horizontal="right" vertical="center"/>
    </xf>
    <xf numFmtId="0" fontId="22" fillId="0" borderId="22" xfId="3" applyNumberFormat="1" applyFont="1" applyFill="1" applyBorder="1" applyAlignment="1">
      <alignment horizontal="distributed" vertical="center"/>
    </xf>
    <xf numFmtId="0" fontId="22" fillId="0" borderId="7" xfId="3" applyNumberFormat="1" applyFont="1" applyFill="1" applyBorder="1" applyAlignment="1">
      <alignment horizontal="distributed" vertical="center"/>
    </xf>
    <xf numFmtId="178" fontId="22" fillId="0" borderId="19" xfId="1" applyNumberFormat="1" applyFont="1" applyFill="1" applyBorder="1" applyAlignment="1">
      <alignment horizontal="right" vertical="center"/>
    </xf>
    <xf numFmtId="0" fontId="22" fillId="0" borderId="23" xfId="3" applyNumberFormat="1" applyFont="1" applyFill="1" applyBorder="1" applyAlignment="1">
      <alignment horizontal="distributed" vertical="center"/>
    </xf>
    <xf numFmtId="0" fontId="12" fillId="0" borderId="7" xfId="3" applyFont="1" applyFill="1" applyBorder="1"/>
    <xf numFmtId="0" fontId="12" fillId="0" borderId="8" xfId="3" applyFont="1" applyFill="1" applyBorder="1"/>
    <xf numFmtId="0" fontId="24" fillId="0" borderId="2" xfId="3" applyFont="1" applyFill="1" applyBorder="1" applyAlignment="1">
      <alignment horizontal="distributed" vertical="center"/>
    </xf>
    <xf numFmtId="185" fontId="71" fillId="0" borderId="5" xfId="1" applyNumberFormat="1" applyFont="1" applyFill="1" applyBorder="1" applyAlignment="1">
      <alignment vertical="center"/>
    </xf>
    <xf numFmtId="0" fontId="24" fillId="0" borderId="1" xfId="3" applyFont="1" applyFill="1" applyBorder="1" applyAlignment="1">
      <alignment horizontal="distributed" vertical="center"/>
    </xf>
    <xf numFmtId="179" fontId="71" fillId="0" borderId="1" xfId="1" applyNumberFormat="1" applyFont="1" applyFill="1" applyBorder="1" applyAlignment="1">
      <alignment vertical="top"/>
    </xf>
    <xf numFmtId="0" fontId="22" fillId="0" borderId="5" xfId="3" applyNumberFormat="1" applyFont="1" applyFill="1" applyBorder="1" applyAlignment="1">
      <alignment vertical="center" wrapText="1"/>
    </xf>
    <xf numFmtId="0" fontId="22" fillId="0" borderId="1" xfId="3" applyNumberFormat="1" applyFont="1" applyFill="1" applyBorder="1" applyAlignment="1">
      <alignment vertical="center" wrapText="1"/>
    </xf>
    <xf numFmtId="0" fontId="22" fillId="0" borderId="10" xfId="3" applyNumberFormat="1" applyFont="1" applyFill="1" applyBorder="1" applyAlignment="1">
      <alignment vertical="center" wrapText="1"/>
    </xf>
    <xf numFmtId="0" fontId="22" fillId="0" borderId="8" xfId="3" applyNumberFormat="1" applyFont="1" applyFill="1" applyBorder="1" applyAlignment="1">
      <alignment horizontal="distributed" vertical="center"/>
    </xf>
    <xf numFmtId="0" fontId="31" fillId="0" borderId="0" xfId="4" applyFont="1" applyAlignment="1">
      <alignment wrapText="1"/>
    </xf>
    <xf numFmtId="0" fontId="34" fillId="5" borderId="0" xfId="4" applyFont="1" applyFill="1" applyBorder="1" applyAlignment="1">
      <alignment horizontal="center" vertical="center"/>
    </xf>
    <xf numFmtId="0" fontId="3" fillId="0" borderId="9" xfId="6" applyFont="1" applyBorder="1" applyAlignment="1">
      <alignment horizontal="center"/>
    </xf>
    <xf numFmtId="0" fontId="3" fillId="0" borderId="2" xfId="6" applyFont="1" applyBorder="1" applyAlignment="1">
      <alignment horizontal="center" vertical="center"/>
    </xf>
    <xf numFmtId="179" fontId="9" fillId="0" borderId="9" xfId="6" applyNumberFormat="1" applyFill="1" applyBorder="1" applyAlignment="1">
      <alignment horizontal="right" vertical="center"/>
    </xf>
    <xf numFmtId="181" fontId="9" fillId="0" borderId="9" xfId="6" applyNumberFormat="1" applyFill="1" applyBorder="1" applyAlignment="1">
      <alignment horizontal="right" vertical="center"/>
    </xf>
    <xf numFmtId="177" fontId="9" fillId="0" borderId="9" xfId="6" applyNumberFormat="1" applyFont="1" applyFill="1" applyBorder="1" applyAlignment="1">
      <alignment horizontal="right" vertical="center"/>
    </xf>
    <xf numFmtId="177" fontId="29" fillId="0" borderId="9" xfId="6" applyNumberFormat="1" applyFont="1" applyFill="1" applyBorder="1" applyAlignment="1">
      <alignment horizontal="right" vertical="center"/>
    </xf>
    <xf numFmtId="179" fontId="29" fillId="0" borderId="9" xfId="6" applyNumberFormat="1" applyFont="1" applyFill="1" applyBorder="1" applyAlignment="1">
      <alignment horizontal="right" vertical="center"/>
    </xf>
    <xf numFmtId="0" fontId="9" fillId="0" borderId="0" xfId="6" applyFill="1"/>
    <xf numFmtId="0" fontId="3" fillId="0" borderId="9" xfId="6" applyFont="1" applyFill="1" applyBorder="1" applyAlignment="1">
      <alignment horizontal="center"/>
    </xf>
    <xf numFmtId="179" fontId="19" fillId="0" borderId="9" xfId="6" applyNumberFormat="1" applyFont="1" applyFill="1" applyBorder="1" applyAlignment="1">
      <alignment horizontal="right" vertical="center"/>
    </xf>
    <xf numFmtId="0" fontId="9" fillId="5" borderId="0" xfId="6" applyFill="1"/>
    <xf numFmtId="179" fontId="27" fillId="0" borderId="9" xfId="6" applyNumberFormat="1" applyFont="1" applyFill="1" applyBorder="1" applyAlignment="1">
      <alignment horizontal="right" vertical="center"/>
    </xf>
    <xf numFmtId="0" fontId="26" fillId="0" borderId="0" xfId="0" applyFont="1" applyAlignment="1"/>
    <xf numFmtId="0" fontId="26" fillId="0" borderId="0" xfId="0" applyFont="1"/>
    <xf numFmtId="0" fontId="26" fillId="0" borderId="0" xfId="0" applyFont="1"/>
    <xf numFmtId="0" fontId="26" fillId="0" borderId="0" xfId="0" applyFont="1" applyAlignment="1">
      <alignment vertical="top"/>
    </xf>
    <xf numFmtId="0" fontId="22" fillId="0" borderId="30" xfId="3" applyNumberFormat="1" applyFont="1" applyFill="1" applyBorder="1" applyAlignment="1">
      <alignment horizontal="distributed" vertical="center"/>
    </xf>
    <xf numFmtId="0" fontId="22" fillId="0" borderId="9" xfId="3" applyNumberFormat="1" applyFont="1" applyFill="1" applyBorder="1" applyAlignment="1">
      <alignment horizontal="center" vertical="center"/>
    </xf>
    <xf numFmtId="0" fontId="22" fillId="0" borderId="10" xfId="3" applyNumberFormat="1" applyFont="1" applyFill="1" applyBorder="1" applyAlignment="1">
      <alignment horizontal="distributed" vertical="center"/>
    </xf>
    <xf numFmtId="185" fontId="71" fillId="0" borderId="5" xfId="1" applyNumberFormat="1" applyFont="1" applyFill="1" applyBorder="1" applyAlignment="1">
      <alignment horizontal="right" vertical="center"/>
    </xf>
    <xf numFmtId="0" fontId="22" fillId="0" borderId="1" xfId="3" applyNumberFormat="1" applyFont="1" applyFill="1" applyBorder="1" applyAlignment="1">
      <alignment horizontal="distributed" vertical="center"/>
    </xf>
    <xf numFmtId="0" fontId="22" fillId="0" borderId="0" xfId="3" applyNumberFormat="1" applyFont="1" applyFill="1" applyBorder="1" applyAlignment="1">
      <alignment horizontal="distributed" vertical="center"/>
    </xf>
    <xf numFmtId="0" fontId="22" fillId="0" borderId="24" xfId="3" applyNumberFormat="1" applyFont="1" applyFill="1" applyBorder="1" applyAlignment="1">
      <alignment horizontal="distributed" vertical="center"/>
    </xf>
    <xf numFmtId="179" fontId="71" fillId="0" borderId="10" xfId="1" applyNumberFormat="1" applyFont="1" applyFill="1" applyBorder="1" applyAlignment="1">
      <alignment horizontal="right" vertical="top"/>
    </xf>
    <xf numFmtId="0" fontId="53" fillId="0" borderId="0" xfId="3" applyNumberFormat="1" applyFont="1" applyFill="1" applyAlignment="1">
      <alignment horizontal="distributed"/>
    </xf>
    <xf numFmtId="190" fontId="22" fillId="0" borderId="0" xfId="3" applyNumberFormat="1" applyFont="1" applyFill="1" applyAlignment="1">
      <alignment horizontal="center"/>
    </xf>
    <xf numFmtId="0" fontId="53" fillId="0" borderId="0" xfId="3" applyNumberFormat="1" applyFont="1" applyFill="1" applyAlignment="1">
      <alignment horizontal="center"/>
    </xf>
    <xf numFmtId="179" fontId="9" fillId="0" borderId="2" xfId="6" applyNumberFormat="1" applyFill="1" applyBorder="1" applyAlignment="1">
      <alignment vertical="center"/>
    </xf>
    <xf numFmtId="179" fontId="9" fillId="0" borderId="8" xfId="6" applyNumberFormat="1" applyFill="1" applyBorder="1" applyAlignment="1">
      <alignment vertical="center"/>
    </xf>
    <xf numFmtId="0" fontId="9" fillId="0" borderId="12" xfId="6" applyFill="1" applyBorder="1" applyAlignment="1">
      <alignment horizontal="distributed" vertical="center"/>
    </xf>
    <xf numFmtId="0" fontId="9" fillId="0" borderId="2" xfId="6" applyFill="1" applyBorder="1" applyAlignment="1">
      <alignment horizontal="center" vertical="center"/>
    </xf>
    <xf numFmtId="0" fontId="9" fillId="0" borderId="9" xfId="6" applyFont="1" applyFill="1" applyBorder="1" applyAlignment="1">
      <alignment horizontal="center"/>
    </xf>
    <xf numFmtId="0" fontId="6" fillId="0" borderId="9" xfId="6" applyFont="1" applyFill="1" applyBorder="1" applyAlignment="1">
      <alignment horizontal="center"/>
    </xf>
    <xf numFmtId="0" fontId="4" fillId="0" borderId="9" xfId="6" applyFont="1" applyFill="1" applyBorder="1" applyAlignment="1">
      <alignment horizontal="center"/>
    </xf>
    <xf numFmtId="0" fontId="9" fillId="0" borderId="9" xfId="6" applyFill="1" applyBorder="1" applyAlignment="1">
      <alignment horizontal="distributed" vertical="center"/>
    </xf>
    <xf numFmtId="179" fontId="9" fillId="0" borderId="0" xfId="6" applyNumberFormat="1" applyFill="1"/>
    <xf numFmtId="0" fontId="9" fillId="0" borderId="2" xfId="6" applyFont="1" applyFill="1" applyBorder="1" applyAlignment="1">
      <alignment horizontal="center" vertical="center"/>
    </xf>
    <xf numFmtId="0" fontId="5" fillId="0" borderId="9" xfId="6" applyFont="1" applyFill="1" applyBorder="1" applyAlignment="1">
      <alignment horizontal="center"/>
    </xf>
    <xf numFmtId="184" fontId="9" fillId="0" borderId="9" xfId="6" applyNumberFormat="1" applyFill="1" applyBorder="1" applyAlignment="1">
      <alignment horizontal="right" vertical="center"/>
    </xf>
    <xf numFmtId="0" fontId="19" fillId="0" borderId="0" xfId="6" applyFont="1" applyFill="1"/>
    <xf numFmtId="177" fontId="9" fillId="0" borderId="2" xfId="6" applyNumberFormat="1" applyFill="1" applyBorder="1" applyAlignment="1">
      <alignment horizontal="right" vertical="center"/>
    </xf>
    <xf numFmtId="177" fontId="9" fillId="0" borderId="8" xfId="6" applyNumberFormat="1" applyFill="1" applyBorder="1" applyAlignment="1">
      <alignment horizontal="right" vertical="center"/>
    </xf>
    <xf numFmtId="177" fontId="28" fillId="0" borderId="9" xfId="6" applyNumberFormat="1" applyFont="1" applyFill="1" applyBorder="1" applyAlignment="1">
      <alignment horizontal="right" vertical="center"/>
    </xf>
    <xf numFmtId="0" fontId="28" fillId="0" borderId="0" xfId="6" applyFont="1" applyFill="1"/>
    <xf numFmtId="0" fontId="9" fillId="0" borderId="0" xfId="6" applyFill="1" applyAlignment="1"/>
    <xf numFmtId="179" fontId="28" fillId="0" borderId="9" xfId="6" applyNumberFormat="1" applyFont="1" applyFill="1" applyBorder="1" applyAlignment="1">
      <alignment horizontal="right" vertical="center"/>
    </xf>
    <xf numFmtId="0" fontId="9" fillId="0" borderId="0" xfId="6" applyFont="1" applyFill="1"/>
    <xf numFmtId="179" fontId="9" fillId="0" borderId="2" xfId="6" applyNumberFormat="1" applyFill="1" applyBorder="1" applyAlignment="1">
      <alignment horizontal="right" vertical="center"/>
    </xf>
    <xf numFmtId="179" fontId="9" fillId="0" borderId="8" xfId="6" applyNumberFormat="1" applyFill="1" applyBorder="1" applyAlignment="1">
      <alignment horizontal="right" vertical="center"/>
    </xf>
    <xf numFmtId="0" fontId="19" fillId="0" borderId="12" xfId="6" applyFont="1" applyFill="1" applyBorder="1" applyAlignment="1">
      <alignment horizontal="distributed" vertical="center"/>
    </xf>
    <xf numFmtId="0" fontId="19" fillId="0" borderId="2" xfId="6" applyFont="1" applyFill="1" applyBorder="1" applyAlignment="1">
      <alignment horizontal="center" vertical="center"/>
    </xf>
    <xf numFmtId="0" fontId="19" fillId="0" borderId="9" xfId="6" applyFont="1" applyFill="1" applyBorder="1" applyAlignment="1">
      <alignment horizontal="distributed" vertical="center" wrapText="1"/>
    </xf>
    <xf numFmtId="179" fontId="19" fillId="0" borderId="9" xfId="6" applyNumberFormat="1" applyFont="1" applyFill="1" applyBorder="1" applyAlignment="1">
      <alignment vertical="center"/>
    </xf>
    <xf numFmtId="0" fontId="19" fillId="0" borderId="9" xfId="6" applyFont="1" applyFill="1" applyBorder="1" applyAlignment="1">
      <alignment horizontal="distributed" vertical="center"/>
    </xf>
    <xf numFmtId="0" fontId="9" fillId="0" borderId="0" xfId="6" applyFill="1" applyBorder="1"/>
    <xf numFmtId="0" fontId="19" fillId="0" borderId="15" xfId="6" applyFont="1" applyFill="1" applyBorder="1" applyAlignment="1">
      <alignment horizontal="distributed" vertical="center"/>
    </xf>
    <xf numFmtId="179" fontId="19" fillId="0" borderId="15" xfId="6" applyNumberFormat="1" applyFont="1" applyFill="1" applyBorder="1" applyAlignment="1">
      <alignment vertical="center"/>
    </xf>
    <xf numFmtId="181" fontId="9" fillId="0" borderId="34" xfId="6" applyNumberFormat="1" applyFill="1" applyBorder="1" applyAlignment="1">
      <alignment horizontal="right" vertical="center"/>
    </xf>
    <xf numFmtId="177" fontId="9" fillId="0" borderId="34" xfId="6" applyNumberFormat="1" applyFill="1" applyBorder="1" applyAlignment="1">
      <alignment horizontal="right" vertical="center"/>
    </xf>
    <xf numFmtId="0" fontId="58" fillId="0" borderId="0" xfId="10" applyFont="1" applyAlignment="1">
      <alignment vertical="center"/>
    </xf>
    <xf numFmtId="0" fontId="45" fillId="0" borderId="0" xfId="10" applyFont="1" applyAlignment="1">
      <alignment vertical="center"/>
    </xf>
    <xf numFmtId="0" fontId="59" fillId="0" borderId="0" xfId="10" applyFont="1" applyAlignment="1">
      <alignment horizontal="center" vertical="center"/>
    </xf>
    <xf numFmtId="0" fontId="60" fillId="0" borderId="0" xfId="10" applyFont="1" applyAlignment="1">
      <alignment vertical="center"/>
    </xf>
    <xf numFmtId="0" fontId="60" fillId="0" borderId="35" xfId="10" applyFont="1" applyBorder="1" applyAlignment="1">
      <alignment vertical="center"/>
    </xf>
    <xf numFmtId="0" fontId="61" fillId="0" borderId="35" xfId="10" applyFont="1" applyBorder="1" applyAlignment="1">
      <alignment horizontal="right" vertical="center"/>
    </xf>
    <xf numFmtId="0" fontId="45" fillId="0" borderId="0" xfId="10" applyFont="1" applyBorder="1" applyAlignment="1">
      <alignment horizontal="right" vertical="center"/>
    </xf>
    <xf numFmtId="0" fontId="60" fillId="0" borderId="37" xfId="10" applyFont="1" applyBorder="1" applyAlignment="1">
      <alignment horizontal="distributed" vertical="center" wrapText="1" justifyLastLine="1"/>
    </xf>
    <xf numFmtId="0" fontId="60" fillId="0" borderId="39" xfId="10" applyFont="1" applyBorder="1" applyAlignment="1">
      <alignment horizontal="distributed" vertical="center" wrapText="1" justifyLastLine="1"/>
    </xf>
    <xf numFmtId="0" fontId="60" fillId="0" borderId="39" xfId="10" applyFont="1" applyBorder="1" applyAlignment="1">
      <alignment horizontal="center" vertical="center"/>
    </xf>
    <xf numFmtId="0" fontId="60" fillId="0" borderId="40" xfId="10" applyFont="1" applyBorder="1" applyAlignment="1">
      <alignment horizontal="center" vertical="center"/>
    </xf>
    <xf numFmtId="0" fontId="62" fillId="0" borderId="0" xfId="10" applyFont="1" applyBorder="1" applyAlignment="1">
      <alignment horizontal="center" vertical="center"/>
    </xf>
    <xf numFmtId="186" fontId="62" fillId="0" borderId="55" xfId="10" applyNumberFormat="1" applyFont="1" applyBorder="1" applyAlignment="1">
      <alignment vertical="center"/>
    </xf>
    <xf numFmtId="186" fontId="62" fillId="0" borderId="56" xfId="10" applyNumberFormat="1" applyFont="1" applyBorder="1" applyAlignment="1">
      <alignment vertical="center"/>
    </xf>
    <xf numFmtId="179" fontId="62" fillId="0" borderId="43" xfId="10" applyNumberFormat="1" applyFont="1" applyBorder="1" applyAlignment="1">
      <alignment vertical="center"/>
    </xf>
    <xf numFmtId="191" fontId="62" fillId="0" borderId="44" xfId="10" applyNumberFormat="1" applyFont="1" applyBorder="1" applyAlignment="1">
      <alignment vertical="center"/>
    </xf>
    <xf numFmtId="192" fontId="63" fillId="0" borderId="0" xfId="10" applyNumberFormat="1" applyFont="1" applyBorder="1" applyAlignment="1">
      <alignment vertical="center"/>
    </xf>
    <xf numFmtId="0" fontId="60" fillId="0" borderId="45" xfId="10" applyFont="1" applyBorder="1" applyAlignment="1">
      <alignment vertical="center"/>
    </xf>
    <xf numFmtId="186" fontId="62" fillId="0" borderId="13" xfId="10" applyNumberFormat="1" applyFont="1" applyBorder="1" applyAlignment="1">
      <alignment vertical="center"/>
    </xf>
    <xf numFmtId="186" fontId="62" fillId="0" borderId="8" xfId="10" applyNumberFormat="1" applyFont="1" applyBorder="1" applyAlignment="1">
      <alignment vertical="center"/>
    </xf>
    <xf numFmtId="179" fontId="62" fillId="0" borderId="8" xfId="10" applyNumberFormat="1" applyFont="1" applyBorder="1" applyAlignment="1">
      <alignment vertical="center"/>
    </xf>
    <xf numFmtId="191" fontId="62" fillId="0" borderId="46" xfId="10" applyNumberFormat="1" applyFont="1" applyBorder="1" applyAlignment="1">
      <alignment vertical="center"/>
    </xf>
    <xf numFmtId="0" fontId="60" fillId="0" borderId="47" xfId="10" applyFont="1" applyBorder="1" applyAlignment="1">
      <alignment horizontal="distributed" vertical="center"/>
    </xf>
    <xf numFmtId="186" fontId="62" fillId="0" borderId="15" xfId="10" applyNumberFormat="1" applyFont="1" applyFill="1" applyBorder="1" applyAlignment="1">
      <alignment vertical="center"/>
    </xf>
    <xf numFmtId="186" fontId="62" fillId="0" borderId="9" xfId="10" applyNumberFormat="1" applyFont="1" applyFill="1" applyBorder="1" applyAlignment="1">
      <alignment vertical="center"/>
    </xf>
    <xf numFmtId="179" fontId="62" fillId="0" borderId="9" xfId="10" applyNumberFormat="1" applyFont="1" applyBorder="1" applyAlignment="1">
      <alignment vertical="center"/>
    </xf>
    <xf numFmtId="191" fontId="62" fillId="0" borderId="47" xfId="10" applyNumberFormat="1" applyFont="1" applyBorder="1" applyAlignment="1">
      <alignment vertical="center"/>
    </xf>
    <xf numFmtId="0" fontId="60" fillId="0" borderId="9" xfId="10" applyFont="1" applyBorder="1" applyAlignment="1">
      <alignment vertical="center"/>
    </xf>
    <xf numFmtId="0" fontId="60" fillId="0" borderId="1" xfId="10" applyFont="1" applyBorder="1" applyAlignment="1">
      <alignment horizontal="center" vertical="center"/>
    </xf>
    <xf numFmtId="186" fontId="62" fillId="0" borderId="57" xfId="10" applyNumberFormat="1" applyFont="1" applyFill="1" applyBorder="1" applyAlignment="1">
      <alignment vertical="center"/>
    </xf>
    <xf numFmtId="186" fontId="62" fillId="0" borderId="2" xfId="10" applyNumberFormat="1" applyFont="1" applyFill="1" applyBorder="1" applyAlignment="1">
      <alignment vertical="center"/>
    </xf>
    <xf numFmtId="179" fontId="62" fillId="0" borderId="2" xfId="10" applyNumberFormat="1" applyFont="1" applyBorder="1" applyAlignment="1">
      <alignment vertical="center"/>
    </xf>
    <xf numFmtId="191" fontId="62" fillId="0" borderId="49" xfId="10" applyNumberFormat="1" applyFont="1" applyBorder="1" applyAlignment="1">
      <alignment vertical="center"/>
    </xf>
    <xf numFmtId="0" fontId="60" fillId="0" borderId="50" xfId="10" applyFont="1" applyBorder="1" applyAlignment="1">
      <alignment vertical="center"/>
    </xf>
    <xf numFmtId="186" fontId="62" fillId="0" borderId="58" xfId="10" applyNumberFormat="1" applyFont="1" applyFill="1" applyBorder="1" applyAlignment="1">
      <alignment vertical="center"/>
    </xf>
    <xf numFmtId="186" fontId="62" fillId="0" borderId="53" xfId="10" applyNumberFormat="1" applyFont="1" applyFill="1" applyBorder="1" applyAlignment="1">
      <alignment vertical="center"/>
    </xf>
    <xf numFmtId="179" fontId="62" fillId="0" borderId="53" xfId="10" applyNumberFormat="1" applyFont="1" applyBorder="1" applyAlignment="1">
      <alignment vertical="center"/>
    </xf>
    <xf numFmtId="191" fontId="62" fillId="0" borderId="54" xfId="10" applyNumberFormat="1" applyFont="1" applyBorder="1" applyAlignment="1">
      <alignment vertical="center"/>
    </xf>
    <xf numFmtId="0" fontId="72" fillId="0" borderId="0" xfId="10" applyFont="1" applyBorder="1" applyAlignment="1"/>
    <xf numFmtId="0" fontId="62" fillId="0" borderId="0" xfId="10" applyFont="1" applyBorder="1" applyAlignment="1">
      <alignment horizontal="distributed" vertical="center"/>
    </xf>
    <xf numFmtId="186" fontId="63" fillId="0" borderId="0" xfId="10" applyNumberFormat="1" applyFont="1" applyBorder="1" applyAlignment="1">
      <alignment vertical="center"/>
    </xf>
    <xf numFmtId="192" fontId="64" fillId="0" borderId="0" xfId="10" applyNumberFormat="1" applyFont="1" applyBorder="1" applyAlignment="1">
      <alignment horizontal="right" vertical="center"/>
    </xf>
    <xf numFmtId="0" fontId="62" fillId="0" borderId="0" xfId="10" applyFont="1" applyAlignment="1">
      <alignment horizontal="center" vertical="center"/>
    </xf>
    <xf numFmtId="0" fontId="65" fillId="0" borderId="0" xfId="10" applyFont="1" applyFill="1" applyAlignment="1">
      <alignment vertical="center"/>
    </xf>
    <xf numFmtId="0" fontId="62" fillId="0" borderId="0" xfId="10" applyFont="1" applyAlignment="1">
      <alignment vertical="center"/>
    </xf>
    <xf numFmtId="0" fontId="65" fillId="0" borderId="0" xfId="10" applyFont="1" applyAlignment="1">
      <alignment vertical="center"/>
    </xf>
    <xf numFmtId="0" fontId="66" fillId="0" borderId="0" xfId="10" applyFont="1" applyAlignment="1">
      <alignment vertical="center"/>
    </xf>
    <xf numFmtId="0" fontId="60" fillId="0" borderId="0" xfId="10" applyFont="1" applyAlignment="1">
      <alignment horizontal="center" vertical="top"/>
    </xf>
    <xf numFmtId="0" fontId="60" fillId="0" borderId="0" xfId="10" applyFont="1" applyFill="1" applyAlignment="1">
      <alignment vertical="top"/>
    </xf>
    <xf numFmtId="0" fontId="68" fillId="0" borderId="0" xfId="10" applyFont="1" applyAlignment="1">
      <alignment horizontal="right" vertical="center"/>
    </xf>
    <xf numFmtId="0" fontId="69" fillId="0" borderId="0" xfId="10" applyFont="1" applyAlignment="1">
      <alignment vertical="center"/>
    </xf>
    <xf numFmtId="0" fontId="60" fillId="0" borderId="0" xfId="10" applyFont="1" applyAlignment="1">
      <alignment vertical="distributed"/>
    </xf>
    <xf numFmtId="0" fontId="62" fillId="0" borderId="0" xfId="10" applyFont="1" applyAlignment="1">
      <alignment vertical="distributed"/>
    </xf>
    <xf numFmtId="0" fontId="62" fillId="0" borderId="0" xfId="10" applyFont="1" applyAlignment="1">
      <alignment horizontal="left" vertical="top" wrapText="1"/>
    </xf>
    <xf numFmtId="0" fontId="2" fillId="0" borderId="0" xfId="10" applyFont="1" applyAlignment="1">
      <alignment vertical="distributed"/>
    </xf>
    <xf numFmtId="0" fontId="66" fillId="0" borderId="0" xfId="10" applyFont="1" applyFill="1" applyAlignment="1">
      <alignment vertical="center"/>
    </xf>
    <xf numFmtId="0" fontId="70" fillId="0" borderId="0" xfId="10" applyFont="1" applyAlignment="1">
      <alignment vertical="center"/>
    </xf>
    <xf numFmtId="0" fontId="73" fillId="0" borderId="0" xfId="10" applyFont="1" applyAlignment="1">
      <alignment vertical="center"/>
    </xf>
    <xf numFmtId="0" fontId="62" fillId="0" borderId="9" xfId="10" applyFont="1" applyBorder="1" applyAlignment="1">
      <alignment horizontal="distributed" vertical="center"/>
    </xf>
    <xf numFmtId="0" fontId="62" fillId="0" borderId="9" xfId="10" applyFont="1" applyBorder="1" applyAlignment="1">
      <alignment horizontal="center" vertical="center" shrinkToFit="1"/>
    </xf>
    <xf numFmtId="0" fontId="62" fillId="0" borderId="9" xfId="10" applyFont="1" applyBorder="1" applyAlignment="1">
      <alignment horizontal="center" vertical="center" wrapText="1" shrinkToFit="1"/>
    </xf>
    <xf numFmtId="0" fontId="75" fillId="0" borderId="0" xfId="10" applyFont="1" applyBorder="1" applyAlignment="1">
      <alignment vertical="center"/>
    </xf>
    <xf numFmtId="186" fontId="62" fillId="0" borderId="9" xfId="10" applyNumberFormat="1" applyFont="1" applyBorder="1" applyAlignment="1">
      <alignment vertical="center"/>
    </xf>
    <xf numFmtId="38" fontId="76" fillId="0" borderId="9" xfId="11" applyFont="1" applyBorder="1" applyAlignment="1">
      <alignment vertical="center"/>
    </xf>
    <xf numFmtId="186" fontId="62" fillId="6" borderId="9" xfId="10" applyNumberFormat="1" applyFont="1" applyFill="1" applyBorder="1" applyAlignment="1">
      <alignment vertical="center"/>
    </xf>
    <xf numFmtId="186" fontId="62" fillId="3" borderId="9" xfId="10" applyNumberFormat="1" applyFont="1" applyFill="1" applyBorder="1" applyAlignment="1">
      <alignment vertical="center"/>
    </xf>
    <xf numFmtId="0" fontId="45" fillId="0" borderId="9" xfId="10" applyFont="1" applyBorder="1" applyAlignment="1">
      <alignment horizontal="distributed" vertical="center" wrapText="1"/>
    </xf>
    <xf numFmtId="186" fontId="63" fillId="0" borderId="9" xfId="10" applyNumberFormat="1" applyFont="1" applyBorder="1" applyAlignment="1">
      <alignment vertical="center"/>
    </xf>
    <xf numFmtId="186" fontId="63" fillId="0" borderId="9" xfId="10" applyNumberFormat="1" applyFont="1" applyFill="1" applyBorder="1" applyAlignment="1">
      <alignment vertical="center"/>
    </xf>
    <xf numFmtId="186" fontId="63" fillId="6" borderId="9" xfId="10" applyNumberFormat="1" applyFont="1" applyFill="1" applyBorder="1" applyAlignment="1">
      <alignment vertical="center"/>
    </xf>
    <xf numFmtId="0" fontId="2" fillId="0" borderId="0" xfId="10"/>
    <xf numFmtId="0" fontId="60" fillId="0" borderId="9" xfId="10" applyFont="1" applyBorder="1" applyAlignment="1">
      <alignment horizontal="center" vertical="center"/>
    </xf>
    <xf numFmtId="193" fontId="60" fillId="0" borderId="9" xfId="12" applyNumberFormat="1" applyFont="1" applyBorder="1" applyAlignment="1">
      <alignment vertical="center"/>
    </xf>
    <xf numFmtId="0" fontId="72" fillId="0" borderId="9" xfId="10" applyFont="1" applyBorder="1" applyAlignment="1">
      <alignment horizontal="center" vertical="center"/>
    </xf>
    <xf numFmtId="0" fontId="2" fillId="0" borderId="0" xfId="13"/>
    <xf numFmtId="0" fontId="77" fillId="0" borderId="9" xfId="13" applyFont="1" applyBorder="1" applyAlignment="1">
      <alignment horizontal="center" vertical="top" wrapText="1"/>
    </xf>
    <xf numFmtId="0" fontId="77" fillId="0" borderId="9" xfId="13" applyFont="1" applyBorder="1"/>
    <xf numFmtId="0" fontId="77" fillId="0" borderId="9" xfId="13" applyFont="1" applyBorder="1" applyAlignment="1"/>
    <xf numFmtId="0" fontId="77" fillId="0" borderId="8" xfId="13" applyFont="1" applyBorder="1" applyAlignment="1"/>
    <xf numFmtId="193" fontId="77" fillId="0" borderId="9" xfId="13" applyNumberFormat="1" applyFont="1" applyBorder="1"/>
    <xf numFmtId="0" fontId="21" fillId="0" borderId="9" xfId="13" applyFont="1" applyBorder="1" applyAlignment="1">
      <alignment horizontal="center"/>
    </xf>
    <xf numFmtId="193" fontId="21" fillId="0" borderId="9" xfId="13" applyNumberFormat="1" applyFont="1" applyBorder="1"/>
    <xf numFmtId="193" fontId="78" fillId="0" borderId="9" xfId="13" applyNumberFormat="1" applyFont="1" applyBorder="1"/>
    <xf numFmtId="0" fontId="21" fillId="0" borderId="9" xfId="13" applyFont="1" applyBorder="1" applyAlignment="1">
      <alignment horizontal="center" wrapText="1"/>
    </xf>
    <xf numFmtId="193" fontId="79" fillId="0" borderId="9" xfId="13" applyNumberFormat="1" applyFont="1" applyFill="1" applyBorder="1"/>
    <xf numFmtId="193" fontId="80" fillId="0" borderId="9" xfId="13" applyNumberFormat="1" applyFont="1" applyBorder="1"/>
    <xf numFmtId="0" fontId="30" fillId="0" borderId="0" xfId="4" applyFont="1" applyAlignment="1">
      <alignment horizontal="center"/>
    </xf>
    <xf numFmtId="0" fontId="30" fillId="0" borderId="0" xfId="4" applyFont="1" applyAlignment="1">
      <alignment horizontal="distributed"/>
    </xf>
    <xf numFmtId="0" fontId="49" fillId="0" borderId="0" xfId="3" applyNumberFormat="1" applyFont="1" applyFill="1" applyAlignment="1">
      <alignment horizontal="distributed"/>
    </xf>
    <xf numFmtId="0" fontId="53" fillId="0" borderId="0" xfId="3" applyNumberFormat="1" applyFont="1" applyFill="1" applyAlignment="1">
      <alignment horizontal="distributed"/>
    </xf>
    <xf numFmtId="190" fontId="22" fillId="0" borderId="0" xfId="3" applyNumberFormat="1" applyFont="1" applyFill="1" applyAlignment="1">
      <alignment horizontal="center"/>
    </xf>
    <xf numFmtId="0" fontId="53" fillId="0" borderId="0" xfId="3" applyNumberFormat="1" applyFont="1" applyFill="1" applyAlignment="1">
      <alignment horizontal="center"/>
    </xf>
    <xf numFmtId="176" fontId="22" fillId="0" borderId="2" xfId="3" applyNumberFormat="1" applyFont="1" applyFill="1" applyBorder="1" applyAlignment="1">
      <alignment horizontal="right" vertical="center"/>
    </xf>
    <xf numFmtId="176" fontId="22" fillId="0" borderId="7" xfId="3" applyNumberFormat="1" applyFont="1" applyFill="1" applyBorder="1" applyAlignment="1">
      <alignment horizontal="right" vertical="center"/>
    </xf>
    <xf numFmtId="176" fontId="22" fillId="0" borderId="8" xfId="3" applyNumberFormat="1" applyFont="1" applyFill="1" applyBorder="1" applyAlignment="1">
      <alignment horizontal="right" vertical="center"/>
    </xf>
    <xf numFmtId="185" fontId="71" fillId="0" borderId="5" xfId="1" applyNumberFormat="1" applyFont="1" applyFill="1" applyBorder="1" applyAlignment="1">
      <alignment horizontal="right" vertical="center"/>
    </xf>
    <xf numFmtId="185" fontId="71" fillId="0" borderId="1" xfId="1" applyNumberFormat="1" applyFont="1" applyFill="1" applyBorder="1" applyAlignment="1">
      <alignment horizontal="right" vertical="center"/>
    </xf>
    <xf numFmtId="179" fontId="71" fillId="0" borderId="1" xfId="1" applyNumberFormat="1" applyFont="1" applyFill="1" applyBorder="1" applyAlignment="1">
      <alignment horizontal="right" vertical="top"/>
    </xf>
    <xf numFmtId="179" fontId="71" fillId="0" borderId="10" xfId="1" applyNumberFormat="1" applyFont="1" applyFill="1" applyBorder="1" applyAlignment="1">
      <alignment horizontal="right" vertical="top"/>
    </xf>
    <xf numFmtId="0" fontId="22" fillId="0" borderId="5" xfId="3" applyNumberFormat="1" applyFont="1" applyFill="1" applyBorder="1" applyAlignment="1">
      <alignment horizontal="distributed" vertical="center" wrapText="1"/>
    </xf>
    <xf numFmtId="0" fontId="22" fillId="0" borderId="6" xfId="3" applyNumberFormat="1" applyFont="1" applyFill="1" applyBorder="1" applyAlignment="1">
      <alignment horizontal="distributed" vertical="center" wrapText="1"/>
    </xf>
    <xf numFmtId="0" fontId="22" fillId="0" borderId="1" xfId="3" applyNumberFormat="1" applyFont="1" applyFill="1" applyBorder="1" applyAlignment="1">
      <alignment horizontal="distributed" vertical="center" wrapText="1"/>
    </xf>
    <xf numFmtId="0" fontId="22" fillId="0" borderId="20" xfId="3" applyNumberFormat="1" applyFont="1" applyFill="1" applyBorder="1" applyAlignment="1">
      <alignment horizontal="distributed" vertical="center" wrapText="1"/>
    </xf>
    <xf numFmtId="0" fontId="22" fillId="0" borderId="10" xfId="3" applyNumberFormat="1" applyFont="1" applyFill="1" applyBorder="1" applyAlignment="1">
      <alignment horizontal="distributed" vertical="center" wrapText="1"/>
    </xf>
    <xf numFmtId="0" fontId="22" fillId="0" borderId="11" xfId="3" applyNumberFormat="1" applyFont="1" applyFill="1" applyBorder="1" applyAlignment="1">
      <alignment horizontal="distributed" vertical="center" wrapText="1"/>
    </xf>
    <xf numFmtId="176" fontId="22" fillId="0" borderId="5" xfId="3" applyNumberFormat="1" applyFont="1" applyFill="1" applyBorder="1" applyAlignment="1">
      <alignment horizontal="right" vertical="center"/>
    </xf>
    <xf numFmtId="176" fontId="22" fillId="0" borderId="6" xfId="3" applyNumberFormat="1" applyFont="1" applyFill="1" applyBorder="1" applyAlignment="1">
      <alignment horizontal="right" vertical="center"/>
    </xf>
    <xf numFmtId="176" fontId="22" fillId="0" borderId="1" xfId="3" applyNumberFormat="1" applyFont="1" applyFill="1" applyBorder="1" applyAlignment="1">
      <alignment horizontal="right" vertical="center"/>
    </xf>
    <xf numFmtId="176" fontId="22" fillId="0" borderId="20" xfId="3" applyNumberFormat="1" applyFont="1" applyFill="1" applyBorder="1" applyAlignment="1">
      <alignment horizontal="right" vertical="center"/>
    </xf>
    <xf numFmtId="176" fontId="22" fillId="0" borderId="10" xfId="3" applyNumberFormat="1" applyFont="1" applyFill="1" applyBorder="1" applyAlignment="1">
      <alignment horizontal="right" vertical="center"/>
    </xf>
    <xf numFmtId="176" fontId="22" fillId="0" borderId="11" xfId="3" applyNumberFormat="1" applyFont="1" applyFill="1" applyBorder="1" applyAlignment="1">
      <alignment horizontal="right" vertical="center"/>
    </xf>
    <xf numFmtId="0" fontId="22" fillId="0" borderId="9" xfId="3" applyNumberFormat="1" applyFont="1" applyFill="1" applyBorder="1" applyAlignment="1">
      <alignment horizontal="distributed" vertical="center" wrapText="1"/>
    </xf>
    <xf numFmtId="0" fontId="23" fillId="0" borderId="5" xfId="3" applyNumberFormat="1" applyFont="1" applyFill="1" applyBorder="1" applyAlignment="1">
      <alignment horizontal="distributed" vertical="center" wrapText="1"/>
    </xf>
    <xf numFmtId="0" fontId="23" fillId="0" borderId="6" xfId="3" applyNumberFormat="1" applyFont="1" applyFill="1" applyBorder="1" applyAlignment="1">
      <alignment horizontal="distributed" vertical="center" wrapText="1"/>
    </xf>
    <xf numFmtId="0" fontId="23" fillId="0" borderId="1" xfId="3" applyNumberFormat="1" applyFont="1" applyFill="1" applyBorder="1" applyAlignment="1">
      <alignment horizontal="distributed" vertical="center" wrapText="1"/>
    </xf>
    <xf numFmtId="0" fontId="23" fillId="0" borderId="20" xfId="3" applyNumberFormat="1" applyFont="1" applyFill="1" applyBorder="1" applyAlignment="1">
      <alignment horizontal="distributed" vertical="center" wrapText="1"/>
    </xf>
    <xf numFmtId="0" fontId="22" fillId="0" borderId="5" xfId="3" applyNumberFormat="1" applyFont="1" applyFill="1" applyBorder="1" applyAlignment="1">
      <alignment horizontal="distributed" vertical="center"/>
    </xf>
    <xf numFmtId="0" fontId="22" fillId="0" borderId="6" xfId="3" applyNumberFormat="1" applyFont="1" applyFill="1" applyBorder="1" applyAlignment="1">
      <alignment horizontal="distributed" vertical="center"/>
    </xf>
    <xf numFmtId="0" fontId="22" fillId="0" borderId="1" xfId="3" applyNumberFormat="1" applyFont="1" applyFill="1" applyBorder="1" applyAlignment="1">
      <alignment horizontal="distributed" vertical="center"/>
    </xf>
    <xf numFmtId="0" fontId="22" fillId="0" borderId="20" xfId="3" applyNumberFormat="1" applyFont="1" applyFill="1" applyBorder="1" applyAlignment="1">
      <alignment horizontal="distributed" vertical="center"/>
    </xf>
    <xf numFmtId="0" fontId="23" fillId="0" borderId="9" xfId="3" applyNumberFormat="1" applyFont="1" applyFill="1" applyBorder="1" applyAlignment="1">
      <alignment horizontal="distributed" vertical="center" wrapText="1"/>
    </xf>
    <xf numFmtId="0" fontId="22" fillId="0" borderId="14" xfId="3" applyNumberFormat="1" applyFont="1" applyFill="1" applyBorder="1" applyAlignment="1">
      <alignment horizontal="distributed" vertical="center"/>
    </xf>
    <xf numFmtId="0" fontId="22" fillId="0" borderId="10" xfId="3" applyNumberFormat="1" applyFont="1" applyFill="1" applyBorder="1" applyAlignment="1">
      <alignment horizontal="distributed" vertical="center"/>
    </xf>
    <xf numFmtId="0" fontId="22" fillId="0" borderId="13" xfId="3" applyNumberFormat="1" applyFont="1" applyFill="1" applyBorder="1" applyAlignment="1">
      <alignment horizontal="distributed" vertical="center"/>
    </xf>
    <xf numFmtId="0" fontId="22" fillId="0" borderId="11" xfId="3" applyNumberFormat="1" applyFont="1" applyFill="1" applyBorder="1" applyAlignment="1">
      <alignment horizontal="distributed" vertical="center"/>
    </xf>
    <xf numFmtId="176" fontId="22" fillId="0" borderId="2" xfId="3" applyNumberFormat="1" applyFont="1" applyFill="1" applyBorder="1" applyAlignment="1">
      <alignment vertical="center"/>
    </xf>
    <xf numFmtId="176" fontId="22" fillId="0" borderId="8" xfId="3" applyNumberFormat="1" applyFont="1" applyFill="1" applyBorder="1" applyAlignment="1">
      <alignment vertical="center"/>
    </xf>
    <xf numFmtId="0" fontId="22" fillId="0" borderId="2" xfId="3" applyNumberFormat="1" applyFont="1" applyFill="1" applyBorder="1" applyAlignment="1">
      <alignment horizontal="distributed" vertical="center" wrapText="1"/>
    </xf>
    <xf numFmtId="0" fontId="22" fillId="0" borderId="8" xfId="3" applyNumberFormat="1" applyFont="1" applyFill="1" applyBorder="1" applyAlignment="1">
      <alignment horizontal="distributed" vertical="center" wrapText="1"/>
    </xf>
    <xf numFmtId="0" fontId="71" fillId="0" borderId="5" xfId="3" applyNumberFormat="1" applyFont="1" applyFill="1" applyBorder="1" applyAlignment="1">
      <alignment horizontal="distributed" vertical="center" wrapText="1"/>
    </xf>
    <xf numFmtId="0" fontId="71" fillId="0" borderId="6" xfId="3" applyNumberFormat="1" applyFont="1" applyFill="1" applyBorder="1" applyAlignment="1">
      <alignment horizontal="distributed" vertical="center" wrapText="1"/>
    </xf>
    <xf numFmtId="0" fontId="71" fillId="0" borderId="10" xfId="3" applyNumberFormat="1" applyFont="1" applyFill="1" applyBorder="1" applyAlignment="1">
      <alignment horizontal="distributed" vertical="center" wrapText="1"/>
    </xf>
    <xf numFmtId="0" fontId="71" fillId="0" borderId="11" xfId="3" applyNumberFormat="1" applyFont="1" applyFill="1" applyBorder="1" applyAlignment="1">
      <alignment horizontal="distributed" vertical="center" wrapText="1"/>
    </xf>
    <xf numFmtId="187" fontId="22" fillId="0" borderId="5" xfId="3" applyNumberFormat="1" applyFont="1" applyFill="1" applyBorder="1" applyAlignment="1">
      <alignment horizontal="right" vertical="center"/>
    </xf>
    <xf numFmtId="187" fontId="22" fillId="0" borderId="6" xfId="3" applyNumberFormat="1" applyFont="1" applyFill="1" applyBorder="1" applyAlignment="1">
      <alignment horizontal="right" vertical="center"/>
    </xf>
    <xf numFmtId="187" fontId="22" fillId="0" borderId="10" xfId="3" applyNumberFormat="1" applyFont="1" applyFill="1" applyBorder="1" applyAlignment="1">
      <alignment horizontal="right" vertical="center"/>
    </xf>
    <xf numFmtId="187" fontId="22" fillId="0" borderId="11" xfId="3" applyNumberFormat="1" applyFont="1" applyFill="1" applyBorder="1" applyAlignment="1">
      <alignment horizontal="right" vertical="center"/>
    </xf>
    <xf numFmtId="0" fontId="22" fillId="0" borderId="5" xfId="3" applyNumberFormat="1" applyFont="1" applyFill="1" applyBorder="1" applyAlignment="1">
      <alignment horizontal="distributed" vertical="center" shrinkToFit="1"/>
    </xf>
    <xf numFmtId="0" fontId="22" fillId="0" borderId="14" xfId="3" applyNumberFormat="1" applyFont="1" applyFill="1" applyBorder="1" applyAlignment="1">
      <alignment horizontal="distributed" vertical="center" shrinkToFit="1"/>
    </xf>
    <xf numFmtId="0" fontId="22" fillId="0" borderId="6" xfId="3" applyNumberFormat="1" applyFont="1" applyFill="1" applyBorder="1" applyAlignment="1">
      <alignment horizontal="distributed" vertical="center" shrinkToFit="1"/>
    </xf>
    <xf numFmtId="0" fontId="22" fillId="0" borderId="10" xfId="3" applyNumberFormat="1" applyFont="1" applyFill="1" applyBorder="1" applyAlignment="1">
      <alignment horizontal="distributed" vertical="center" shrinkToFit="1"/>
    </xf>
    <xf numFmtId="0" fontId="22" fillId="0" borderId="13" xfId="3" applyNumberFormat="1" applyFont="1" applyFill="1" applyBorder="1" applyAlignment="1">
      <alignment horizontal="distributed" vertical="center" shrinkToFit="1"/>
    </xf>
    <xf numFmtId="0" fontId="22" fillId="0" borderId="11" xfId="3" applyNumberFormat="1" applyFont="1" applyFill="1" applyBorder="1" applyAlignment="1">
      <alignment horizontal="distributed" vertical="center" shrinkToFit="1"/>
    </xf>
    <xf numFmtId="0" fontId="0" fillId="0" borderId="7" xfId="0" applyBorder="1" applyAlignment="1">
      <alignment horizontal="right" vertical="center"/>
    </xf>
    <xf numFmtId="0" fontId="0" fillId="0" borderId="8" xfId="0" applyBorder="1" applyAlignment="1">
      <alignment horizontal="right" vertical="center"/>
    </xf>
    <xf numFmtId="0" fontId="0" fillId="0" borderId="1" xfId="0" applyBorder="1" applyAlignment="1"/>
    <xf numFmtId="0" fontId="0" fillId="0" borderId="10" xfId="0" applyBorder="1" applyAlignment="1">
      <alignment vertical="top"/>
    </xf>
    <xf numFmtId="0" fontId="22" fillId="0" borderId="0" xfId="3" applyNumberFormat="1" applyFont="1" applyFill="1" applyBorder="1" applyAlignment="1">
      <alignment horizontal="distributed" vertical="center"/>
    </xf>
    <xf numFmtId="38" fontId="24" fillId="0" borderId="5" xfId="2" applyFont="1" applyBorder="1" applyAlignment="1">
      <alignment horizontal="right" vertical="center"/>
    </xf>
    <xf numFmtId="0" fontId="0" fillId="0" borderId="6" xfId="0" applyBorder="1" applyAlignment="1">
      <alignment horizontal="right" vertical="center"/>
    </xf>
    <xf numFmtId="0" fontId="0" fillId="0" borderId="1" xfId="0" applyBorder="1" applyAlignment="1">
      <alignment horizontal="right" vertical="center"/>
    </xf>
    <xf numFmtId="0" fontId="0" fillId="0" borderId="20"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22" fillId="0" borderId="16" xfId="3" applyNumberFormat="1" applyFont="1" applyFill="1" applyBorder="1" applyAlignment="1">
      <alignment horizontal="distributed" vertical="center"/>
    </xf>
    <xf numFmtId="0" fontId="22" fillId="0" borderId="24" xfId="3" applyNumberFormat="1" applyFont="1" applyFill="1" applyBorder="1" applyAlignment="1">
      <alignment horizontal="distributed" vertical="center"/>
    </xf>
    <xf numFmtId="0" fontId="22" fillId="0" borderId="17" xfId="3" applyNumberFormat="1" applyFont="1" applyFill="1" applyBorder="1" applyAlignment="1">
      <alignment horizontal="distributed" vertical="center"/>
    </xf>
    <xf numFmtId="0" fontId="49" fillId="0" borderId="3" xfId="3" applyNumberFormat="1" applyFont="1" applyFill="1" applyBorder="1" applyAlignment="1">
      <alignment horizontal="center" vertical="center"/>
    </xf>
    <xf numFmtId="0" fontId="49" fillId="0" borderId="4" xfId="3" applyNumberFormat="1" applyFont="1" applyFill="1" applyBorder="1" applyAlignment="1">
      <alignment horizontal="center" vertical="center"/>
    </xf>
    <xf numFmtId="0" fontId="22" fillId="0" borderId="10" xfId="3" applyNumberFormat="1" applyFont="1" applyFill="1" applyBorder="1" applyAlignment="1">
      <alignment horizontal="center" vertical="center"/>
    </xf>
    <xf numFmtId="0" fontId="22" fillId="0" borderId="19" xfId="3" applyNumberFormat="1" applyFont="1" applyFill="1" applyBorder="1" applyAlignment="1">
      <alignment horizontal="center" vertical="center"/>
    </xf>
    <xf numFmtId="0" fontId="22" fillId="0" borderId="11" xfId="3" applyNumberFormat="1" applyFont="1" applyFill="1" applyBorder="1" applyAlignment="1">
      <alignment horizontal="center" vertical="center"/>
    </xf>
    <xf numFmtId="58" fontId="46" fillId="0" borderId="0" xfId="0" applyNumberFormat="1" applyFont="1" applyFill="1" applyBorder="1" applyAlignment="1">
      <alignment horizontal="left" vertical="center"/>
    </xf>
    <xf numFmtId="0" fontId="22" fillId="0" borderId="9" xfId="3" applyNumberFormat="1" applyFont="1" applyFill="1" applyBorder="1" applyAlignment="1">
      <alignment horizontal="center" vertical="center"/>
    </xf>
    <xf numFmtId="0" fontId="22" fillId="0" borderId="5" xfId="3" applyNumberFormat="1" applyFont="1" applyFill="1" applyBorder="1" applyAlignment="1">
      <alignment horizontal="center" vertical="center"/>
    </xf>
    <xf numFmtId="0" fontId="22" fillId="0" borderId="18" xfId="3" applyNumberFormat="1" applyFont="1" applyFill="1" applyBorder="1" applyAlignment="1">
      <alignment horizontal="center" vertical="center"/>
    </xf>
    <xf numFmtId="0" fontId="22" fillId="0" borderId="6" xfId="3" applyNumberFormat="1" applyFont="1" applyFill="1" applyBorder="1" applyAlignment="1">
      <alignment horizontal="center" vertical="center"/>
    </xf>
    <xf numFmtId="0" fontId="36" fillId="4" borderId="0" xfId="0" applyFont="1" applyFill="1" applyAlignment="1">
      <alignment vertical="center"/>
    </xf>
    <xf numFmtId="0" fontId="36" fillId="4" borderId="0" xfId="4" applyFont="1" applyFill="1" applyAlignment="1">
      <alignment vertical="center"/>
    </xf>
    <xf numFmtId="0" fontId="26" fillId="0" borderId="0" xfId="4" applyFont="1" applyAlignment="1">
      <alignment horizontal="left" vertical="distributed" wrapText="1"/>
    </xf>
    <xf numFmtId="0" fontId="31" fillId="0" borderId="0" xfId="4" applyFont="1" applyAlignment="1">
      <alignment horizontal="left" vertical="top" wrapText="1"/>
    </xf>
    <xf numFmtId="0" fontId="26" fillId="0" borderId="1" xfId="4" applyFont="1" applyFill="1" applyBorder="1" applyAlignment="1">
      <alignment horizontal="left" vertical="distributed" wrapText="1"/>
    </xf>
    <xf numFmtId="0" fontId="26" fillId="0" borderId="0" xfId="4" applyFont="1" applyFill="1" applyBorder="1" applyAlignment="1">
      <alignment horizontal="left" vertical="distributed" wrapText="1"/>
    </xf>
    <xf numFmtId="0" fontId="26" fillId="0" borderId="20" xfId="4" applyFont="1" applyFill="1" applyBorder="1" applyAlignment="1">
      <alignment horizontal="left" vertical="distributed" wrapText="1"/>
    </xf>
    <xf numFmtId="0" fontId="26" fillId="0" borderId="1" xfId="4" applyFont="1" applyFill="1" applyBorder="1" applyAlignment="1">
      <alignment horizontal="left" vertical="distributed" wrapText="1" indent="1"/>
    </xf>
    <xf numFmtId="0" fontId="26" fillId="0" borderId="0" xfId="4" applyFont="1" applyFill="1" applyBorder="1" applyAlignment="1">
      <alignment horizontal="left" vertical="distributed" wrapText="1" indent="1"/>
    </xf>
    <xf numFmtId="0" fontId="26" fillId="0" borderId="20" xfId="4" applyFont="1" applyFill="1" applyBorder="1" applyAlignment="1">
      <alignment horizontal="left" vertical="distributed" wrapText="1" indent="1"/>
    </xf>
    <xf numFmtId="0" fontId="39" fillId="0" borderId="1" xfId="4" applyFont="1" applyFill="1" applyBorder="1" applyAlignment="1">
      <alignment horizontal="left" vertical="distributed" wrapText="1" indent="1"/>
    </xf>
    <xf numFmtId="0" fontId="39" fillId="0" borderId="0" xfId="4" applyFont="1" applyFill="1" applyBorder="1" applyAlignment="1">
      <alignment horizontal="left" vertical="distributed" wrapText="1" indent="1"/>
    </xf>
    <xf numFmtId="0" fontId="39" fillId="0" borderId="20" xfId="4" applyFont="1" applyFill="1" applyBorder="1" applyAlignment="1">
      <alignment horizontal="left" vertical="distributed" wrapText="1" indent="1"/>
    </xf>
    <xf numFmtId="0" fontId="0" fillId="0" borderId="1" xfId="0" applyBorder="1" applyAlignment="1">
      <alignment horizontal="left" vertical="distributed" wrapText="1" indent="1"/>
    </xf>
    <xf numFmtId="0" fontId="0" fillId="0" borderId="0" xfId="0" applyAlignment="1">
      <alignment horizontal="left" vertical="distributed" wrapText="1" indent="1"/>
    </xf>
    <xf numFmtId="0" fontId="0" fillId="0" borderId="20" xfId="0" applyBorder="1" applyAlignment="1">
      <alignment horizontal="left" vertical="distributed" wrapText="1" indent="1"/>
    </xf>
    <xf numFmtId="0" fontId="26" fillId="2" borderId="14" xfId="4" applyFont="1" applyFill="1" applyBorder="1" applyAlignment="1">
      <alignment horizontal="left" vertical="top" wrapText="1"/>
    </xf>
    <xf numFmtId="0" fontId="9" fillId="0" borderId="13" xfId="6" applyFill="1" applyBorder="1" applyAlignment="1">
      <alignment vertical="center"/>
    </xf>
    <xf numFmtId="0" fontId="9" fillId="0" borderId="13" xfId="6" applyFill="1" applyBorder="1" applyAlignment="1">
      <alignment horizontal="left" vertical="center"/>
    </xf>
    <xf numFmtId="179" fontId="9" fillId="0" borderId="2" xfId="6" applyNumberFormat="1" applyFill="1" applyBorder="1" applyAlignment="1">
      <alignment vertical="center"/>
    </xf>
    <xf numFmtId="179" fontId="9" fillId="0" borderId="8" xfId="6" applyNumberFormat="1" applyFill="1" applyBorder="1" applyAlignment="1">
      <alignment vertical="center"/>
    </xf>
    <xf numFmtId="179" fontId="9" fillId="0" borderId="2" xfId="6" applyNumberFormat="1" applyFill="1" applyBorder="1" applyAlignment="1">
      <alignment horizontal="right" vertical="top"/>
    </xf>
    <xf numFmtId="179" fontId="9" fillId="0" borderId="8" xfId="6" applyNumberFormat="1" applyFill="1" applyBorder="1" applyAlignment="1">
      <alignment horizontal="right" vertical="top"/>
    </xf>
    <xf numFmtId="0" fontId="19" fillId="0" borderId="13" xfId="6" applyFont="1" applyFill="1" applyBorder="1" applyAlignment="1">
      <alignment horizontal="left" vertical="center"/>
    </xf>
    <xf numFmtId="184" fontId="9" fillId="0" borderId="2" xfId="6" applyNumberFormat="1" applyFill="1" applyBorder="1" applyAlignment="1">
      <alignment horizontal="right" vertical="center"/>
    </xf>
    <xf numFmtId="184" fontId="9" fillId="0" borderId="8" xfId="6" applyNumberFormat="1" applyFill="1" applyBorder="1" applyAlignment="1">
      <alignment horizontal="right" vertical="center"/>
    </xf>
    <xf numFmtId="0" fontId="19" fillId="2" borderId="0" xfId="7" applyFont="1" applyFill="1" applyBorder="1" applyAlignment="1">
      <alignment horizontal="left" vertical="center"/>
    </xf>
    <xf numFmtId="176" fontId="18" fillId="2" borderId="22" xfId="0" applyNumberFormat="1" applyFont="1" applyFill="1" applyBorder="1" applyAlignment="1">
      <alignment horizontal="right" vertical="center"/>
    </xf>
    <xf numFmtId="176" fontId="18" fillId="2" borderId="30" xfId="0" applyNumberFormat="1" applyFont="1" applyFill="1" applyBorder="1" applyAlignment="1">
      <alignment horizontal="right" vertical="center"/>
    </xf>
    <xf numFmtId="177" fontId="18" fillId="0" borderId="3" xfId="0" applyNumberFormat="1" applyFont="1" applyFill="1" applyBorder="1" applyAlignment="1">
      <alignment horizontal="right" vertical="center"/>
    </xf>
    <xf numFmtId="180" fontId="18" fillId="0" borderId="4" xfId="0" applyNumberFormat="1" applyFont="1" applyFill="1" applyBorder="1" applyAlignment="1">
      <alignment horizontal="right" vertical="center"/>
    </xf>
    <xf numFmtId="176" fontId="18" fillId="0" borderId="9" xfId="0" applyNumberFormat="1" applyFont="1" applyFill="1" applyBorder="1" applyAlignment="1">
      <alignment horizontal="right" vertical="center"/>
    </xf>
    <xf numFmtId="0" fontId="18" fillId="2" borderId="1" xfId="0" applyNumberFormat="1" applyFont="1" applyFill="1" applyBorder="1" applyAlignment="1">
      <alignment horizontal="center" vertical="center"/>
    </xf>
    <xf numFmtId="0" fontId="18" fillId="2" borderId="20" xfId="0" applyNumberFormat="1" applyFont="1" applyFill="1" applyBorder="1" applyAlignment="1">
      <alignment horizontal="center" vertical="center"/>
    </xf>
    <xf numFmtId="0" fontId="18" fillId="2" borderId="10" xfId="0" applyNumberFormat="1" applyFont="1" applyFill="1" applyBorder="1" applyAlignment="1">
      <alignment horizontal="center" vertical="center"/>
    </xf>
    <xf numFmtId="0" fontId="18" fillId="2" borderId="11" xfId="0" applyNumberFormat="1" applyFont="1" applyFill="1" applyBorder="1" applyAlignment="1">
      <alignment horizontal="center" vertical="center"/>
    </xf>
    <xf numFmtId="0" fontId="18" fillId="2" borderId="25" xfId="0" applyNumberFormat="1"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38" fontId="17" fillId="2" borderId="0" xfId="2" applyFont="1" applyFill="1" applyAlignment="1"/>
    <xf numFmtId="182" fontId="18" fillId="0" borderId="9" xfId="0" applyNumberFormat="1" applyFont="1" applyFill="1" applyBorder="1" applyAlignment="1">
      <alignment horizontal="right" vertical="center"/>
    </xf>
    <xf numFmtId="0" fontId="18" fillId="0" borderId="9" xfId="0" applyNumberFormat="1" applyFont="1" applyFill="1" applyBorder="1" applyAlignment="1">
      <alignment horizontal="left" vertical="center"/>
    </xf>
    <xf numFmtId="10" fontId="17" fillId="2" borderId="0" xfId="2" applyNumberFormat="1" applyFont="1" applyFill="1" applyAlignment="1"/>
    <xf numFmtId="38" fontId="15" fillId="0" borderId="0" xfId="2" applyFont="1" applyAlignment="1"/>
    <xf numFmtId="0" fontId="60" fillId="0" borderId="3" xfId="10" applyFont="1" applyBorder="1" applyAlignment="1">
      <alignment horizontal="distributed" vertical="center"/>
    </xf>
    <xf numFmtId="0" fontId="60" fillId="0" borderId="48" xfId="10" applyFont="1" applyBorder="1" applyAlignment="1">
      <alignment horizontal="distributed" vertical="center"/>
    </xf>
    <xf numFmtId="0" fontId="60" fillId="0" borderId="51" xfId="10" applyFont="1" applyBorder="1" applyAlignment="1">
      <alignment horizontal="distributed" vertical="center"/>
    </xf>
    <xf numFmtId="0" fontId="60" fillId="0" borderId="52" xfId="10" applyFont="1" applyBorder="1" applyAlignment="1">
      <alignment horizontal="distributed" vertical="center"/>
    </xf>
    <xf numFmtId="0" fontId="60" fillId="0" borderId="0" xfId="10" applyFont="1" applyFill="1" applyAlignment="1">
      <alignment horizontal="left" vertical="top" wrapText="1"/>
    </xf>
    <xf numFmtId="0" fontId="60" fillId="0" borderId="45" xfId="10" applyFont="1" applyBorder="1" applyAlignment="1">
      <alignment vertical="center"/>
    </xf>
    <xf numFmtId="0" fontId="58" fillId="0" borderId="0" xfId="10" applyFont="1" applyAlignment="1">
      <alignment horizontal="center" vertical="center"/>
    </xf>
    <xf numFmtId="0" fontId="60" fillId="0" borderId="36" xfId="10" applyFont="1" applyBorder="1" applyAlignment="1">
      <alignment horizontal="distributed" vertical="center" indent="1"/>
    </xf>
    <xf numFmtId="0" fontId="2" fillId="0" borderId="37" xfId="10" applyFont="1" applyBorder="1" applyAlignment="1">
      <alignment horizontal="distributed" indent="1"/>
    </xf>
    <xf numFmtId="0" fontId="2" fillId="0" borderId="38" xfId="10" applyFont="1" applyBorder="1" applyAlignment="1">
      <alignment horizontal="distributed" indent="1"/>
    </xf>
    <xf numFmtId="0" fontId="2" fillId="0" borderId="41" xfId="10" applyBorder="1" applyAlignment="1">
      <alignment horizontal="distributed" vertical="center" justifyLastLine="1"/>
    </xf>
    <xf numFmtId="0" fontId="2" fillId="0" borderId="33" xfId="10" applyFont="1" applyBorder="1" applyAlignment="1">
      <alignment horizontal="distributed" vertical="center" justifyLastLine="1"/>
    </xf>
    <xf numFmtId="0" fontId="2" fillId="0" borderId="42" xfId="10" applyFont="1" applyBorder="1" applyAlignment="1">
      <alignment horizontal="distributed" vertical="center" justifyLastLine="1"/>
    </xf>
    <xf numFmtId="0" fontId="60" fillId="0" borderId="13" xfId="10" applyFont="1" applyBorder="1" applyAlignment="1">
      <alignment horizontal="distributed" vertical="center"/>
    </xf>
    <xf numFmtId="0" fontId="2" fillId="0" borderId="32" xfId="10" applyFont="1" applyBorder="1" applyAlignment="1">
      <alignment horizontal="distributed" vertical="center"/>
    </xf>
    <xf numFmtId="0" fontId="60" fillId="0" borderId="6" xfId="10" applyFont="1" applyBorder="1" applyAlignment="1">
      <alignment vertical="center"/>
    </xf>
    <xf numFmtId="0" fontId="60" fillId="0" borderId="11" xfId="10" applyFont="1" applyBorder="1" applyAlignment="1">
      <alignment vertical="center"/>
    </xf>
    <xf numFmtId="0" fontId="60" fillId="0" borderId="15" xfId="10" applyFont="1" applyBorder="1" applyAlignment="1">
      <alignment horizontal="distributed" vertical="center" wrapText="1"/>
    </xf>
    <xf numFmtId="0" fontId="2" fillId="0" borderId="48" xfId="10" applyFont="1" applyBorder="1" applyAlignment="1">
      <alignment horizontal="distributed" vertical="center"/>
    </xf>
    <xf numFmtId="0" fontId="60" fillId="0" borderId="2" xfId="10" applyFont="1" applyBorder="1" applyAlignment="1">
      <alignment horizontal="center" vertical="center"/>
    </xf>
    <xf numFmtId="0" fontId="60" fillId="0" borderId="7" xfId="10" applyFont="1" applyBorder="1" applyAlignment="1">
      <alignment horizontal="center" vertical="center"/>
    </xf>
    <xf numFmtId="0" fontId="60" fillId="0" borderId="8" xfId="10" applyFont="1" applyBorder="1" applyAlignment="1">
      <alignment horizontal="center" vertical="center"/>
    </xf>
    <xf numFmtId="0" fontId="77" fillId="0" borderId="9" xfId="13" applyFont="1" applyBorder="1"/>
    <xf numFmtId="0" fontId="26" fillId="0" borderId="0" xfId="0" applyFont="1" applyAlignment="1"/>
    <xf numFmtId="0" fontId="26" fillId="0" borderId="0" xfId="0" applyFont="1"/>
    <xf numFmtId="0" fontId="26" fillId="0" borderId="0" xfId="0" applyFont="1" applyAlignment="1">
      <alignment horizontal="left"/>
    </xf>
    <xf numFmtId="0" fontId="0" fillId="0" borderId="0" xfId="0" applyAlignment="1"/>
    <xf numFmtId="0" fontId="26" fillId="0" borderId="0" xfId="0" applyFont="1" applyAlignment="1">
      <alignment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26" fillId="0" borderId="13" xfId="0" applyFont="1" applyBorder="1" applyAlignment="1">
      <alignment horizontal="center"/>
    </xf>
    <xf numFmtId="0" fontId="26" fillId="0" borderId="14" xfId="0" applyFont="1" applyBorder="1" applyAlignment="1">
      <alignment shrinkToFit="1"/>
    </xf>
  </cellXfs>
  <cellStyles count="14">
    <cellStyle name="パーセント" xfId="1" builtinId="5"/>
    <cellStyle name="パーセント 2" xfId="12"/>
    <cellStyle name="桁区切り" xfId="2" builtinId="6"/>
    <cellStyle name="桁区切り 2" xfId="5"/>
    <cellStyle name="桁区切り 3" xfId="11"/>
    <cellStyle name="標準" xfId="0" builtinId="0"/>
    <cellStyle name="標準 2" xfId="4"/>
    <cellStyle name="標準 2 2" xfId="9"/>
    <cellStyle name="標準 2 3" xfId="13"/>
    <cellStyle name="標準 3" xfId="8"/>
    <cellStyle name="標準 4" xfId="10"/>
    <cellStyle name="標準_04 頁５・６ 2 2" xfId="7"/>
    <cellStyle name="標準_04 頁５・６ 3" xfId="6"/>
    <cellStyle name="標準_手持資料⑬"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worksheet" Target="worksheets/sheet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chartsheet" Target="chartsheets/sheet2.xml"/><Relationship Id="rId12" Type="http://schemas.openxmlformats.org/officeDocument/2006/relationships/worksheet" Target="worksheets/sheet10.xml"/><Relationship Id="rId17" Type="http://schemas.openxmlformats.org/officeDocument/2006/relationships/worksheet" Target="worksheets/sheet14.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2.xml"/><Relationship Id="rId23"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歳出の性質別内訳の推移（普通会計）</a:t>
            </a:r>
          </a:p>
        </c:rich>
      </c:tx>
      <c:layout>
        <c:manualLayout>
          <c:xMode val="edge"/>
          <c:yMode val="edge"/>
          <c:x val="0.31541721114648624"/>
          <c:y val="2.023122472009841E-2"/>
        </c:manualLayout>
      </c:layout>
      <c:overlay val="0"/>
      <c:spPr>
        <a:noFill/>
        <a:ln w="25400">
          <a:noFill/>
        </a:ln>
      </c:spPr>
    </c:title>
    <c:autoTitleDeleted val="0"/>
    <c:plotArea>
      <c:layout>
        <c:manualLayout>
          <c:layoutTarget val="inner"/>
          <c:xMode val="edge"/>
          <c:yMode val="edge"/>
          <c:x val="0.12823603432549838"/>
          <c:y val="9.3135227661759704E-2"/>
          <c:w val="0.77227722772277263"/>
          <c:h val="0.73822663471413963"/>
        </c:manualLayout>
      </c:layout>
      <c:barChart>
        <c:barDir val="col"/>
        <c:grouping val="stacked"/>
        <c:varyColors val="0"/>
        <c:ser>
          <c:idx val="4"/>
          <c:order val="0"/>
          <c:tx>
            <c:v>人件費</c:v>
          </c:tx>
          <c:spPr>
            <a:solidFill>
              <a:srgbClr val="FF8080"/>
            </a:solidFill>
            <a:ln w="12700">
              <a:solidFill>
                <a:srgbClr val="000000"/>
              </a:solidFill>
              <a:prstDash val="solid"/>
            </a:ln>
          </c:spPr>
          <c:invertIfNegative val="0"/>
          <c:dLbls>
            <c:dLbl>
              <c:idx val="0"/>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3,335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(18.1)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3,440</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(17.5)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3,242</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(18.8)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2,565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(16.5)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0.29125295508274229"/>
                  <c:y val="3.8647342995169081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1,965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(12.5</a:t>
                    </a:r>
                    <a:r>
                      <a:rPr lang="ja-JP" altLang="en-US" sz="600" b="0" i="0" u="none" strike="noStrike" baseline="0">
                        <a:solidFill>
                          <a:srgbClr val="000000"/>
                        </a:solidFill>
                        <a:latin typeface="ＭＳ Ｐゴシック"/>
                        <a:ea typeface="ＭＳ Ｐゴシック"/>
                      </a:rPr>
                      <a:t>）</a:t>
                    </a:r>
                    <a:endParaRPr lang="en-US" altLang="ja-JP" sz="600" b="0" i="0" u="none" strike="noStrike" baseline="0">
                      <a:solidFill>
                        <a:srgbClr val="000000"/>
                      </a:solidFill>
                      <a:latin typeface="ＭＳ Ｐゴシック"/>
                      <a:ea typeface="ＭＳ Ｐゴシック"/>
                    </a:endParaRP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6453900709219859E-2"/>
                  <c:y val="-2.576489533011272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2,091</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(12.7)</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9.6453900709219859E-2"/>
                  <c:y val="-1.2882447665057304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2,075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(12.7)</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6453900709219859E-2"/>
                  <c:y val="-2.576489533011272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2,036</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rPr lang="en-US" altLang="en-US" sz="800" baseline="0"/>
                      <a:t>2,</a:t>
                    </a:r>
                    <a:r>
                      <a:rPr lang="en-US" altLang="ja-JP" sz="800" baseline="0"/>
                      <a:t>323</a:t>
                    </a:r>
                    <a:endParaRPr lang="en-US" altLang="en-US" sz="800" baseline="0"/>
                  </a:p>
                  <a:p>
                    <a:r>
                      <a:rPr lang="ja-JP" altLang="en-US"/>
                      <a:t>（</a:t>
                    </a:r>
                    <a:r>
                      <a:rPr lang="en-US" altLang="ja-JP"/>
                      <a:t>13.7</a:t>
                    </a:r>
                    <a:r>
                      <a:rPr lang="ja-JP" altLang="en-US"/>
                      <a:t>）</a:t>
                    </a:r>
                    <a:endParaRPr lang="en-US" altLang="en-US"/>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頁４データ!$C$39:$N$39</c:f>
              <c:strCache>
                <c:ptCount val="8"/>
                <c:pt idx="0">
                  <c:v>8決算</c:v>
                </c:pt>
                <c:pt idx="1">
                  <c:v>10決算</c:v>
                </c:pt>
                <c:pt idx="2">
                  <c:v>15決算</c:v>
                </c:pt>
                <c:pt idx="3">
                  <c:v>20決算</c:v>
                </c:pt>
                <c:pt idx="4">
                  <c:v>25決算</c:v>
                </c:pt>
                <c:pt idx="5">
                  <c:v>26決算</c:v>
                </c:pt>
                <c:pt idx="6">
                  <c:v>27決算</c:v>
                </c:pt>
                <c:pt idx="7">
                  <c:v>28決算</c:v>
                </c:pt>
              </c:strCache>
            </c:strRef>
          </c:cat>
          <c:val>
            <c:numRef>
              <c:f>頁４データ!$C$44:$N$44</c:f>
              <c:numCache>
                <c:formatCode>#,##0;"△ "#,##0</c:formatCode>
                <c:ptCount val="8"/>
                <c:pt idx="0">
                  <c:v>333494</c:v>
                </c:pt>
                <c:pt idx="1">
                  <c:v>344027</c:v>
                </c:pt>
                <c:pt idx="2">
                  <c:v>324236</c:v>
                </c:pt>
                <c:pt idx="3">
                  <c:v>256522</c:v>
                </c:pt>
                <c:pt idx="4">
                  <c:v>209070</c:v>
                </c:pt>
                <c:pt idx="5">
                  <c:v>207535</c:v>
                </c:pt>
                <c:pt idx="6">
                  <c:v>203645</c:v>
                </c:pt>
                <c:pt idx="7">
                  <c:v>196519</c:v>
                </c:pt>
              </c:numCache>
            </c:numRef>
          </c:val>
        </c:ser>
        <c:ser>
          <c:idx val="3"/>
          <c:order val="1"/>
          <c:tx>
            <c:v>扶助費</c:v>
          </c:tx>
          <c:spPr>
            <a:solidFill>
              <a:srgbClr val="00CCFF"/>
            </a:solidFill>
            <a:ln w="12700">
              <a:solidFill>
                <a:srgbClr val="000000"/>
              </a:solidFill>
              <a:prstDash val="solid"/>
            </a:ln>
          </c:spPr>
          <c:invertIfNegative val="0"/>
          <c:dLbls>
            <c:dLbl>
              <c:idx val="0"/>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2,173</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(11.8)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2,469</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(12.5)</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3,278</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(19.1)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912529550827489E-3"/>
                  <c:y val="0"/>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3,849</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(24.8)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0.28930824072522848"/>
                  <c:y val="-1.578556303650544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5,417</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34.4)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6453900709219859E-2"/>
                  <c:y val="2.576489533011272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5,011</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(30.4)</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9.4562647754137114E-2"/>
                  <c:y val="1.2882447665055416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5,172</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(31.6)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6453900709219859E-2"/>
                  <c:y val="1.2882447665056361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5,282</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(32.4</a:t>
                    </a:r>
                    <a:r>
                      <a:rPr lang="ja-JP" altLang="en-US" sz="600" b="0" i="0" u="none" strike="noStrike" baseline="0">
                        <a:solidFill>
                          <a:srgbClr val="000000"/>
                        </a:solidFill>
                        <a:latin typeface="ＭＳ Ｐゴシック"/>
                        <a:ea typeface="ＭＳ Ｐゴシック"/>
                      </a:rPr>
                      <a:t>）</a:t>
                    </a:r>
                    <a:endParaRPr lang="en-US" altLang="ja-JP" sz="600" b="0" i="0" u="none" strike="noStrike" baseline="0">
                      <a:solidFill>
                        <a:srgbClr val="000000"/>
                      </a:solidFill>
                      <a:latin typeface="ＭＳ Ｐゴシック"/>
                      <a:ea typeface="ＭＳ Ｐゴシック"/>
                    </a:endParaRP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rPr lang="en-US" altLang="en-US" sz="800" baseline="0"/>
                      <a:t>4,</a:t>
                    </a:r>
                    <a:r>
                      <a:rPr lang="en-US" altLang="ja-JP" sz="800" baseline="0"/>
                      <a:t>984</a:t>
                    </a:r>
                    <a:endParaRPr lang="en-US" altLang="en-US" sz="800" baseline="0"/>
                  </a:p>
                  <a:p>
                    <a:r>
                      <a:rPr lang="ja-JP" altLang="en-US"/>
                      <a:t>（</a:t>
                    </a:r>
                    <a:r>
                      <a:rPr lang="en-US" altLang="ja-JP"/>
                      <a:t>29.3</a:t>
                    </a:r>
                    <a:r>
                      <a:rPr lang="ja-JP" altLang="en-US"/>
                      <a:t>）</a:t>
                    </a:r>
                    <a:endParaRPr lang="en-US" altLang="en-US"/>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頁４データ!$C$39:$N$39</c:f>
              <c:strCache>
                <c:ptCount val="8"/>
                <c:pt idx="0">
                  <c:v>8決算</c:v>
                </c:pt>
                <c:pt idx="1">
                  <c:v>10決算</c:v>
                </c:pt>
                <c:pt idx="2">
                  <c:v>15決算</c:v>
                </c:pt>
                <c:pt idx="3">
                  <c:v>20決算</c:v>
                </c:pt>
                <c:pt idx="4">
                  <c:v>25決算</c:v>
                </c:pt>
                <c:pt idx="5">
                  <c:v>26決算</c:v>
                </c:pt>
                <c:pt idx="6">
                  <c:v>27決算</c:v>
                </c:pt>
                <c:pt idx="7">
                  <c:v>28決算</c:v>
                </c:pt>
              </c:strCache>
            </c:strRef>
          </c:cat>
          <c:val>
            <c:numRef>
              <c:f>頁４データ!$C$43:$N$43</c:f>
              <c:numCache>
                <c:formatCode>#,##0;"△ "#,##0</c:formatCode>
                <c:ptCount val="8"/>
                <c:pt idx="0">
                  <c:v>217325</c:v>
                </c:pt>
                <c:pt idx="1">
                  <c:v>246904</c:v>
                </c:pt>
                <c:pt idx="2">
                  <c:v>327848</c:v>
                </c:pt>
                <c:pt idx="3">
                  <c:v>384863</c:v>
                </c:pt>
                <c:pt idx="4">
                  <c:v>501060</c:v>
                </c:pt>
                <c:pt idx="5">
                  <c:v>517168</c:v>
                </c:pt>
                <c:pt idx="6">
                  <c:v>528188</c:v>
                </c:pt>
                <c:pt idx="7">
                  <c:v>541680</c:v>
                </c:pt>
              </c:numCache>
            </c:numRef>
          </c:val>
        </c:ser>
        <c:ser>
          <c:idx val="2"/>
          <c:order val="2"/>
          <c:tx>
            <c:v>公債費</c:v>
          </c:tx>
          <c:spPr>
            <a:solidFill>
              <a:srgbClr val="FFFF00"/>
            </a:solidFill>
            <a:ln w="12700">
              <a:solidFill>
                <a:srgbClr val="000000"/>
              </a:solidFill>
              <a:prstDash val="solid"/>
            </a:ln>
          </c:spPr>
          <c:invertIfNegative val="0"/>
          <c:dLbls>
            <c:dLbl>
              <c:idx val="0"/>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1,455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(7.9)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1,665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(8.4)</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2,189</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(12.7)</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2,138</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(13.8)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0.28936170212765955"/>
                  <c:y val="-3.8647342995169081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2,660</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(16.9)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4562647754137114E-2"/>
                  <c:y val="7.729468599033816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2,797</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(16.9)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9.4562647754137114E-2"/>
                  <c:y val="5.1529790660225444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2,660</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(16.3)</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4562647754137114E-2"/>
                  <c:y val="1.2882447665056361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2,785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(17.1)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rPr lang="en-US" altLang="en-US" sz="800" baseline="0"/>
                      <a:t>2,</a:t>
                    </a:r>
                    <a:r>
                      <a:rPr lang="en-US" altLang="ja-JP" sz="800" baseline="0"/>
                      <a:t>600</a:t>
                    </a:r>
                    <a:endParaRPr lang="en-US" altLang="en-US" sz="800" baseline="0"/>
                  </a:p>
                  <a:p>
                    <a:r>
                      <a:rPr lang="ja-JP" altLang="en-US"/>
                      <a:t>（</a:t>
                    </a:r>
                    <a:r>
                      <a:rPr lang="en-US" altLang="ja-JP"/>
                      <a:t>15.3</a:t>
                    </a:r>
                    <a:r>
                      <a:rPr lang="ja-JP" altLang="en-US"/>
                      <a:t>）</a:t>
                    </a:r>
                    <a:endParaRPr lang="en-US" altLang="en-US"/>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頁４データ!$C$39:$L$39</c:f>
              <c:strCache>
                <c:ptCount val="6"/>
                <c:pt idx="0">
                  <c:v>8決算</c:v>
                </c:pt>
                <c:pt idx="1">
                  <c:v>10決算</c:v>
                </c:pt>
                <c:pt idx="2">
                  <c:v>15決算</c:v>
                </c:pt>
                <c:pt idx="3">
                  <c:v>20決算</c:v>
                </c:pt>
                <c:pt idx="4">
                  <c:v>25決算</c:v>
                </c:pt>
                <c:pt idx="5">
                  <c:v>26決算</c:v>
                </c:pt>
              </c:strCache>
            </c:strRef>
          </c:cat>
          <c:val>
            <c:numRef>
              <c:f>頁４データ!$C$42:$N$42</c:f>
              <c:numCache>
                <c:formatCode>#,##0;"△ "#,##0</c:formatCode>
                <c:ptCount val="8"/>
                <c:pt idx="0">
                  <c:v>145516</c:v>
                </c:pt>
                <c:pt idx="1">
                  <c:v>166464</c:v>
                </c:pt>
                <c:pt idx="2">
                  <c:v>218849</c:v>
                </c:pt>
                <c:pt idx="3">
                  <c:v>213802</c:v>
                </c:pt>
                <c:pt idx="4">
                  <c:v>279755</c:v>
                </c:pt>
                <c:pt idx="5">
                  <c:v>265954</c:v>
                </c:pt>
                <c:pt idx="6">
                  <c:v>278423</c:v>
                </c:pt>
                <c:pt idx="7">
                  <c:v>265961</c:v>
                </c:pt>
              </c:numCache>
            </c:numRef>
          </c:val>
        </c:ser>
        <c:ser>
          <c:idx val="0"/>
          <c:order val="3"/>
          <c:tx>
            <c:v>投資的経費</c:v>
          </c:tx>
          <c:spPr>
            <a:solidFill>
              <a:srgbClr val="00FF00"/>
            </a:solidFill>
            <a:ln w="12700">
              <a:solidFill>
                <a:srgbClr val="000000"/>
              </a:solidFill>
              <a:prstDash val="solid"/>
            </a:ln>
          </c:spPr>
          <c:invertIfNegative val="0"/>
          <c:dLbls>
            <c:dLbl>
              <c:idx val="0"/>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4,904</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(26.6)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5,556</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(28.2)</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2,197</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(12.8)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1,242</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(8.0)</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0.29125295508274229"/>
                  <c:y val="-6.4412238325281803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1,001</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(6.4)</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6453900709219859E-2"/>
                  <c:y val="1.2882447665056361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837</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(5.1)</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9.4562647754137114E-2"/>
                  <c:y val="6.4412238325281803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1,018</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(6.2</a:t>
                    </a:r>
                    <a:r>
                      <a:rPr lang="ja-JP" altLang="en-US" sz="600" b="0" i="0" u="none" strike="noStrike" baseline="0">
                        <a:solidFill>
                          <a:srgbClr val="000000"/>
                        </a:solidFill>
                        <a:latin typeface="ＭＳ Ｐゴシック"/>
                        <a:ea typeface="ＭＳ Ｐゴシック"/>
                      </a:rPr>
                      <a:t>）</a:t>
                    </a:r>
                    <a:endParaRPr lang="en-US" altLang="ja-JP" sz="600" b="0" i="0" u="none" strike="noStrike" baseline="0">
                      <a:solidFill>
                        <a:srgbClr val="000000"/>
                      </a:solidFill>
                      <a:latin typeface="ＭＳ Ｐゴシック"/>
                      <a:ea typeface="ＭＳ Ｐゴシック"/>
                    </a:endParaRP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6453900709219859E-2"/>
                  <c:y val="-1.2882447665056361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1,009</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(6.2)</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rPr lang="en-US" altLang="ja-JP" sz="800" baseline="0"/>
                      <a:t>767</a:t>
                    </a:r>
                    <a:endParaRPr lang="en-US" altLang="en-US" sz="800" baseline="0"/>
                  </a:p>
                  <a:p>
                    <a:r>
                      <a:rPr lang="ja-JP" altLang="en-US"/>
                      <a:t>（</a:t>
                    </a:r>
                    <a:r>
                      <a:rPr lang="en-US" altLang="ja-JP"/>
                      <a:t>4.5</a:t>
                    </a:r>
                    <a:r>
                      <a:rPr lang="ja-JP" altLang="en-US"/>
                      <a:t>）</a:t>
                    </a:r>
                    <a:endParaRPr lang="en-US" altLang="en-US"/>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頁４データ!$C$39:$N$39</c:f>
              <c:strCache>
                <c:ptCount val="8"/>
                <c:pt idx="0">
                  <c:v>8決算</c:v>
                </c:pt>
                <c:pt idx="1">
                  <c:v>10決算</c:v>
                </c:pt>
                <c:pt idx="2">
                  <c:v>15決算</c:v>
                </c:pt>
                <c:pt idx="3">
                  <c:v>20決算</c:v>
                </c:pt>
                <c:pt idx="4">
                  <c:v>25決算</c:v>
                </c:pt>
                <c:pt idx="5">
                  <c:v>26決算</c:v>
                </c:pt>
                <c:pt idx="6">
                  <c:v>27決算</c:v>
                </c:pt>
                <c:pt idx="7">
                  <c:v>28決算</c:v>
                </c:pt>
              </c:strCache>
            </c:strRef>
          </c:cat>
          <c:val>
            <c:numRef>
              <c:f>頁４データ!$C$40:$N$40</c:f>
              <c:numCache>
                <c:formatCode>#,##0;"△ "#,##0</c:formatCode>
                <c:ptCount val="8"/>
                <c:pt idx="0">
                  <c:v>490419</c:v>
                </c:pt>
                <c:pt idx="1">
                  <c:v>555592</c:v>
                </c:pt>
                <c:pt idx="2">
                  <c:v>219703</c:v>
                </c:pt>
                <c:pt idx="3">
                  <c:v>124207</c:v>
                </c:pt>
                <c:pt idx="4">
                  <c:v>83723</c:v>
                </c:pt>
                <c:pt idx="5">
                  <c:v>101864</c:v>
                </c:pt>
                <c:pt idx="6">
                  <c:v>100879</c:v>
                </c:pt>
                <c:pt idx="7">
                  <c:v>100112</c:v>
                </c:pt>
              </c:numCache>
            </c:numRef>
          </c:val>
        </c:ser>
        <c:ser>
          <c:idx val="1"/>
          <c:order val="4"/>
          <c:tx>
            <c:v>その他</c:v>
          </c:tx>
          <c:spPr>
            <a:solidFill>
              <a:srgbClr val="FF9900"/>
            </a:solidFill>
            <a:ln w="12700">
              <a:solidFill>
                <a:srgbClr val="000000"/>
              </a:solidFill>
              <a:prstDash val="solid"/>
            </a:ln>
          </c:spPr>
          <c:invertIfNegative val="0"/>
          <c:dLbls>
            <c:dLbl>
              <c:idx val="0"/>
              <c:layout>
                <c:manualLayout>
                  <c:x val="-5.3028024962227993E-4"/>
                  <c:y val="-2.981303637623389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6,576</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(35.6)</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5.3042874591171304E-4"/>
                  <c:y val="-2.787108258866651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6,585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(33.4)</a:t>
                    </a: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8912529550827485E-3"/>
                  <c:y val="0"/>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6,294</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(36.6)</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912529550827485E-3"/>
                  <c:y val="-4.7235095774683244E-17"/>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5,735</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(36.9)</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0.28936170212765955"/>
                  <c:y val="1.5458937198067632E-2"/>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4,686</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(29.8)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5446622363693903E-2"/>
                  <c:y val="5.5484803529993534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5,768</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(34.9</a:t>
                    </a:r>
                    <a:r>
                      <a:rPr lang="ja-JP" altLang="en-US" sz="600" b="0" i="0" u="none" strike="noStrike" baseline="0">
                        <a:solidFill>
                          <a:srgbClr val="000000"/>
                        </a:solidFill>
                        <a:latin typeface="ＭＳ Ｐゴシック"/>
                        <a:ea typeface="ＭＳ Ｐゴシック"/>
                      </a:rPr>
                      <a:t>）</a:t>
                    </a:r>
                    <a:endParaRPr lang="en-US" altLang="ja-JP" sz="600" b="0" i="0" u="none" strike="noStrike" baseline="0">
                      <a:solidFill>
                        <a:srgbClr val="000000"/>
                      </a:solidFill>
                      <a:latin typeface="ＭＳ Ｐゴシック"/>
                      <a:ea typeface="ＭＳ Ｐゴシック"/>
                    </a:endParaRP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9.6276986653264091E-2"/>
                  <c:y val="-7.5164517478793418E-5"/>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5,433</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(33.2</a:t>
                    </a:r>
                    <a:r>
                      <a:rPr lang="ja-JP" altLang="en-US" sz="600" b="0" i="0" u="none" strike="noStrike" baseline="0">
                        <a:solidFill>
                          <a:srgbClr val="000000"/>
                        </a:solidFill>
                        <a:latin typeface="ＭＳ Ｐゴシック"/>
                        <a:ea typeface="ＭＳ Ｐゴシック"/>
                      </a:rPr>
                      <a:t>）</a:t>
                    </a:r>
                    <a:endParaRPr lang="en-US" altLang="ja-JP" sz="600" b="0" i="0" u="none" strike="noStrike" baseline="0">
                      <a:solidFill>
                        <a:srgbClr val="000000"/>
                      </a:solidFill>
                      <a:latin typeface="ＭＳ Ｐゴシック"/>
                      <a:ea typeface="ＭＳ Ｐゴシック"/>
                    </a:endParaRPr>
                  </a:p>
                </c:rich>
              </c:tx>
              <c:spPr>
                <a:noFill/>
                <a:ln w="25400">
                  <a:noFill/>
                </a:ln>
              </c:spPr>
              <c:dLblPos val="ctr"/>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9.6453900709219859E-2"/>
                  <c:y val="-7.7294685990338162E-3"/>
                </c:manualLayout>
              </c:layout>
              <c:tx>
                <c:rich>
                  <a:bodyPr/>
                  <a:lstStyle/>
                  <a:p>
                    <a:pPr>
                      <a:defRPr sz="82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5,189</a:t>
                    </a:r>
                    <a:endParaRPr lang="en-US" altLang="ja-JP" sz="600" b="0" i="0" u="none" strike="noStrike" baseline="0">
                      <a:solidFill>
                        <a:srgbClr val="000000"/>
                      </a:solidFill>
                      <a:latin typeface="ＭＳ Ｐゴシック"/>
                      <a:ea typeface="ＭＳ Ｐゴシック"/>
                    </a:endParaRPr>
                  </a:p>
                  <a:p>
                    <a:pPr>
                      <a:defRPr sz="825" b="0" i="0" u="none" strike="noStrike" baseline="0">
                        <a:solidFill>
                          <a:srgbClr val="000000"/>
                        </a:solidFill>
                        <a:latin typeface="ＭＳ Ｐゴシック"/>
                        <a:ea typeface="ＭＳ Ｐゴシック"/>
                        <a:cs typeface="ＭＳ Ｐゴシック"/>
                      </a:defRPr>
                    </a:pPr>
                    <a:r>
                      <a:rPr lang="en-US" altLang="ja-JP" sz="600" b="0" i="0" u="none" strike="noStrike" baseline="0">
                        <a:solidFill>
                          <a:srgbClr val="000000"/>
                        </a:solidFill>
                        <a:latin typeface="ＭＳ Ｐゴシック"/>
                        <a:ea typeface="ＭＳ Ｐゴシック"/>
                      </a:rPr>
                      <a:t>(31.8)</a:t>
                    </a:r>
                  </a:p>
                </c:rich>
              </c:tx>
              <c:spPr>
                <a:noFill/>
                <a:ln w="25400">
                  <a:noFill/>
                </a:ln>
              </c:spPr>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rPr lang="en-US" altLang="ja-JP" sz="800" baseline="0"/>
                      <a:t>6</a:t>
                    </a:r>
                    <a:r>
                      <a:rPr lang="en-US" altLang="en-US" sz="800" baseline="0"/>
                      <a:t>,</a:t>
                    </a:r>
                    <a:r>
                      <a:rPr lang="en-US" altLang="ja-JP" sz="800" baseline="0"/>
                      <a:t>319</a:t>
                    </a:r>
                    <a:endParaRPr lang="en-US" altLang="en-US" sz="800" baseline="0"/>
                  </a:p>
                  <a:p>
                    <a:r>
                      <a:rPr lang="ja-JP" altLang="en-US"/>
                      <a:t>（</a:t>
                    </a:r>
                    <a:r>
                      <a:rPr lang="en-US" altLang="ja-JP"/>
                      <a:t>37.2</a:t>
                    </a:r>
                    <a:r>
                      <a:rPr lang="ja-JP" altLang="en-US"/>
                      <a:t>）</a:t>
                    </a:r>
                    <a:endParaRPr lang="en-US" altLang="en-US"/>
                  </a:p>
                </c:rich>
              </c:tx>
              <c:showLegendKey val="0"/>
              <c:showVal val="0"/>
              <c:showCatName val="0"/>
              <c:showSerName val="0"/>
              <c:showPercent val="0"/>
              <c:showBubbleSize val="0"/>
              <c:extLst>
                <c:ext xmlns:c15="http://schemas.microsoft.com/office/drawing/2012/chart" uri="{CE6537A1-D6FC-4f65-9D91-7224C49458BB}"/>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頁４データ!$C$48:$N$48</c:f>
              <c:strCache>
                <c:ptCount val="8"/>
                <c:pt idx="0">
                  <c:v>8決算</c:v>
                </c:pt>
                <c:pt idx="1">
                  <c:v>10決算</c:v>
                </c:pt>
                <c:pt idx="2">
                  <c:v>15決算</c:v>
                </c:pt>
                <c:pt idx="3">
                  <c:v>20決算</c:v>
                </c:pt>
                <c:pt idx="4">
                  <c:v>25決算</c:v>
                </c:pt>
                <c:pt idx="5">
                  <c:v>26決算</c:v>
                </c:pt>
                <c:pt idx="6">
                  <c:v>27決算</c:v>
                </c:pt>
                <c:pt idx="7">
                  <c:v>28決算</c:v>
                </c:pt>
              </c:strCache>
            </c:strRef>
          </c:cat>
          <c:val>
            <c:numRef>
              <c:f>頁４データ!$C$41:$N$41</c:f>
              <c:numCache>
                <c:formatCode>#,##0;"△ "#,##0</c:formatCode>
                <c:ptCount val="8"/>
                <c:pt idx="0">
                  <c:v>657571</c:v>
                </c:pt>
                <c:pt idx="1">
                  <c:v>658464</c:v>
                </c:pt>
                <c:pt idx="2">
                  <c:v>629351</c:v>
                </c:pt>
                <c:pt idx="3">
                  <c:v>573465</c:v>
                </c:pt>
                <c:pt idx="4">
                  <c:v>576794</c:v>
                </c:pt>
                <c:pt idx="5">
                  <c:v>543322</c:v>
                </c:pt>
                <c:pt idx="6">
                  <c:v>518938</c:v>
                </c:pt>
                <c:pt idx="7">
                  <c:v>468576</c:v>
                </c:pt>
              </c:numCache>
            </c:numRef>
          </c:val>
        </c:ser>
        <c:dLbls>
          <c:showLegendKey val="0"/>
          <c:showVal val="1"/>
          <c:showCatName val="0"/>
          <c:showSerName val="0"/>
          <c:showPercent val="0"/>
          <c:showBubbleSize val="0"/>
        </c:dLbls>
        <c:gapWidth val="120"/>
        <c:overlap val="100"/>
        <c:serLines>
          <c:spPr>
            <a:ln w="3175">
              <a:solidFill>
                <a:srgbClr val="000000"/>
              </a:solidFill>
              <a:prstDash val="sysDash"/>
            </a:ln>
          </c:spPr>
        </c:serLines>
        <c:axId val="229526064"/>
        <c:axId val="227749416"/>
      </c:barChart>
      <c:catAx>
        <c:axId val="2295260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27749416"/>
        <c:crosses val="autoZero"/>
        <c:auto val="1"/>
        <c:lblAlgn val="ctr"/>
        <c:lblOffset val="100"/>
        <c:tickLblSkip val="1"/>
        <c:tickMarkSkip val="1"/>
        <c:noMultiLvlLbl val="0"/>
      </c:catAx>
      <c:valAx>
        <c:axId val="22774941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29526064"/>
        <c:crosses val="autoZero"/>
        <c:crossBetween val="between"/>
        <c:dispUnits>
          <c:builtInUnit val="hundreds"/>
        </c:dispUnits>
      </c:valAx>
      <c:spPr>
        <a:noFill/>
        <a:ln w="25400">
          <a:solidFill>
            <a:srgbClr val="000000"/>
          </a:solidFill>
          <a:prstDash val="solid"/>
        </a:ln>
      </c:spPr>
    </c:plotArea>
    <c:legend>
      <c:legendPos val="r"/>
      <c:legendEntry>
        <c:idx val="4"/>
        <c:txPr>
          <a:bodyPr/>
          <a:lstStyle/>
          <a:p>
            <a:pPr>
              <a:defRPr sz="740" baseline="0">
                <a:solidFill>
                  <a:schemeClr val="tx1"/>
                </a:solidFill>
              </a:defRPr>
            </a:pPr>
            <a:endParaRPr lang="ja-JP"/>
          </a:p>
        </c:txPr>
      </c:legendEntry>
      <c:layout>
        <c:manualLayout>
          <c:xMode val="edge"/>
          <c:yMode val="edge"/>
          <c:x val="0.90820379367472681"/>
          <c:y val="0.3429425234889118"/>
          <c:w val="9.1796206325274743E-2"/>
          <c:h val="0.48820206169881025"/>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歳入内訳の推移（普通会計）</a:t>
            </a:r>
          </a:p>
        </c:rich>
      </c:tx>
      <c:layout>
        <c:manualLayout>
          <c:xMode val="edge"/>
          <c:yMode val="edge"/>
          <c:x val="0.36067906405316358"/>
          <c:y val="1.9962018570366981E-2"/>
        </c:manualLayout>
      </c:layout>
      <c:overlay val="0"/>
      <c:spPr>
        <a:noFill/>
        <a:ln w="25400">
          <a:noFill/>
        </a:ln>
      </c:spPr>
    </c:title>
    <c:autoTitleDeleted val="0"/>
    <c:plotArea>
      <c:layout>
        <c:manualLayout>
          <c:layoutTarget val="inner"/>
          <c:xMode val="edge"/>
          <c:yMode val="edge"/>
          <c:x val="8.5792595074551864E-2"/>
          <c:y val="8.112262897547777E-2"/>
          <c:w val="0.77369165487980429"/>
          <c:h val="0.73882667907693611"/>
        </c:manualLayout>
      </c:layout>
      <c:barChart>
        <c:barDir val="col"/>
        <c:grouping val="stacked"/>
        <c:varyColors val="0"/>
        <c:ser>
          <c:idx val="0"/>
          <c:order val="0"/>
          <c:tx>
            <c:v>地方税</c:v>
          </c:tx>
          <c:spPr>
            <a:solidFill>
              <a:srgbClr val="FF8080"/>
            </a:solidFill>
            <a:ln w="12700">
              <a:solidFill>
                <a:srgbClr val="000000"/>
              </a:solidFill>
              <a:prstDash val="solid"/>
            </a:ln>
          </c:spPr>
          <c:invertIfNegative val="0"/>
          <c:dLbls>
            <c:dLbl>
              <c:idx val="0"/>
              <c:layout/>
              <c:tx>
                <c:rich>
                  <a:bodyPr/>
                  <a:lstStyle/>
                  <a:p>
                    <a:r>
                      <a:rPr lang="en-US" altLang="en-US"/>
                      <a:t>7,776</a:t>
                    </a:r>
                  </a:p>
                  <a:p>
                    <a:r>
                      <a:rPr lang="ja-JP" altLang="en-US" sz="600"/>
                      <a:t>（</a:t>
                    </a:r>
                    <a:r>
                      <a:rPr lang="en-US" altLang="ja-JP" sz="600"/>
                      <a:t>41.9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7,387</a:t>
                    </a:r>
                  </a:p>
                  <a:p>
                    <a:r>
                      <a:rPr lang="ja-JP" altLang="en-US" sz="600"/>
                      <a:t>（</a:t>
                    </a:r>
                    <a:r>
                      <a:rPr lang="en-US" altLang="ja-JP" sz="600"/>
                      <a:t>37.2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en-US"/>
                      <a:t>6</a:t>
                    </a:r>
                    <a:r>
                      <a:rPr lang="en-US" altLang="ja-JP"/>
                      <a:t>,130</a:t>
                    </a:r>
                    <a:endParaRPr lang="en-US" altLang="en-US"/>
                  </a:p>
                  <a:p>
                    <a:r>
                      <a:rPr lang="ja-JP" altLang="en-US" sz="600"/>
                      <a:t>（</a:t>
                    </a:r>
                    <a:r>
                      <a:rPr lang="en-US" altLang="ja-JP" sz="600"/>
                      <a:t>35.6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en-US"/>
                      <a:t>6,</a:t>
                    </a:r>
                    <a:r>
                      <a:rPr lang="en-US" altLang="ja-JP"/>
                      <a:t>708</a:t>
                    </a:r>
                    <a:endParaRPr lang="en-US" altLang="en-US"/>
                  </a:p>
                  <a:p>
                    <a:r>
                      <a:rPr lang="ja-JP" altLang="en-US" sz="600"/>
                      <a:t>（</a:t>
                    </a:r>
                    <a:r>
                      <a:rPr lang="en-US" altLang="ja-JP" sz="600"/>
                      <a:t>43.1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9491294369843032"/>
                  <c:y val="3.8130766245635171E-3"/>
                </c:manualLayout>
              </c:layout>
              <c:tx>
                <c:rich>
                  <a:bodyPr/>
                  <a:lstStyle/>
                  <a:p>
                    <a:r>
                      <a:rPr lang="en-US" altLang="ja-JP"/>
                      <a:t>6,601</a:t>
                    </a:r>
                    <a:endParaRPr lang="en-US" altLang="en-US"/>
                  </a:p>
                  <a:p>
                    <a:r>
                      <a:rPr lang="ja-JP" altLang="en-US" sz="600"/>
                      <a:t>（</a:t>
                    </a:r>
                    <a:r>
                      <a:rPr lang="en-US" altLang="ja-JP" sz="600"/>
                      <a:t>40.4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9445734778924428"/>
                  <c:y val="6.3593004769475362E-3"/>
                </c:manualLayout>
              </c:layout>
              <c:tx>
                <c:rich>
                  <a:bodyPr/>
                  <a:lstStyle/>
                  <a:p>
                    <a:r>
                      <a:rPr lang="en-US" altLang="ja-JP"/>
                      <a:t>6,595</a:t>
                    </a:r>
                    <a:endParaRPr lang="en-US" altLang="en-US"/>
                  </a:p>
                  <a:p>
                    <a:r>
                      <a:rPr lang="ja-JP" altLang="en-US" sz="600"/>
                      <a:t>（</a:t>
                    </a:r>
                    <a:r>
                      <a:rPr lang="en-US" altLang="ja-JP" sz="600"/>
                      <a:t>41.9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396905844851"/>
                  <c:y val="2.5436200443149037E-3"/>
                </c:manualLayout>
              </c:layout>
              <c:tx>
                <c:rich>
                  <a:bodyPr/>
                  <a:lstStyle/>
                  <a:p>
                    <a:r>
                      <a:rPr lang="en-US" altLang="ja-JP"/>
                      <a:t>6,419</a:t>
                    </a:r>
                    <a:endParaRPr lang="en-US" altLang="en-US"/>
                  </a:p>
                  <a:p>
                    <a:r>
                      <a:rPr lang="ja-JP" altLang="en-US" sz="600"/>
                      <a:t>（</a:t>
                    </a:r>
                    <a:r>
                      <a:rPr lang="en-US" altLang="ja-JP" sz="600"/>
                      <a:t>38.3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9279173793254659"/>
                  <c:y val="3.8131767710276277E-3"/>
                </c:manualLayout>
              </c:layout>
              <c:tx>
                <c:rich>
                  <a:bodyPr/>
                  <a:lstStyle/>
                  <a:p>
                    <a:r>
                      <a:rPr lang="en-US" altLang="ja-JP"/>
                      <a:t>6,593</a:t>
                    </a:r>
                    <a:endParaRPr lang="en-US" altLang="en-US"/>
                  </a:p>
                  <a:p>
                    <a:r>
                      <a:rPr lang="ja-JP" altLang="en-US" sz="600"/>
                      <a:t>（</a:t>
                    </a:r>
                    <a:r>
                      <a:rPr lang="en-US" altLang="ja-JP" sz="600"/>
                      <a:t>40.2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25決算</c:v>
                </c:pt>
                <c:pt idx="5">
                  <c:v>26決算</c:v>
                </c:pt>
                <c:pt idx="6">
                  <c:v>27決算</c:v>
                </c:pt>
                <c:pt idx="7">
                  <c:v>28決算</c:v>
                </c:pt>
              </c:strCache>
            </c:strRef>
          </c:cat>
          <c:val>
            <c:numRef>
              <c:f>頁６データ!$B$49:$I$49</c:f>
              <c:numCache>
                <c:formatCode>#,##0;"△ "#,##0</c:formatCode>
                <c:ptCount val="8"/>
                <c:pt idx="0">
                  <c:v>777637</c:v>
                </c:pt>
                <c:pt idx="1">
                  <c:v>738656</c:v>
                </c:pt>
                <c:pt idx="2">
                  <c:v>613049</c:v>
                </c:pt>
                <c:pt idx="3">
                  <c:v>670787</c:v>
                </c:pt>
                <c:pt idx="4">
                  <c:v>641870</c:v>
                </c:pt>
                <c:pt idx="5">
                  <c:v>659256</c:v>
                </c:pt>
                <c:pt idx="6">
                  <c:v>660088</c:v>
                </c:pt>
                <c:pt idx="7">
                  <c:v>659473</c:v>
                </c:pt>
              </c:numCache>
            </c:numRef>
          </c:val>
        </c:ser>
        <c:ser>
          <c:idx val="1"/>
          <c:order val="1"/>
          <c:tx>
            <c:v>地方交付税</c:v>
          </c:tx>
          <c:spPr>
            <a:solidFill>
              <a:srgbClr val="00CCFF"/>
            </a:solidFill>
            <a:ln w="12700">
              <a:solidFill>
                <a:srgbClr val="000000"/>
              </a:solidFill>
              <a:prstDash val="solid"/>
            </a:ln>
          </c:spPr>
          <c:invertIfNegative val="0"/>
          <c:dLbls>
            <c:dLbl>
              <c:idx val="0"/>
              <c:layout>
                <c:manualLayout>
                  <c:x val="4.7281323877068564E-2"/>
                  <c:y val="3.6860502065459252E-2"/>
                </c:manualLayout>
              </c:layout>
              <c:tx>
                <c:rich>
                  <a:bodyPr/>
                  <a:lstStyle/>
                  <a:p>
                    <a:r>
                      <a:rPr lang="en-US" altLang="en-US"/>
                      <a:t>128</a:t>
                    </a:r>
                  </a:p>
                  <a:p>
                    <a:r>
                      <a:rPr lang="ja-JP" altLang="en-US" sz="600"/>
                      <a:t>（</a:t>
                    </a:r>
                    <a:r>
                      <a:rPr lang="en-US" altLang="ja-JP" sz="600"/>
                      <a:t>0.7</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498817966903094E-2"/>
                  <c:y val="5.0842071814426973E-2"/>
                </c:manualLayout>
              </c:layout>
              <c:tx>
                <c:rich>
                  <a:bodyPr/>
                  <a:lstStyle/>
                  <a:p>
                    <a:r>
                      <a:rPr lang="en-US" altLang="en-US"/>
                      <a:t>151</a:t>
                    </a:r>
                  </a:p>
                  <a:p>
                    <a:r>
                      <a:rPr lang="ja-JP" altLang="en-US" sz="600"/>
                      <a:t>（</a:t>
                    </a:r>
                    <a:r>
                      <a:rPr lang="en-US" altLang="ja-JP" sz="600"/>
                      <a:t>0.8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891755548365566E-7"/>
                  <c:y val="-1.2710517953606611E-3"/>
                </c:manualLayout>
              </c:layout>
              <c:tx>
                <c:rich>
                  <a:bodyPr/>
                  <a:lstStyle/>
                  <a:p>
                    <a:r>
                      <a:rPr lang="en-US" altLang="ja-JP" sz="830"/>
                      <a:t>805</a:t>
                    </a:r>
                    <a:endParaRPr lang="en-US" sz="830"/>
                  </a:p>
                  <a:p>
                    <a:r>
                      <a:rPr lang="en-US" sz="600"/>
                      <a:t>(</a:t>
                    </a:r>
                    <a:r>
                      <a:rPr lang="en-US" altLang="ja-JP" sz="600"/>
                      <a:t>4.7</a:t>
                    </a:r>
                    <a:r>
                      <a:rPr lang="en-US" sz="600"/>
                      <a:t>)</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390070921986207E-2"/>
                  <c:y val="4.321576104226247E-2"/>
                </c:manualLayout>
              </c:layout>
              <c:tx>
                <c:rich>
                  <a:bodyPr/>
                  <a:lstStyle/>
                  <a:p>
                    <a:r>
                      <a:rPr lang="en-US" altLang="ja-JP"/>
                      <a:t>169</a:t>
                    </a:r>
                    <a:endParaRPr lang="en-US" altLang="en-US"/>
                  </a:p>
                  <a:p>
                    <a:r>
                      <a:rPr lang="ja-JP" altLang="en-US" sz="600"/>
                      <a:t>（</a:t>
                    </a:r>
                    <a:r>
                      <a:rPr lang="en-US" altLang="ja-JP" sz="600"/>
                      <a:t>1.1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476361295439296"/>
                  <c:y val="3.8132368589061501E-2"/>
                </c:manualLayout>
              </c:layout>
              <c:tx>
                <c:rich>
                  <a:bodyPr/>
                  <a:lstStyle/>
                  <a:p>
                    <a:r>
                      <a:rPr lang="en-US" altLang="ja-JP"/>
                      <a:t>419</a:t>
                    </a:r>
                    <a:endParaRPr lang="en-US" altLang="en-US"/>
                  </a:p>
                  <a:p>
                    <a:r>
                      <a:rPr lang="ja-JP" altLang="en-US" sz="600"/>
                      <a:t>（</a:t>
                    </a:r>
                    <a:r>
                      <a:rPr lang="en-US" altLang="ja-JP" sz="600"/>
                      <a:t>2.6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4528705145258938"/>
                  <c:y val="4.3219007798905897E-2"/>
                </c:manualLayout>
              </c:layout>
              <c:tx>
                <c:rich>
                  <a:bodyPr/>
                  <a:lstStyle/>
                  <a:p>
                    <a:r>
                      <a:rPr lang="en-US" altLang="ja-JP"/>
                      <a:t>329</a:t>
                    </a:r>
                    <a:endParaRPr lang="en-US" altLang="en-US"/>
                  </a:p>
                  <a:p>
                    <a:r>
                      <a:rPr lang="ja-JP" altLang="en-US" sz="600"/>
                      <a:t>（</a:t>
                    </a:r>
                    <a:r>
                      <a:rPr lang="en-US" altLang="ja-JP" sz="600"/>
                      <a:t>2.1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24574007412990181"/>
                  <c:y val="4.1950352390370919E-2"/>
                </c:manualLayout>
              </c:layout>
              <c:tx>
                <c:rich>
                  <a:bodyPr/>
                  <a:lstStyle/>
                  <a:p>
                    <a:r>
                      <a:rPr lang="en-US" altLang="ja-JP"/>
                      <a:t>486</a:t>
                    </a:r>
                    <a:endParaRPr lang="en-US" altLang="en-US"/>
                  </a:p>
                  <a:p>
                    <a:r>
                      <a:rPr lang="ja-JP" altLang="en-US" sz="600"/>
                      <a:t>（</a:t>
                    </a:r>
                    <a:r>
                      <a:rPr lang="en-US" altLang="ja-JP" sz="600"/>
                      <a:t>2.9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24007078321294928"/>
                  <c:y val="4.0673685264699624E-2"/>
                </c:manualLayout>
              </c:layout>
              <c:tx>
                <c:rich>
                  <a:bodyPr/>
                  <a:lstStyle/>
                  <a:p>
                    <a:r>
                      <a:rPr lang="en-US" altLang="ja-JP"/>
                      <a:t>368</a:t>
                    </a:r>
                    <a:endParaRPr lang="en-US" altLang="en-US"/>
                  </a:p>
                  <a:p>
                    <a:r>
                      <a:rPr lang="ja-JP" altLang="en-US" sz="600"/>
                      <a:t>（</a:t>
                    </a:r>
                    <a:r>
                      <a:rPr lang="en-US" altLang="ja-JP" sz="600"/>
                      <a:t>2.2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25決算</c:v>
                </c:pt>
                <c:pt idx="5">
                  <c:v>26決算</c:v>
                </c:pt>
                <c:pt idx="6">
                  <c:v>27決算</c:v>
                </c:pt>
                <c:pt idx="7">
                  <c:v>28決算</c:v>
                </c:pt>
              </c:strCache>
            </c:strRef>
          </c:cat>
          <c:val>
            <c:numRef>
              <c:f>頁６データ!$B$50:$I$50</c:f>
              <c:numCache>
                <c:formatCode>#,##0;"△ "#,##0</c:formatCode>
                <c:ptCount val="8"/>
                <c:pt idx="0">
                  <c:v>12844</c:v>
                </c:pt>
                <c:pt idx="1">
                  <c:v>15155</c:v>
                </c:pt>
                <c:pt idx="2">
                  <c:v>80475</c:v>
                </c:pt>
                <c:pt idx="3">
                  <c:v>16903</c:v>
                </c:pt>
                <c:pt idx="4">
                  <c:v>48640</c:v>
                </c:pt>
                <c:pt idx="5">
                  <c:v>36787</c:v>
                </c:pt>
                <c:pt idx="6">
                  <c:v>41891</c:v>
                </c:pt>
                <c:pt idx="7">
                  <c:v>32905</c:v>
                </c:pt>
              </c:numCache>
            </c:numRef>
          </c:val>
        </c:ser>
        <c:ser>
          <c:idx val="2"/>
          <c:order val="2"/>
          <c:tx>
            <c:v>譲与税・交付金</c:v>
          </c:tx>
          <c:spPr>
            <a:solidFill>
              <a:srgbClr val="FFFF00"/>
            </a:solidFill>
            <a:ln w="12700">
              <a:solidFill>
                <a:srgbClr val="000000"/>
              </a:solidFill>
              <a:prstDash val="solid"/>
            </a:ln>
          </c:spPr>
          <c:invertIfNegative val="0"/>
          <c:dLbls>
            <c:dLbl>
              <c:idx val="0"/>
              <c:layout/>
              <c:tx>
                <c:rich>
                  <a:bodyPr/>
                  <a:lstStyle/>
                  <a:p>
                    <a:r>
                      <a:rPr lang="en-US" altLang="en-US"/>
                      <a:t>728</a:t>
                    </a:r>
                  </a:p>
                  <a:p>
                    <a:r>
                      <a:rPr lang="ja-JP" altLang="en-US" sz="600"/>
                      <a:t>（</a:t>
                    </a:r>
                    <a:r>
                      <a:rPr lang="en-US" altLang="ja-JP" sz="600"/>
                      <a:t>3.9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863</a:t>
                    </a:r>
                  </a:p>
                  <a:p>
                    <a:r>
                      <a:rPr lang="ja-JP" altLang="en-US" sz="600"/>
                      <a:t>（</a:t>
                    </a:r>
                    <a:r>
                      <a:rPr lang="en-US" altLang="ja-JP" sz="600"/>
                      <a:t>4.4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879</a:t>
                    </a:r>
                    <a:endParaRPr lang="en-US" altLang="en-US"/>
                  </a:p>
                  <a:p>
                    <a:r>
                      <a:rPr lang="ja-JP" altLang="en-US" sz="600"/>
                      <a:t>（</a:t>
                    </a:r>
                    <a:r>
                      <a:rPr lang="en-US" altLang="ja-JP" sz="600"/>
                      <a:t>5.1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en-US"/>
                      <a:t>7</a:t>
                    </a:r>
                    <a:r>
                      <a:rPr lang="en-US" altLang="ja-JP"/>
                      <a:t>34</a:t>
                    </a:r>
                    <a:endParaRPr lang="en-US" altLang="en-US"/>
                  </a:p>
                  <a:p>
                    <a:r>
                      <a:rPr lang="ja-JP" altLang="en-US" sz="600"/>
                      <a:t>（</a:t>
                    </a:r>
                    <a:r>
                      <a:rPr lang="en-US" altLang="ja-JP" sz="600"/>
                      <a:t>4.7</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9491294369843032"/>
                  <c:y val="-6.3264524366886572E-3"/>
                </c:manualLayout>
              </c:layout>
              <c:tx>
                <c:rich>
                  <a:bodyPr/>
                  <a:lstStyle/>
                  <a:p>
                    <a:r>
                      <a:rPr lang="en-US" altLang="ja-JP"/>
                      <a:t>960</a:t>
                    </a:r>
                    <a:endParaRPr lang="en-US" altLang="en-US"/>
                  </a:p>
                  <a:p>
                    <a:r>
                      <a:rPr lang="ja-JP" altLang="en-US" sz="600"/>
                      <a:t>（</a:t>
                    </a:r>
                    <a:r>
                      <a:rPr lang="en-US" altLang="ja-JP" sz="600"/>
                      <a:t>5.9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9257502123660003"/>
                  <c:y val="-3.9057121039520296E-6"/>
                </c:manualLayout>
              </c:layout>
              <c:tx>
                <c:rich>
                  <a:bodyPr/>
                  <a:lstStyle/>
                  <a:p>
                    <a:r>
                      <a:rPr lang="en-US" altLang="ja-JP"/>
                      <a:t>862</a:t>
                    </a:r>
                    <a:endParaRPr lang="en-US" altLang="en-US"/>
                  </a:p>
                  <a:p>
                    <a:r>
                      <a:rPr lang="ja-JP" altLang="en-US" sz="600"/>
                      <a:t>（</a:t>
                    </a:r>
                    <a:r>
                      <a:rPr lang="en-US" altLang="ja-JP" sz="600"/>
                      <a:t>5.5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203541600012"/>
                  <c:y val="8.8867969405255192E-3"/>
                </c:manualLayout>
              </c:layout>
              <c:tx>
                <c:rich>
                  <a:bodyPr/>
                  <a:lstStyle/>
                  <a:p>
                    <a:r>
                      <a:rPr lang="en-US" altLang="en-US"/>
                      <a:t>6</a:t>
                    </a:r>
                    <a:r>
                      <a:rPr lang="en-US" altLang="ja-JP"/>
                      <a:t>73</a:t>
                    </a:r>
                    <a:endParaRPr lang="en-US" altLang="en-US"/>
                  </a:p>
                  <a:p>
                    <a:r>
                      <a:rPr lang="ja-JP" altLang="en-US" sz="600"/>
                      <a:t>（</a:t>
                    </a:r>
                    <a:r>
                      <a:rPr lang="en-US" altLang="ja-JP" sz="600"/>
                      <a:t>4.0</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9279173793254653"/>
                  <c:y val="1.263147353003768E-3"/>
                </c:manualLayout>
              </c:layout>
              <c:tx>
                <c:rich>
                  <a:bodyPr/>
                  <a:lstStyle/>
                  <a:p>
                    <a:r>
                      <a:rPr lang="en-US" altLang="ja-JP"/>
                      <a:t>717</a:t>
                    </a:r>
                    <a:endParaRPr lang="en-US" altLang="en-US"/>
                  </a:p>
                  <a:p>
                    <a:r>
                      <a:rPr lang="ja-JP" altLang="en-US" sz="600"/>
                      <a:t>（</a:t>
                    </a:r>
                    <a:r>
                      <a:rPr lang="en-US" altLang="ja-JP" sz="600"/>
                      <a:t>4.4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25決算</c:v>
                </c:pt>
                <c:pt idx="5">
                  <c:v>26決算</c:v>
                </c:pt>
                <c:pt idx="6">
                  <c:v>27決算</c:v>
                </c:pt>
                <c:pt idx="7">
                  <c:v>28決算</c:v>
                </c:pt>
              </c:strCache>
            </c:strRef>
          </c:cat>
          <c:val>
            <c:numRef>
              <c:f>頁６データ!$B$51:$I$51</c:f>
              <c:numCache>
                <c:formatCode>#,##0;"△ "#,##0</c:formatCode>
                <c:ptCount val="8"/>
                <c:pt idx="0">
                  <c:v>72801</c:v>
                </c:pt>
                <c:pt idx="1">
                  <c:v>86341</c:v>
                </c:pt>
                <c:pt idx="2">
                  <c:v>87878</c:v>
                </c:pt>
                <c:pt idx="3">
                  <c:v>73366</c:v>
                </c:pt>
                <c:pt idx="4">
                  <c:v>67258</c:v>
                </c:pt>
                <c:pt idx="5">
                  <c:v>71739</c:v>
                </c:pt>
                <c:pt idx="6">
                  <c:v>95996</c:v>
                </c:pt>
                <c:pt idx="7">
                  <c:v>86249</c:v>
                </c:pt>
              </c:numCache>
            </c:numRef>
          </c:val>
        </c:ser>
        <c:ser>
          <c:idx val="4"/>
          <c:order val="3"/>
          <c:tx>
            <c:v>地方債</c:v>
          </c:tx>
          <c:spPr>
            <a:solidFill>
              <a:srgbClr val="FF9900"/>
            </a:solidFill>
            <a:ln w="12700">
              <a:solidFill>
                <a:srgbClr val="000000"/>
              </a:solidFill>
              <a:prstDash val="solid"/>
            </a:ln>
          </c:spPr>
          <c:invertIfNegative val="0"/>
          <c:dLbls>
            <c:dLbl>
              <c:idx val="0"/>
              <c:layout/>
              <c:tx>
                <c:rich>
                  <a:bodyPr/>
                  <a:lstStyle/>
                  <a:p>
                    <a:r>
                      <a:rPr lang="en-US" altLang="en-US"/>
                      <a:t>2,859</a:t>
                    </a:r>
                  </a:p>
                  <a:p>
                    <a:r>
                      <a:rPr lang="ja-JP" altLang="en-US" sz="600"/>
                      <a:t>（</a:t>
                    </a:r>
                    <a:r>
                      <a:rPr lang="en-US" altLang="ja-JP" sz="600"/>
                      <a:t>15.4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4,073</a:t>
                    </a:r>
                  </a:p>
                  <a:p>
                    <a:r>
                      <a:rPr lang="ja-JP" altLang="en-US" sz="600"/>
                      <a:t>（</a:t>
                    </a:r>
                    <a:r>
                      <a:rPr lang="en-US" altLang="ja-JP" sz="600"/>
                      <a:t>20.5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2</a:t>
                    </a:r>
                    <a:r>
                      <a:rPr lang="en-US" altLang="en-US"/>
                      <a:t>,</a:t>
                    </a:r>
                    <a:r>
                      <a:rPr lang="en-US" altLang="ja-JP"/>
                      <a:t>429</a:t>
                    </a:r>
                    <a:endParaRPr lang="en-US" altLang="en-US"/>
                  </a:p>
                  <a:p>
                    <a:r>
                      <a:rPr lang="ja-JP" altLang="en-US" sz="600"/>
                      <a:t>（</a:t>
                    </a:r>
                    <a:r>
                      <a:rPr lang="en-US" altLang="ja-JP" sz="600"/>
                      <a:t>14.1</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en-US"/>
                      <a:t>1,</a:t>
                    </a:r>
                    <a:r>
                      <a:rPr lang="en-US" altLang="ja-JP"/>
                      <a:t>451</a:t>
                    </a:r>
                    <a:endParaRPr lang="en-US" altLang="en-US"/>
                  </a:p>
                  <a:p>
                    <a:r>
                      <a:rPr lang="ja-JP" altLang="en-US" sz="600"/>
                      <a:t>（</a:t>
                    </a:r>
                    <a:r>
                      <a:rPr lang="en-US" altLang="ja-JP" sz="600"/>
                      <a:t>9.3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9302392376808011"/>
                  <c:y val="-5.0552933665485777E-3"/>
                </c:manualLayout>
              </c:layout>
              <c:tx>
                <c:rich>
                  <a:bodyPr/>
                  <a:lstStyle/>
                  <a:p>
                    <a:r>
                      <a:rPr lang="en-US" altLang="ja-JP"/>
                      <a:t>1,019</a:t>
                    </a:r>
                    <a:endParaRPr lang="en-US" altLang="en-US"/>
                  </a:p>
                  <a:p>
                    <a:r>
                      <a:rPr lang="ja-JP" altLang="en-US" sz="600"/>
                      <a:t>（</a:t>
                    </a:r>
                    <a:r>
                      <a:rPr lang="en-US" altLang="ja-JP" sz="600"/>
                      <a:t>6.2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9256832785889408"/>
                  <c:y val="1.254234317689621E-3"/>
                </c:manualLayout>
              </c:layout>
              <c:tx>
                <c:rich>
                  <a:bodyPr/>
                  <a:lstStyle/>
                  <a:p>
                    <a:r>
                      <a:rPr lang="en-US" altLang="ja-JP"/>
                      <a:t>914</a:t>
                    </a:r>
                    <a:endParaRPr lang="en-US" altLang="en-US"/>
                  </a:p>
                  <a:p>
                    <a:r>
                      <a:rPr lang="ja-JP" altLang="en-US" sz="600"/>
                      <a:t>（</a:t>
                    </a:r>
                    <a:r>
                      <a:rPr lang="en-US" altLang="ja-JP" sz="600"/>
                      <a:t>5.8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8727568074255"/>
                  <c:y val="2.5361090594995181E-3"/>
                </c:manualLayout>
              </c:layout>
              <c:tx>
                <c:rich>
                  <a:bodyPr/>
                  <a:lstStyle/>
                  <a:p>
                    <a:r>
                      <a:rPr lang="en-US" altLang="ja-JP"/>
                      <a:t>1,548</a:t>
                    </a:r>
                    <a:endParaRPr lang="en-US" altLang="en-US"/>
                  </a:p>
                  <a:p>
                    <a:r>
                      <a:rPr lang="ja-JP" altLang="en-US" sz="600"/>
                      <a:t>（</a:t>
                    </a:r>
                    <a:r>
                      <a:rPr lang="en-US" altLang="ja-JP" sz="600"/>
                      <a:t>9.2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9279396905844851"/>
                  <c:y val="-1.2676539438929435E-3"/>
                </c:manualLayout>
              </c:layout>
              <c:tx>
                <c:rich>
                  <a:bodyPr/>
                  <a:lstStyle/>
                  <a:p>
                    <a:r>
                      <a:rPr lang="en-US" altLang="ja-JP"/>
                      <a:t>1,211</a:t>
                    </a:r>
                    <a:endParaRPr lang="en-US" altLang="en-US"/>
                  </a:p>
                  <a:p>
                    <a:r>
                      <a:rPr lang="ja-JP" altLang="en-US" sz="600"/>
                      <a:t>（</a:t>
                    </a:r>
                    <a:r>
                      <a:rPr lang="en-US" altLang="ja-JP" sz="600"/>
                      <a:t>7.4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25決算</c:v>
                </c:pt>
                <c:pt idx="5">
                  <c:v>26決算</c:v>
                </c:pt>
                <c:pt idx="6">
                  <c:v>27決算</c:v>
                </c:pt>
                <c:pt idx="7">
                  <c:v>28決算</c:v>
                </c:pt>
              </c:strCache>
            </c:strRef>
          </c:cat>
          <c:val>
            <c:numRef>
              <c:f>頁６データ!$B$53:$I$53</c:f>
              <c:numCache>
                <c:formatCode>#,##0;"△ "#,##0</c:formatCode>
                <c:ptCount val="8"/>
                <c:pt idx="0">
                  <c:v>285869</c:v>
                </c:pt>
                <c:pt idx="1">
                  <c:v>407264</c:v>
                </c:pt>
                <c:pt idx="2">
                  <c:v>242899</c:v>
                </c:pt>
                <c:pt idx="3">
                  <c:v>145075</c:v>
                </c:pt>
                <c:pt idx="4">
                  <c:v>154833</c:v>
                </c:pt>
                <c:pt idx="5">
                  <c:v>121124</c:v>
                </c:pt>
                <c:pt idx="6">
                  <c:v>101857</c:v>
                </c:pt>
                <c:pt idx="7">
                  <c:v>91432</c:v>
                </c:pt>
              </c:numCache>
            </c:numRef>
          </c:val>
        </c:ser>
        <c:ser>
          <c:idx val="3"/>
          <c:order val="4"/>
          <c:tx>
            <c:v>国庫支出金</c:v>
          </c:tx>
          <c:spPr>
            <a:solidFill>
              <a:srgbClr val="00FF00"/>
            </a:solidFill>
            <a:ln w="12700">
              <a:solidFill>
                <a:srgbClr val="000000"/>
              </a:solidFill>
              <a:prstDash val="solid"/>
            </a:ln>
          </c:spPr>
          <c:invertIfNegative val="0"/>
          <c:dLbls>
            <c:dLbl>
              <c:idx val="0"/>
              <c:layout/>
              <c:tx>
                <c:rich>
                  <a:bodyPr/>
                  <a:lstStyle/>
                  <a:p>
                    <a:r>
                      <a:rPr lang="en-US" altLang="en-US"/>
                      <a:t>2,195</a:t>
                    </a:r>
                  </a:p>
                  <a:p>
                    <a:r>
                      <a:rPr lang="ja-JP" altLang="en-US" sz="600"/>
                      <a:t>（</a:t>
                    </a:r>
                    <a:r>
                      <a:rPr lang="en-US" altLang="ja-JP" sz="600"/>
                      <a:t>11.8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2,508</a:t>
                    </a:r>
                  </a:p>
                  <a:p>
                    <a:r>
                      <a:rPr lang="ja-JP" altLang="en-US" sz="600"/>
                      <a:t>（</a:t>
                    </a:r>
                    <a:r>
                      <a:rPr lang="en-US" altLang="ja-JP" sz="600"/>
                      <a:t>12.6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2,636</a:t>
                    </a:r>
                    <a:endParaRPr lang="en-US" altLang="en-US"/>
                  </a:p>
                  <a:p>
                    <a:r>
                      <a:rPr lang="ja-JP" altLang="en-US" sz="600"/>
                      <a:t>（</a:t>
                    </a:r>
                    <a:r>
                      <a:rPr lang="en-US" altLang="ja-JP" sz="600"/>
                      <a:t>15.3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ja-JP"/>
                      <a:t>2,582</a:t>
                    </a:r>
                    <a:endParaRPr lang="en-US" altLang="en-US"/>
                  </a:p>
                  <a:p>
                    <a:r>
                      <a:rPr lang="ja-JP" altLang="en-US" sz="600"/>
                      <a:t>（</a:t>
                    </a:r>
                    <a:r>
                      <a:rPr lang="en-US" altLang="ja-JP" sz="600"/>
                      <a:t>16.6</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9491294369843032"/>
                  <c:y val="1.0196312106455692E-2"/>
                </c:manualLayout>
              </c:layout>
              <c:tx>
                <c:rich>
                  <a:bodyPr/>
                  <a:lstStyle/>
                  <a:p>
                    <a:r>
                      <a:rPr lang="en-US" altLang="en-US"/>
                      <a:t>3,</a:t>
                    </a:r>
                    <a:r>
                      <a:rPr lang="en-US" altLang="ja-JP"/>
                      <a:t>576</a:t>
                    </a:r>
                    <a:endParaRPr lang="en-US" altLang="en-US"/>
                  </a:p>
                  <a:p>
                    <a:r>
                      <a:rPr lang="ja-JP" altLang="en-US" sz="600"/>
                      <a:t>（</a:t>
                    </a:r>
                    <a:r>
                      <a:rPr lang="en-US" altLang="ja-JP" sz="600"/>
                      <a:t>21.9</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9257279011069806"/>
                  <c:y val="-2.5788715997145826E-3"/>
                </c:manualLayout>
              </c:layout>
              <c:tx>
                <c:rich>
                  <a:bodyPr/>
                  <a:lstStyle/>
                  <a:p>
                    <a:r>
                      <a:rPr lang="en-US" altLang="en-US"/>
                      <a:t>3,</a:t>
                    </a:r>
                    <a:r>
                      <a:rPr lang="en-US" altLang="ja-JP"/>
                      <a:t>666</a:t>
                    </a:r>
                    <a:endParaRPr lang="en-US" altLang="en-US"/>
                  </a:p>
                  <a:p>
                    <a:r>
                      <a:rPr lang="ja-JP" altLang="en-US" sz="600"/>
                      <a:t>（</a:t>
                    </a:r>
                    <a:r>
                      <a:rPr lang="en-US" altLang="ja-JP" sz="600"/>
                      <a:t>23.3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396905844851"/>
                  <c:y val="1.0140129940037304E-2"/>
                </c:manualLayout>
              </c:layout>
              <c:tx>
                <c:rich>
                  <a:bodyPr/>
                  <a:lstStyle/>
                  <a:p>
                    <a:r>
                      <a:rPr lang="en-US" altLang="ja-JP"/>
                      <a:t>3,485</a:t>
                    </a:r>
                    <a:endParaRPr lang="en-US" altLang="en-US"/>
                  </a:p>
                  <a:p>
                    <a:r>
                      <a:rPr lang="ja-JP" altLang="en-US" sz="600"/>
                      <a:t>（</a:t>
                    </a:r>
                    <a:r>
                      <a:rPr lang="en-US" altLang="ja-JP" sz="600"/>
                      <a:t>20.8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9279158919081971"/>
                  <c:y val="1.29659627204787E-3"/>
                </c:manualLayout>
              </c:layout>
              <c:tx>
                <c:rich>
                  <a:bodyPr/>
                  <a:lstStyle/>
                  <a:p>
                    <a:r>
                      <a:rPr lang="en-US" altLang="en-US"/>
                      <a:t>3,</a:t>
                    </a:r>
                    <a:r>
                      <a:rPr lang="en-US" altLang="ja-JP"/>
                      <a:t>495</a:t>
                    </a:r>
                    <a:endParaRPr lang="en-US" altLang="en-US" sz="600"/>
                  </a:p>
                  <a:p>
                    <a:r>
                      <a:rPr lang="ja-JP" altLang="en-US" sz="600"/>
                      <a:t>（</a:t>
                    </a:r>
                    <a:r>
                      <a:rPr lang="en-US" altLang="ja-JP" sz="600"/>
                      <a:t>21.3</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25決算</c:v>
                </c:pt>
                <c:pt idx="5">
                  <c:v>26決算</c:v>
                </c:pt>
                <c:pt idx="6">
                  <c:v>27決算</c:v>
                </c:pt>
                <c:pt idx="7">
                  <c:v>28決算</c:v>
                </c:pt>
              </c:strCache>
            </c:strRef>
          </c:cat>
          <c:val>
            <c:numRef>
              <c:f>頁６データ!$B$52:$I$52</c:f>
              <c:numCache>
                <c:formatCode>#,##0;"△ "#,##0</c:formatCode>
                <c:ptCount val="8"/>
                <c:pt idx="0">
                  <c:v>219549</c:v>
                </c:pt>
                <c:pt idx="1">
                  <c:v>250785</c:v>
                </c:pt>
                <c:pt idx="2">
                  <c:v>263563</c:v>
                </c:pt>
                <c:pt idx="3">
                  <c:v>258256</c:v>
                </c:pt>
                <c:pt idx="4">
                  <c:v>348442</c:v>
                </c:pt>
                <c:pt idx="5">
                  <c:v>349428</c:v>
                </c:pt>
                <c:pt idx="6">
                  <c:v>357597</c:v>
                </c:pt>
                <c:pt idx="7">
                  <c:v>366554</c:v>
                </c:pt>
              </c:numCache>
            </c:numRef>
          </c:val>
        </c:ser>
        <c:ser>
          <c:idx val="6"/>
          <c:order val="5"/>
          <c:tx>
            <c:v>その他</c:v>
          </c:tx>
          <c:spPr>
            <a:solidFill>
              <a:srgbClr val="CC99FF"/>
            </a:solidFill>
            <a:ln w="12700">
              <a:solidFill>
                <a:srgbClr val="000000"/>
              </a:solidFill>
              <a:prstDash val="solid"/>
            </a:ln>
          </c:spPr>
          <c:invertIfNegative val="0"/>
          <c:dLbls>
            <c:dLbl>
              <c:idx val="0"/>
              <c:layout/>
              <c:tx>
                <c:rich>
                  <a:bodyPr/>
                  <a:lstStyle/>
                  <a:p>
                    <a:r>
                      <a:rPr lang="en-US" altLang="en-US"/>
                      <a:t>4,891</a:t>
                    </a:r>
                  </a:p>
                  <a:p>
                    <a:r>
                      <a:rPr lang="ja-JP" altLang="en-US" sz="600"/>
                      <a:t>（</a:t>
                    </a:r>
                    <a:r>
                      <a:rPr lang="en-US" altLang="ja-JP" sz="600"/>
                      <a:t>26.3)</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ltLang="en-US"/>
                      <a:t>4,874</a:t>
                    </a:r>
                  </a:p>
                  <a:p>
                    <a:r>
                      <a:rPr lang="ja-JP" altLang="en-US" sz="600"/>
                      <a:t>（</a:t>
                    </a:r>
                    <a:r>
                      <a:rPr lang="en-US" altLang="ja-JP" sz="600"/>
                      <a:t>24.5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ltLang="ja-JP"/>
                      <a:t>4,348</a:t>
                    </a:r>
                    <a:endParaRPr lang="en-US" altLang="en-US"/>
                  </a:p>
                  <a:p>
                    <a:r>
                      <a:rPr lang="ja-JP" altLang="en-US" sz="600"/>
                      <a:t>（</a:t>
                    </a:r>
                    <a:r>
                      <a:rPr lang="en-US" altLang="ja-JP" sz="600"/>
                      <a:t>25.2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ltLang="ja-JP"/>
                      <a:t>3,907</a:t>
                    </a:r>
                    <a:endParaRPr lang="en-US" altLang="en-US"/>
                  </a:p>
                  <a:p>
                    <a:r>
                      <a:rPr lang="ja-JP" altLang="en-US" sz="600"/>
                      <a:t>（</a:t>
                    </a:r>
                    <a:r>
                      <a:rPr lang="en-US" altLang="ja-JP" sz="600"/>
                      <a:t>25.2</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9491294369843032"/>
                  <c:y val="1.0122504162337419E-2"/>
                </c:manualLayout>
              </c:layout>
              <c:tx>
                <c:rich>
                  <a:bodyPr/>
                  <a:lstStyle/>
                  <a:p>
                    <a:r>
                      <a:rPr lang="en-US" altLang="ja-JP"/>
                      <a:t>3,746</a:t>
                    </a:r>
                    <a:endParaRPr lang="en-US" altLang="en-US"/>
                  </a:p>
                  <a:p>
                    <a:r>
                      <a:rPr lang="ja-JP" altLang="en-US" sz="600"/>
                      <a:t>（</a:t>
                    </a:r>
                    <a:r>
                      <a:rPr lang="en-US" altLang="ja-JP" sz="600"/>
                      <a:t>23.0</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9256832785889408"/>
                  <c:y val="1.6533380068349961E-2"/>
                </c:manualLayout>
              </c:layout>
              <c:tx>
                <c:rich>
                  <a:bodyPr/>
                  <a:lstStyle/>
                  <a:p>
                    <a:r>
                      <a:rPr lang="en-US" altLang="ja-JP"/>
                      <a:t>3,382</a:t>
                    </a:r>
                    <a:endParaRPr lang="en-US" altLang="en-US"/>
                  </a:p>
                  <a:p>
                    <a:r>
                      <a:rPr lang="ja-JP" altLang="en-US" sz="600"/>
                      <a:t>（</a:t>
                    </a:r>
                    <a:r>
                      <a:rPr lang="en-US" altLang="ja-JP" sz="600"/>
                      <a:t>21.4</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9279173793254653"/>
                  <c:y val="1.2718600953895071E-3"/>
                </c:manualLayout>
              </c:layout>
              <c:tx>
                <c:rich>
                  <a:bodyPr/>
                  <a:lstStyle/>
                  <a:p>
                    <a:r>
                      <a:rPr lang="en-US" altLang="ja-JP"/>
                      <a:t>4,147</a:t>
                    </a:r>
                    <a:endParaRPr lang="en-US" altLang="en-US"/>
                  </a:p>
                  <a:p>
                    <a:r>
                      <a:rPr lang="ja-JP" altLang="en-US" sz="600"/>
                      <a:t>（</a:t>
                    </a:r>
                    <a:r>
                      <a:rPr lang="en-US" altLang="ja-JP" sz="600"/>
                      <a:t>24.8</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9090271800219638"/>
                  <c:y val="-1.2742636105304006E-3"/>
                </c:manualLayout>
              </c:layout>
              <c:tx>
                <c:rich>
                  <a:bodyPr/>
                  <a:lstStyle/>
                  <a:p>
                    <a:r>
                      <a:rPr lang="en-US" altLang="en-US"/>
                      <a:t>4,</a:t>
                    </a:r>
                    <a:r>
                      <a:rPr lang="en-US" altLang="ja-JP"/>
                      <a:t>028</a:t>
                    </a:r>
                    <a:endParaRPr lang="en-US" altLang="en-US" sz="600"/>
                  </a:p>
                  <a:p>
                    <a:r>
                      <a:rPr lang="ja-JP" altLang="en-US" sz="600"/>
                      <a:t>（</a:t>
                    </a:r>
                    <a:r>
                      <a:rPr lang="en-US" altLang="ja-JP" sz="600"/>
                      <a:t>24.5</a:t>
                    </a:r>
                    <a:r>
                      <a:rPr lang="ja-JP" altLang="en-US" sz="600"/>
                      <a:t>）</a:t>
                    </a:r>
                    <a:endParaRPr lang="en-US" altLang="en-US" sz="600"/>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頁６データ!$B$48:$I$48</c:f>
              <c:strCache>
                <c:ptCount val="8"/>
                <c:pt idx="0">
                  <c:v>8決算</c:v>
                </c:pt>
                <c:pt idx="1">
                  <c:v>10決算</c:v>
                </c:pt>
                <c:pt idx="2">
                  <c:v>15決算</c:v>
                </c:pt>
                <c:pt idx="3">
                  <c:v>20決算</c:v>
                </c:pt>
                <c:pt idx="4">
                  <c:v>25決算</c:v>
                </c:pt>
                <c:pt idx="5">
                  <c:v>26決算</c:v>
                </c:pt>
                <c:pt idx="6">
                  <c:v>27決算</c:v>
                </c:pt>
                <c:pt idx="7">
                  <c:v>28決算</c:v>
                </c:pt>
              </c:strCache>
            </c:strRef>
          </c:cat>
          <c:val>
            <c:numRef>
              <c:f>頁６データ!$B$56:$I$56</c:f>
              <c:numCache>
                <c:formatCode>#,##0;"△ "#,##0</c:formatCode>
                <c:ptCount val="8"/>
                <c:pt idx="0">
                  <c:v>489083</c:v>
                </c:pt>
                <c:pt idx="1">
                  <c:v>487374</c:v>
                </c:pt>
                <c:pt idx="2">
                  <c:v>434793</c:v>
                </c:pt>
                <c:pt idx="3">
                  <c:v>390734</c:v>
                </c:pt>
                <c:pt idx="4">
                  <c:v>414723</c:v>
                </c:pt>
                <c:pt idx="5">
                  <c:v>402824</c:v>
                </c:pt>
                <c:pt idx="6">
                  <c:v>374554</c:v>
                </c:pt>
                <c:pt idx="7">
                  <c:v>338225</c:v>
                </c:pt>
              </c:numCache>
            </c:numRef>
          </c:val>
        </c:ser>
        <c:dLbls>
          <c:showLegendKey val="0"/>
          <c:showVal val="1"/>
          <c:showCatName val="0"/>
          <c:showSerName val="0"/>
          <c:showPercent val="0"/>
          <c:showBubbleSize val="0"/>
        </c:dLbls>
        <c:gapWidth val="120"/>
        <c:overlap val="100"/>
        <c:serLines>
          <c:spPr>
            <a:ln w="3175">
              <a:solidFill>
                <a:srgbClr val="000000"/>
              </a:solidFill>
              <a:prstDash val="sysDash"/>
            </a:ln>
          </c:spPr>
        </c:serLines>
        <c:axId val="230447240"/>
        <c:axId val="230378088"/>
      </c:barChart>
      <c:catAx>
        <c:axId val="2304472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30378088"/>
        <c:crosses val="autoZero"/>
        <c:auto val="1"/>
        <c:lblAlgn val="ctr"/>
        <c:lblOffset val="100"/>
        <c:tickLblSkip val="1"/>
        <c:tickMarkSkip val="1"/>
        <c:noMultiLvlLbl val="0"/>
      </c:catAx>
      <c:valAx>
        <c:axId val="230378088"/>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230447240"/>
        <c:crosses val="autoZero"/>
        <c:crossBetween val="between"/>
        <c:dispUnits>
          <c:builtInUnit val="hundreds"/>
        </c:dispUnits>
      </c:valAx>
      <c:spPr>
        <a:noFill/>
        <a:ln w="25400">
          <a:solidFill>
            <a:srgbClr val="000000"/>
          </a:solidFill>
          <a:prstDash val="solid"/>
        </a:ln>
      </c:spPr>
    </c:plotArea>
    <c:legend>
      <c:legendPos val="r"/>
      <c:layout>
        <c:manualLayout>
          <c:xMode val="edge"/>
          <c:yMode val="edge"/>
          <c:x val="0.8756357035476241"/>
          <c:y val="0.29594331710126059"/>
          <c:w val="0.10734751773049638"/>
          <c:h val="0.45955730810986184"/>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98219584569729E-2"/>
          <c:y val="0.16816866134296798"/>
          <c:w val="0.67012858555885946"/>
          <c:h val="0.59159332651008389"/>
        </c:manualLayout>
      </c:layout>
      <c:barChart>
        <c:barDir val="col"/>
        <c:grouping val="stacked"/>
        <c:varyColors val="0"/>
        <c:ser>
          <c:idx val="2"/>
          <c:order val="0"/>
          <c:tx>
            <c:strRef>
              <c:f>頁9データ!$A$4</c:f>
              <c:strCache>
                <c:ptCount val="1"/>
                <c:pt idx="0">
                  <c:v>固定資産税・都市計画税</c:v>
                </c:pt>
              </c:strCache>
            </c:strRef>
          </c:tx>
          <c:spPr>
            <a:pattFill prst="pct20">
              <a:fgClr>
                <a:srgbClr val="9933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頁9データ!$B$1:$J$1</c:f>
              <c:strCache>
                <c:ptCount val="9"/>
                <c:pt idx="0">
                  <c:v>8年度</c:v>
                </c:pt>
                <c:pt idx="1">
                  <c:v>20年度</c:v>
                </c:pt>
                <c:pt idx="2">
                  <c:v>21年度</c:v>
                </c:pt>
                <c:pt idx="3">
                  <c:v>22年度</c:v>
                </c:pt>
                <c:pt idx="5">
                  <c:v>25年度</c:v>
                </c:pt>
                <c:pt idx="6">
                  <c:v>26年度</c:v>
                </c:pt>
                <c:pt idx="7">
                  <c:v>27年度</c:v>
                </c:pt>
                <c:pt idx="8">
                  <c:v>28年度
（見込）</c:v>
                </c:pt>
              </c:strCache>
            </c:strRef>
          </c:cat>
          <c:val>
            <c:numRef>
              <c:f>頁9データ!$B$4:$J$4</c:f>
              <c:numCache>
                <c:formatCode>#,##0;"▲ "#,##0</c:formatCode>
                <c:ptCount val="9"/>
                <c:pt idx="0">
                  <c:v>4296</c:v>
                </c:pt>
                <c:pt idx="1">
                  <c:v>3242</c:v>
                </c:pt>
                <c:pt idx="2" formatCode="#,##0_);[Red]\(#,##0\)">
                  <c:v>3302</c:v>
                </c:pt>
                <c:pt idx="3" formatCode="#,##0_);[Red]\(#,##0\)">
                  <c:v>3363</c:v>
                </c:pt>
                <c:pt idx="5">
                  <c:v>3225</c:v>
                </c:pt>
                <c:pt idx="6">
                  <c:v>3267</c:v>
                </c:pt>
                <c:pt idx="7">
                  <c:v>3266</c:v>
                </c:pt>
                <c:pt idx="8">
                  <c:v>3317</c:v>
                </c:pt>
              </c:numCache>
            </c:numRef>
          </c:val>
        </c:ser>
        <c:ser>
          <c:idx val="1"/>
          <c:order val="1"/>
          <c:tx>
            <c:strRef>
              <c:f>頁9データ!$A$3</c:f>
              <c:strCache>
                <c:ptCount val="1"/>
                <c:pt idx="0">
                  <c:v>法人市民税</c:v>
                </c:pt>
              </c:strCache>
            </c:strRef>
          </c:tx>
          <c:spPr>
            <a:pattFill prst="ltUpDiag">
              <a:fgClr>
                <a:srgbClr val="80008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頁9データ!$B$1:$J$1</c:f>
              <c:strCache>
                <c:ptCount val="9"/>
                <c:pt idx="0">
                  <c:v>8年度</c:v>
                </c:pt>
                <c:pt idx="1">
                  <c:v>20年度</c:v>
                </c:pt>
                <c:pt idx="2">
                  <c:v>21年度</c:v>
                </c:pt>
                <c:pt idx="3">
                  <c:v>22年度</c:v>
                </c:pt>
                <c:pt idx="5">
                  <c:v>25年度</c:v>
                </c:pt>
                <c:pt idx="6">
                  <c:v>26年度</c:v>
                </c:pt>
                <c:pt idx="7">
                  <c:v>27年度</c:v>
                </c:pt>
                <c:pt idx="8">
                  <c:v>28年度
（見込）</c:v>
                </c:pt>
              </c:strCache>
            </c:strRef>
          </c:cat>
          <c:val>
            <c:numRef>
              <c:f>頁9データ!$B$3:$J$3</c:f>
              <c:numCache>
                <c:formatCode>#,##0;"▲ "#,##0</c:formatCode>
                <c:ptCount val="9"/>
                <c:pt idx="0">
                  <c:v>1643</c:v>
                </c:pt>
                <c:pt idx="1">
                  <c:v>1544</c:v>
                </c:pt>
                <c:pt idx="2" formatCode="#,##0_);[Red]\(#,##0\)">
                  <c:v>1034</c:v>
                </c:pt>
                <c:pt idx="3" formatCode="#,##0_);[Red]\(#,##0\)">
                  <c:v>1081</c:v>
                </c:pt>
                <c:pt idx="5">
                  <c:v>1252</c:v>
                </c:pt>
                <c:pt idx="6">
                  <c:v>1350</c:v>
                </c:pt>
                <c:pt idx="7">
                  <c:v>1319</c:v>
                </c:pt>
                <c:pt idx="8">
                  <c:v>1224</c:v>
                </c:pt>
              </c:numCache>
            </c:numRef>
          </c:val>
        </c:ser>
        <c:ser>
          <c:idx val="0"/>
          <c:order val="2"/>
          <c:tx>
            <c:strRef>
              <c:f>頁9データ!$A$2</c:f>
              <c:strCache>
                <c:ptCount val="1"/>
                <c:pt idx="0">
                  <c:v>個人市民税</c:v>
                </c:pt>
              </c:strCache>
            </c:strRef>
          </c:tx>
          <c:spPr>
            <a:pattFill prst="smGrid">
              <a:fgClr>
                <a:srgbClr val="3366FF"/>
              </a:fgClr>
              <a:bgClr>
                <a:srgbClr val="FFFFFF"/>
              </a:bgClr>
            </a:pattFill>
            <a:ln w="12700">
              <a:solidFill>
                <a:srgbClr val="000000"/>
              </a:solidFill>
              <a:prstDash val="solid"/>
            </a:ln>
          </c:spPr>
          <c:invertIfNegative val="0"/>
          <c:dLbls>
            <c:dLbl>
              <c:idx val="1"/>
              <c:numFmt formatCode="#,##0;&quot;▲ &quot;#,##0" sourceLinked="0"/>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solidFill>
                <a:srgbClr val="FFFFFF"/>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頁9データ!$B$1:$J$1</c:f>
              <c:strCache>
                <c:ptCount val="9"/>
                <c:pt idx="0">
                  <c:v>8年度</c:v>
                </c:pt>
                <c:pt idx="1">
                  <c:v>20年度</c:v>
                </c:pt>
                <c:pt idx="2">
                  <c:v>21年度</c:v>
                </c:pt>
                <c:pt idx="3">
                  <c:v>22年度</c:v>
                </c:pt>
                <c:pt idx="5">
                  <c:v>25年度</c:v>
                </c:pt>
                <c:pt idx="6">
                  <c:v>26年度</c:v>
                </c:pt>
                <c:pt idx="7">
                  <c:v>27年度</c:v>
                </c:pt>
                <c:pt idx="8">
                  <c:v>28年度
（見込）</c:v>
                </c:pt>
              </c:strCache>
            </c:strRef>
          </c:cat>
          <c:val>
            <c:numRef>
              <c:f>頁9データ!$B$2:$J$2</c:f>
              <c:numCache>
                <c:formatCode>#,##0;"▲ "#,##0</c:formatCode>
                <c:ptCount val="9"/>
                <c:pt idx="0">
                  <c:v>1294</c:v>
                </c:pt>
                <c:pt idx="1">
                  <c:v>1400</c:v>
                </c:pt>
                <c:pt idx="2" formatCode="#,##0_);[Red]\(#,##0\)">
                  <c:v>1389</c:v>
                </c:pt>
                <c:pt idx="3" formatCode="#,##0_);[Red]\(#,##0\)">
                  <c:v>1306</c:v>
                </c:pt>
                <c:pt idx="5">
                  <c:v>1354</c:v>
                </c:pt>
                <c:pt idx="6">
                  <c:v>1383</c:v>
                </c:pt>
                <c:pt idx="7">
                  <c:v>1422</c:v>
                </c:pt>
                <c:pt idx="8">
                  <c:v>1465</c:v>
                </c:pt>
              </c:numCache>
            </c:numRef>
          </c:val>
        </c:ser>
        <c:ser>
          <c:idx val="3"/>
          <c:order val="3"/>
          <c:tx>
            <c:strRef>
              <c:f>頁9データ!$A$5</c:f>
              <c:strCache>
                <c:ptCount val="1"/>
                <c:pt idx="0">
                  <c:v>その他の税</c:v>
                </c:pt>
              </c:strCache>
            </c:strRef>
          </c:tx>
          <c:spPr>
            <a:solidFill>
              <a:srgbClr val="CC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頁9データ!$B$1:$J$1</c:f>
              <c:strCache>
                <c:ptCount val="9"/>
                <c:pt idx="0">
                  <c:v>8年度</c:v>
                </c:pt>
                <c:pt idx="1">
                  <c:v>20年度</c:v>
                </c:pt>
                <c:pt idx="2">
                  <c:v>21年度</c:v>
                </c:pt>
                <c:pt idx="3">
                  <c:v>22年度</c:v>
                </c:pt>
                <c:pt idx="5">
                  <c:v>25年度</c:v>
                </c:pt>
                <c:pt idx="6">
                  <c:v>26年度</c:v>
                </c:pt>
                <c:pt idx="7">
                  <c:v>27年度</c:v>
                </c:pt>
                <c:pt idx="8">
                  <c:v>28年度
（見込）</c:v>
                </c:pt>
              </c:strCache>
            </c:strRef>
          </c:cat>
          <c:val>
            <c:numRef>
              <c:f>頁9データ!$B$5:$J$5</c:f>
              <c:numCache>
                <c:formatCode>#,##0;"▲ "#,##0</c:formatCode>
                <c:ptCount val="9"/>
                <c:pt idx="0">
                  <c:v>543</c:v>
                </c:pt>
                <c:pt idx="1">
                  <c:v>522</c:v>
                </c:pt>
                <c:pt idx="2" formatCode="#,##0_);[Red]\(#,##0\)">
                  <c:v>511</c:v>
                </c:pt>
                <c:pt idx="3" formatCode="#,##0_);[Red]\(#,##0\)">
                  <c:v>510</c:v>
                </c:pt>
                <c:pt idx="5">
                  <c:v>588</c:v>
                </c:pt>
                <c:pt idx="6">
                  <c:v>593</c:v>
                </c:pt>
                <c:pt idx="7">
                  <c:v>594</c:v>
                </c:pt>
                <c:pt idx="8">
                  <c:v>590</c:v>
                </c:pt>
              </c:numCache>
            </c:numRef>
          </c:val>
        </c:ser>
        <c:ser>
          <c:idx val="4"/>
          <c:order val="4"/>
          <c:tx>
            <c:strRef>
              <c:f>頁9データ!$A$6</c:f>
              <c:strCache>
                <c:ptCount val="1"/>
                <c:pt idx="0">
                  <c:v>市税総計</c:v>
                </c:pt>
              </c:strCache>
            </c:strRef>
          </c:tx>
          <c:spPr>
            <a:noFill/>
            <a:ln w="25400">
              <a:noFill/>
            </a:ln>
          </c:spPr>
          <c:invertIfNegative val="0"/>
          <c:dLbls>
            <c:spPr>
              <a:noFill/>
              <a:ln w="25400">
                <a:noFill/>
              </a:ln>
            </c:spPr>
            <c:txPr>
              <a:bodyPr/>
              <a:lstStyle/>
              <a:p>
                <a:pPr>
                  <a:defRPr sz="900" b="1"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頁9データ!$B$1:$J$1</c:f>
              <c:strCache>
                <c:ptCount val="9"/>
                <c:pt idx="0">
                  <c:v>8年度</c:v>
                </c:pt>
                <c:pt idx="1">
                  <c:v>20年度</c:v>
                </c:pt>
                <c:pt idx="2">
                  <c:v>21年度</c:v>
                </c:pt>
                <c:pt idx="3">
                  <c:v>22年度</c:v>
                </c:pt>
                <c:pt idx="5">
                  <c:v>25年度</c:v>
                </c:pt>
                <c:pt idx="6">
                  <c:v>26年度</c:v>
                </c:pt>
                <c:pt idx="7">
                  <c:v>27年度</c:v>
                </c:pt>
                <c:pt idx="8">
                  <c:v>28年度
（見込）</c:v>
                </c:pt>
              </c:strCache>
            </c:strRef>
          </c:cat>
          <c:val>
            <c:numRef>
              <c:f>頁9データ!$B$6:$J$6</c:f>
              <c:numCache>
                <c:formatCode>#,##0;"▲ "#,##0</c:formatCode>
                <c:ptCount val="9"/>
                <c:pt idx="0">
                  <c:v>7776</c:v>
                </c:pt>
                <c:pt idx="1">
                  <c:v>6708</c:v>
                </c:pt>
                <c:pt idx="2">
                  <c:v>6236</c:v>
                </c:pt>
                <c:pt idx="3">
                  <c:v>6260</c:v>
                </c:pt>
                <c:pt idx="5">
                  <c:v>6419</c:v>
                </c:pt>
                <c:pt idx="6">
                  <c:v>6593</c:v>
                </c:pt>
                <c:pt idx="7">
                  <c:v>6601</c:v>
                </c:pt>
                <c:pt idx="8">
                  <c:v>6595</c:v>
                </c:pt>
              </c:numCache>
            </c:numRef>
          </c:val>
        </c:ser>
        <c:dLbls>
          <c:showLegendKey val="0"/>
          <c:showVal val="1"/>
          <c:showCatName val="0"/>
          <c:showSerName val="0"/>
          <c:showPercent val="0"/>
          <c:showBubbleSize val="0"/>
        </c:dLbls>
        <c:gapWidth val="42"/>
        <c:overlap val="100"/>
        <c:axId val="229085672"/>
        <c:axId val="228595536"/>
      </c:barChart>
      <c:catAx>
        <c:axId val="229085672"/>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595536"/>
        <c:crosses val="autoZero"/>
        <c:auto val="1"/>
        <c:lblAlgn val="ctr"/>
        <c:lblOffset val="100"/>
        <c:tickLblSkip val="1"/>
        <c:tickMarkSkip val="1"/>
        <c:noMultiLvlLbl val="0"/>
      </c:catAx>
      <c:valAx>
        <c:axId val="228595536"/>
        <c:scaling>
          <c:orientation val="minMax"/>
          <c:max val="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億円</a:t>
                </a:r>
                <a:r>
                  <a:rPr lang="en-US" altLang="ja-JP" sz="800" b="0" i="0" u="none" strike="noStrike" baseline="0">
                    <a:solidFill>
                      <a:srgbClr val="000000"/>
                    </a:solidFill>
                    <a:latin typeface="ＭＳ Ｐゴシック"/>
                    <a:ea typeface="ＭＳ Ｐゴシック"/>
                  </a:rPr>
                  <a:t>)</a:t>
                </a:r>
              </a:p>
            </c:rich>
          </c:tx>
          <c:layout>
            <c:manualLayout>
              <c:xMode val="edge"/>
              <c:yMode val="edge"/>
              <c:x val="1.9646443475141148E-2"/>
              <c:y val="5.9690469725767054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229085672"/>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a:latin typeface="HG創英角ﾎﾟｯﾌﾟ体" pitchFamily="49" charset="-128"/>
                <a:ea typeface="HG創英角ﾎﾟｯﾌﾟ体" pitchFamily="49" charset="-128"/>
              </a:rPr>
              <a:t>①収納率及び未収金の推移（平成</a:t>
            </a:r>
            <a:r>
              <a:rPr lang="en-US" altLang="ja-JP">
                <a:latin typeface="HG創英角ﾎﾟｯﾌﾟ体" pitchFamily="49" charset="-128"/>
                <a:ea typeface="HG創英角ﾎﾟｯﾌﾟ体" pitchFamily="49" charset="-128"/>
              </a:rPr>
              <a:t>24</a:t>
            </a:r>
            <a:r>
              <a:rPr lang="ja-JP" altLang="en-US">
                <a:latin typeface="HG創英角ﾎﾟｯﾌﾟ体" pitchFamily="49" charset="-128"/>
                <a:ea typeface="HG創英角ﾎﾟｯﾌﾟ体" pitchFamily="49" charset="-128"/>
              </a:rPr>
              <a:t>～</a:t>
            </a:r>
            <a:r>
              <a:rPr lang="en-US" altLang="ja-JP">
                <a:latin typeface="HG創英角ﾎﾟｯﾌﾟ体" pitchFamily="49" charset="-128"/>
                <a:ea typeface="HG創英角ﾎﾟｯﾌﾟ体" pitchFamily="49" charset="-128"/>
              </a:rPr>
              <a:t>28</a:t>
            </a:r>
            <a:r>
              <a:rPr lang="ja-JP" altLang="en-US">
                <a:latin typeface="HG創英角ﾎﾟｯﾌﾟ体" pitchFamily="49" charset="-128"/>
                <a:ea typeface="HG創英角ﾎﾟｯﾌﾟ体" pitchFamily="49" charset="-128"/>
              </a:rPr>
              <a:t>年度決算）</a:t>
            </a:r>
          </a:p>
        </c:rich>
      </c:tx>
      <c:layout>
        <c:manualLayout>
          <c:xMode val="edge"/>
          <c:yMode val="edge"/>
          <c:x val="2.8561857877619902E-4"/>
          <c:y val="2.1550450523581458E-2"/>
        </c:manualLayout>
      </c:layout>
      <c:overlay val="0"/>
      <c:spPr>
        <a:noFill/>
        <a:ln w="3175">
          <a:solidFill>
            <a:srgbClr val="000000"/>
          </a:solidFill>
          <a:prstDash val="solid"/>
        </a:ln>
      </c:spPr>
    </c:title>
    <c:autoTitleDeleted val="0"/>
    <c:plotArea>
      <c:layout>
        <c:manualLayout>
          <c:layoutTarget val="inner"/>
          <c:xMode val="edge"/>
          <c:yMode val="edge"/>
          <c:x val="7.5573648856128994E-2"/>
          <c:y val="0.20731724952809552"/>
          <c:w val="0.89338849183494617"/>
          <c:h val="0.71080199838203562"/>
        </c:manualLayout>
      </c:layout>
      <c:barChart>
        <c:barDir val="col"/>
        <c:grouping val="stacked"/>
        <c:varyColors val="0"/>
        <c:ser>
          <c:idx val="4"/>
          <c:order val="0"/>
          <c:tx>
            <c:strRef>
              <c:f>ＢＤ!$A$6:$B$6</c:f>
              <c:strCache>
                <c:ptCount val="2"/>
                <c:pt idx="0">
                  <c:v>滞納繰越分の未収金</c:v>
                </c:pt>
              </c:strCache>
            </c:strRef>
          </c:tx>
          <c:spPr>
            <a:solidFill>
              <a:srgbClr val="FFC000"/>
            </a:solidFill>
            <a:ln w="12700">
              <a:solidFill>
                <a:srgbClr val="000000"/>
              </a:solidFill>
              <a:prstDash val="solid"/>
            </a:ln>
          </c:spPr>
          <c:invertIfNegative val="0"/>
          <c:dLbls>
            <c:dLbl>
              <c:idx val="4"/>
              <c:layout>
                <c:manualLayout>
                  <c:x val="-2.1540118470651588E-3"/>
                  <c:y val="-1.8327605956471937E-2"/>
                </c:manualLayout>
              </c:layout>
              <c:tx>
                <c:rich>
                  <a:bodyPr/>
                  <a:lstStyle/>
                  <a:p>
                    <a:r>
                      <a:rPr lang="en-US" altLang="en-US"/>
                      <a:t>79</a:t>
                    </a:r>
                  </a:p>
                </c:rich>
              </c:tx>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8018018018018021E-2"/>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ＢＤ!$C$3:$O$3</c:f>
              <c:strCache>
                <c:ptCount val="5"/>
                <c:pt idx="0">
                  <c:v>24年度</c:v>
                </c:pt>
                <c:pt idx="1">
                  <c:v>25年度</c:v>
                </c:pt>
                <c:pt idx="2">
                  <c:v>26年度</c:v>
                </c:pt>
                <c:pt idx="3">
                  <c:v>27年度</c:v>
                </c:pt>
                <c:pt idx="4">
                  <c:v>28年度（見込）</c:v>
                </c:pt>
              </c:strCache>
            </c:strRef>
          </c:cat>
          <c:val>
            <c:numRef>
              <c:f>ＢＤ!$C$6:$O$6</c:f>
              <c:numCache>
                <c:formatCode>General</c:formatCode>
                <c:ptCount val="5"/>
                <c:pt idx="0">
                  <c:v>159</c:v>
                </c:pt>
                <c:pt idx="1">
                  <c:v>133</c:v>
                </c:pt>
                <c:pt idx="2">
                  <c:v>115</c:v>
                </c:pt>
                <c:pt idx="3">
                  <c:v>97</c:v>
                </c:pt>
                <c:pt idx="4">
                  <c:v>79</c:v>
                </c:pt>
              </c:numCache>
            </c:numRef>
          </c:val>
        </c:ser>
        <c:ser>
          <c:idx val="0"/>
          <c:order val="1"/>
          <c:tx>
            <c:strRef>
              <c:f>ＢＤ!$A$5:$B$5</c:f>
              <c:strCache>
                <c:ptCount val="2"/>
                <c:pt idx="0">
                  <c:v>現年課税分の未収金</c:v>
                </c:pt>
              </c:strCache>
            </c:strRef>
          </c:tx>
          <c:spPr>
            <a:solidFill>
              <a:srgbClr val="FFFFFF"/>
            </a:solidFill>
            <a:ln w="12700">
              <a:solidFill>
                <a:srgbClr val="000000"/>
              </a:solidFill>
              <a:prstDash val="solid"/>
            </a:ln>
          </c:spPr>
          <c:invertIfNegative val="0"/>
          <c:dLbls>
            <c:dLbl>
              <c:idx val="4"/>
              <c:layout/>
              <c:tx>
                <c:rich>
                  <a:bodyPr/>
                  <a:lstStyle/>
                  <a:p>
                    <a:r>
                      <a:rPr lang="en-US" altLang="en-US"/>
                      <a:t>40</a:t>
                    </a:r>
                  </a:p>
                </c:rich>
              </c:tx>
              <c:dLblPos val="ct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ＢＤ!$C$3:$O$3</c:f>
              <c:strCache>
                <c:ptCount val="5"/>
                <c:pt idx="0">
                  <c:v>24年度</c:v>
                </c:pt>
                <c:pt idx="1">
                  <c:v>25年度</c:v>
                </c:pt>
                <c:pt idx="2">
                  <c:v>26年度</c:v>
                </c:pt>
                <c:pt idx="3">
                  <c:v>27年度</c:v>
                </c:pt>
                <c:pt idx="4">
                  <c:v>28年度（見込）</c:v>
                </c:pt>
              </c:strCache>
            </c:strRef>
          </c:cat>
          <c:val>
            <c:numRef>
              <c:f>ＢＤ!$C$5:$O$5</c:f>
              <c:numCache>
                <c:formatCode>General</c:formatCode>
                <c:ptCount val="5"/>
                <c:pt idx="0">
                  <c:v>58</c:v>
                </c:pt>
                <c:pt idx="1">
                  <c:v>51</c:v>
                </c:pt>
                <c:pt idx="2">
                  <c:v>48</c:v>
                </c:pt>
                <c:pt idx="3">
                  <c:v>43</c:v>
                </c:pt>
                <c:pt idx="4">
                  <c:v>40</c:v>
                </c:pt>
              </c:numCache>
            </c:numRef>
          </c:val>
        </c:ser>
        <c:dLbls>
          <c:showLegendKey val="0"/>
          <c:showVal val="0"/>
          <c:showCatName val="0"/>
          <c:showSerName val="0"/>
          <c:showPercent val="0"/>
          <c:showBubbleSize val="0"/>
        </c:dLbls>
        <c:gapWidth val="100"/>
        <c:overlap val="100"/>
        <c:axId val="268407984"/>
        <c:axId val="229516976"/>
      </c:barChart>
      <c:lineChart>
        <c:grouping val="standard"/>
        <c:varyColors val="0"/>
        <c:ser>
          <c:idx val="1"/>
          <c:order val="4"/>
          <c:tx>
            <c:strRef>
              <c:f>ＢＤ!$A$4:$B$4</c:f>
              <c:strCache>
                <c:ptCount val="2"/>
                <c:pt idx="0">
                  <c:v>市税総額の未収金</c:v>
                </c:pt>
              </c:strCache>
            </c:strRef>
          </c:tx>
          <c:spPr>
            <a:ln w="28575">
              <a:noFill/>
            </a:ln>
          </c:spPr>
          <c:marker>
            <c:symbol val="none"/>
          </c:marker>
          <c:dLbls>
            <c:dLbl>
              <c:idx val="4"/>
              <c:layout/>
              <c:tx>
                <c:rich>
                  <a:bodyPr/>
                  <a:lstStyle/>
                  <a:p>
                    <a:r>
                      <a:rPr lang="en-US" altLang="en-US"/>
                      <a:t>119</a:t>
                    </a:r>
                  </a:p>
                </c:rich>
              </c:tx>
              <c:dLblPos val="t"/>
              <c:showLegendKey val="0"/>
              <c:showVal val="1"/>
              <c:showCatName val="0"/>
              <c:showSerName val="0"/>
              <c:showPercent val="0"/>
              <c:showBubbleSize val="0"/>
              <c:extLst>
                <c:ext xmlns:c15="http://schemas.microsoft.com/office/drawing/2012/chart" uri="{CE6537A1-D6FC-4f65-9D91-7224C49458BB}">
                  <c15:layout/>
                </c:ext>
              </c:extLst>
            </c:dLbl>
            <c:spPr>
              <a:noFill/>
              <a:ln w="3175">
                <a:solidFill>
                  <a:srgbClr val="000000"/>
                </a:solidFill>
                <a:prstDash val="solid"/>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ＢＤ!$C$3:$O$3</c:f>
              <c:strCache>
                <c:ptCount val="5"/>
                <c:pt idx="0">
                  <c:v>24年度</c:v>
                </c:pt>
                <c:pt idx="1">
                  <c:v>25年度</c:v>
                </c:pt>
                <c:pt idx="2">
                  <c:v>26年度</c:v>
                </c:pt>
                <c:pt idx="3">
                  <c:v>27年度</c:v>
                </c:pt>
                <c:pt idx="4">
                  <c:v>28年度（見込）</c:v>
                </c:pt>
              </c:strCache>
            </c:strRef>
          </c:cat>
          <c:val>
            <c:numRef>
              <c:f>ＢＤ!$C$4:$O$4</c:f>
              <c:numCache>
                <c:formatCode>General</c:formatCode>
                <c:ptCount val="5"/>
                <c:pt idx="0">
                  <c:v>217</c:v>
                </c:pt>
                <c:pt idx="1">
                  <c:v>184</c:v>
                </c:pt>
                <c:pt idx="2">
                  <c:v>163</c:v>
                </c:pt>
                <c:pt idx="3">
                  <c:v>140</c:v>
                </c:pt>
                <c:pt idx="4">
                  <c:v>119</c:v>
                </c:pt>
              </c:numCache>
            </c:numRef>
          </c:val>
          <c:smooth val="0"/>
        </c:ser>
        <c:dLbls>
          <c:showLegendKey val="0"/>
          <c:showVal val="0"/>
          <c:showCatName val="0"/>
          <c:showSerName val="0"/>
          <c:showPercent val="0"/>
          <c:showBubbleSize val="0"/>
        </c:dLbls>
        <c:marker val="1"/>
        <c:smooth val="0"/>
        <c:axId val="268407984"/>
        <c:axId val="229516976"/>
      </c:lineChart>
      <c:lineChart>
        <c:grouping val="standard"/>
        <c:varyColors val="0"/>
        <c:ser>
          <c:idx val="2"/>
          <c:order val="2"/>
          <c:tx>
            <c:strRef>
              <c:f>ＢＤ!$A$7:$B$7</c:f>
              <c:strCache>
                <c:ptCount val="2"/>
                <c:pt idx="0">
                  <c:v>現年課税分の収納率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4"/>
              <c:layout>
                <c:manualLayout>
                  <c:x val="-6.0586925826517403E-2"/>
                  <c:y val="-3.2416953035509739E-2"/>
                </c:manualLayout>
              </c:layout>
              <c:tx>
                <c:rich>
                  <a:bodyPr/>
                  <a:lstStyle/>
                  <a:p>
                    <a:r>
                      <a:rPr lang="en-US" altLang="en-US"/>
                      <a:t>99.4%</a:t>
                    </a:r>
                  </a:p>
                </c:rich>
              </c:tx>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ＢＤ!$C$3:$O$3</c:f>
              <c:strCache>
                <c:ptCount val="5"/>
                <c:pt idx="0">
                  <c:v>24年度</c:v>
                </c:pt>
                <c:pt idx="1">
                  <c:v>25年度</c:v>
                </c:pt>
                <c:pt idx="2">
                  <c:v>26年度</c:v>
                </c:pt>
                <c:pt idx="3">
                  <c:v>27年度</c:v>
                </c:pt>
                <c:pt idx="4">
                  <c:v>28年度（見込）</c:v>
                </c:pt>
              </c:strCache>
            </c:strRef>
          </c:cat>
          <c:val>
            <c:numRef>
              <c:f>ＢＤ!$C$7:$O$7</c:f>
              <c:numCache>
                <c:formatCode>0.0%</c:formatCode>
                <c:ptCount val="5"/>
                <c:pt idx="0">
                  <c:v>0.99099999999999999</c:v>
                </c:pt>
                <c:pt idx="1">
                  <c:v>0.99199999999999999</c:v>
                </c:pt>
                <c:pt idx="2">
                  <c:v>0.99299999999999999</c:v>
                </c:pt>
                <c:pt idx="3">
                  <c:v>0.99299999999999999</c:v>
                </c:pt>
                <c:pt idx="4">
                  <c:v>0.99399999999999999</c:v>
                </c:pt>
              </c:numCache>
            </c:numRef>
          </c:val>
          <c:smooth val="0"/>
        </c:ser>
        <c:ser>
          <c:idx val="3"/>
          <c:order val="3"/>
          <c:tx>
            <c:strRef>
              <c:f>ＢＤ!$A$8:$B$8</c:f>
              <c:strCache>
                <c:ptCount val="2"/>
                <c:pt idx="0">
                  <c:v>市税総額の収納率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5.8433083586684136E-2"/>
                  <c:y val="2.485681557846510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8433083586684136E-2"/>
                  <c:y val="2.71477663230239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587095433749377E-2"/>
                  <c:y val="2.94387170675830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433083586684136E-2"/>
                  <c:y val="2.94387170675830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534169496987351E-2"/>
                  <c:y val="2.4756158057562393E-2"/>
                </c:manualLayout>
              </c:layout>
              <c:tx>
                <c:rich>
                  <a:bodyPr/>
                  <a:lstStyle/>
                  <a:p>
                    <a:r>
                      <a:rPr lang="en-US" altLang="en-US"/>
                      <a:t>97.9%</a:t>
                    </a:r>
                  </a:p>
                </c:rich>
              </c:tx>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812521916542138E-2"/>
                  <c:y val="-2.5112612612612616E-2"/>
                </c:manualLayout>
              </c:layout>
              <c:dLblPos val="r"/>
              <c:showLegendKey val="0"/>
              <c:showVal val="1"/>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ＢＤ!$C$3:$O$3</c:f>
              <c:strCache>
                <c:ptCount val="5"/>
                <c:pt idx="0">
                  <c:v>24年度</c:v>
                </c:pt>
                <c:pt idx="1">
                  <c:v>25年度</c:v>
                </c:pt>
                <c:pt idx="2">
                  <c:v>26年度</c:v>
                </c:pt>
                <c:pt idx="3">
                  <c:v>27年度</c:v>
                </c:pt>
                <c:pt idx="4">
                  <c:v>28年度（見込）</c:v>
                </c:pt>
              </c:strCache>
            </c:strRef>
          </c:cat>
          <c:val>
            <c:numRef>
              <c:f>ＢＤ!$C$8:$O$8</c:f>
              <c:numCache>
                <c:formatCode>0.0%</c:formatCode>
                <c:ptCount val="5"/>
                <c:pt idx="0">
                  <c:v>0.96299999999999997</c:v>
                </c:pt>
                <c:pt idx="1">
                  <c:v>0.96799999999999997</c:v>
                </c:pt>
                <c:pt idx="2">
                  <c:v>0.97199999999999998</c:v>
                </c:pt>
                <c:pt idx="3">
                  <c:v>0.97599999999999998</c:v>
                </c:pt>
                <c:pt idx="4">
                  <c:v>0.97899999999999998</c:v>
                </c:pt>
              </c:numCache>
            </c:numRef>
          </c:val>
          <c:smooth val="0"/>
        </c:ser>
        <c:dLbls>
          <c:showLegendKey val="0"/>
          <c:showVal val="0"/>
          <c:showCatName val="0"/>
          <c:showSerName val="0"/>
          <c:showPercent val="0"/>
          <c:showBubbleSize val="0"/>
        </c:dLbls>
        <c:marker val="1"/>
        <c:smooth val="0"/>
        <c:axId val="229535200"/>
        <c:axId val="269331912"/>
      </c:lineChart>
      <c:catAx>
        <c:axId val="2684079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229516976"/>
        <c:crosses val="autoZero"/>
        <c:auto val="0"/>
        <c:lblAlgn val="ctr"/>
        <c:lblOffset val="100"/>
        <c:tickLblSkip val="1"/>
        <c:tickMarkSkip val="1"/>
        <c:noMultiLvlLbl val="0"/>
      </c:catAx>
      <c:valAx>
        <c:axId val="229516976"/>
        <c:scaling>
          <c:orientation val="minMax"/>
          <c:max val="350"/>
          <c:min val="0"/>
        </c:scaling>
        <c:delete val="0"/>
        <c:axPos val="l"/>
        <c:title>
          <c:tx>
            <c:rich>
              <a:bodyPr rot="0" vert="horz"/>
              <a:lstStyle/>
              <a:p>
                <a:pPr algn="ctr">
                  <a:defRPr sz="1000" b="0" i="0" u="none" strike="noStrike" baseline="0">
                    <a:solidFill>
                      <a:srgbClr val="000000"/>
                    </a:solidFill>
                    <a:latin typeface="HG丸ｺﾞｼｯｸM-PRO" pitchFamily="50" charset="-128"/>
                    <a:ea typeface="HG丸ｺﾞｼｯｸM-PRO" pitchFamily="50" charset="-128"/>
                    <a:cs typeface="ＭＳ Ｐゴシック"/>
                  </a:defRPr>
                </a:pPr>
                <a:r>
                  <a:rPr lang="ja-JP" altLang="en-US">
                    <a:latin typeface="HG丸ｺﾞｼｯｸM-PRO" pitchFamily="50" charset="-128"/>
                    <a:ea typeface="HG丸ｺﾞｼｯｸM-PRO" pitchFamily="50" charset="-128"/>
                  </a:rPr>
                  <a:t>（億円）</a:t>
                </a:r>
              </a:p>
            </c:rich>
          </c:tx>
          <c:layout>
            <c:manualLayout>
              <c:xMode val="edge"/>
              <c:yMode val="edge"/>
              <c:x val="1.7993702204228568E-3"/>
              <c:y val="0.141020961906788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268407984"/>
        <c:crosses val="autoZero"/>
        <c:crossBetween val="between"/>
        <c:majorUnit val="100"/>
      </c:valAx>
      <c:catAx>
        <c:axId val="229535200"/>
        <c:scaling>
          <c:orientation val="minMax"/>
        </c:scaling>
        <c:delete val="1"/>
        <c:axPos val="t"/>
        <c:numFmt formatCode="General" sourceLinked="1"/>
        <c:majorTickMark val="none"/>
        <c:minorTickMark val="none"/>
        <c:tickLblPos val="none"/>
        <c:crossAx val="269331912"/>
        <c:crosses val="max"/>
        <c:auto val="0"/>
        <c:lblAlgn val="ctr"/>
        <c:lblOffset val="100"/>
        <c:noMultiLvlLbl val="0"/>
      </c:catAx>
      <c:valAx>
        <c:axId val="269331912"/>
        <c:scaling>
          <c:orientation val="minMax"/>
          <c:max val="1"/>
          <c:min val="0.70000000000000062"/>
        </c:scaling>
        <c:delete val="0"/>
        <c:axPos val="r"/>
        <c:numFmt formatCode="0.0%" sourceLinked="1"/>
        <c:majorTickMark val="none"/>
        <c:minorTickMark val="none"/>
        <c:tickLblPos val="none"/>
        <c:spPr>
          <a:ln w="9525">
            <a:noFill/>
          </a:ln>
        </c:spPr>
        <c:crossAx val="229535200"/>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&amp;L&amp;"HGP創英角ﾎﾟｯﾌﾟ体,ﾍﾋﾞｰ"&amp;18○参考：市税の収納状況について(平成20～24年度決算)</c:oddHeader>
      <c:oddFooter>Page &amp;P</c:oddFooter>
    </c:headerFooter>
    <c:pageMargins b="0.98399999999999999" l="0.78700000000000003" r="0.78700000000000003" t="0.98399999999999999" header="0.5" footer="0.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a:latin typeface="HG創英角ﾎﾟｯﾌﾟ体" pitchFamily="49" charset="-128"/>
                <a:ea typeface="HG創英角ﾎﾟｯﾌﾟ体" pitchFamily="49" charset="-128"/>
              </a:rPr>
              <a:t>②課税年度別収納率の状況（平成</a:t>
            </a:r>
            <a:r>
              <a:rPr lang="en-US" altLang="ja-JP">
                <a:latin typeface="HG創英角ﾎﾟｯﾌﾟ体" pitchFamily="49" charset="-128"/>
                <a:ea typeface="HG創英角ﾎﾟｯﾌﾟ体" pitchFamily="49" charset="-128"/>
              </a:rPr>
              <a:t>24</a:t>
            </a:r>
            <a:r>
              <a:rPr lang="ja-JP" altLang="en-US">
                <a:latin typeface="HG創英角ﾎﾟｯﾌﾟ体" pitchFamily="49" charset="-128"/>
                <a:ea typeface="HG創英角ﾎﾟｯﾌﾟ体" pitchFamily="49" charset="-128"/>
              </a:rPr>
              <a:t>～</a:t>
            </a:r>
            <a:r>
              <a:rPr lang="en-US" altLang="ja-JP">
                <a:latin typeface="HG創英角ﾎﾟｯﾌﾟ体" pitchFamily="49" charset="-128"/>
                <a:ea typeface="HG創英角ﾎﾟｯﾌﾟ体" pitchFamily="49" charset="-128"/>
              </a:rPr>
              <a:t>28</a:t>
            </a:r>
            <a:r>
              <a:rPr lang="ja-JP" altLang="en-US">
                <a:latin typeface="HG創英角ﾎﾟｯﾌﾟ体" pitchFamily="49" charset="-128"/>
                <a:ea typeface="HG創英角ﾎﾟｯﾌﾟ体" pitchFamily="49" charset="-128"/>
              </a:rPr>
              <a:t>年度）</a:t>
            </a:r>
          </a:p>
        </c:rich>
      </c:tx>
      <c:layout>
        <c:manualLayout>
          <c:xMode val="edge"/>
          <c:yMode val="edge"/>
          <c:x val="3.6807226507854077E-2"/>
          <c:y val="5.1041830103340402E-2"/>
        </c:manualLayout>
      </c:layout>
      <c:overlay val="0"/>
      <c:spPr>
        <a:noFill/>
        <a:ln w="3175">
          <a:solidFill>
            <a:srgbClr val="000000"/>
          </a:solidFill>
          <a:prstDash val="solid"/>
        </a:ln>
      </c:spPr>
    </c:title>
    <c:autoTitleDeleted val="0"/>
    <c:plotArea>
      <c:layout>
        <c:manualLayout>
          <c:layoutTarget val="inner"/>
          <c:xMode val="edge"/>
          <c:yMode val="edge"/>
          <c:x val="0.11607718625172456"/>
          <c:y val="0.16982100921595328"/>
          <c:w val="0.75773889636609304"/>
          <c:h val="0.75066978469796553"/>
        </c:manualLayout>
      </c:layout>
      <c:barChart>
        <c:barDir val="col"/>
        <c:grouping val="stacked"/>
        <c:varyColors val="0"/>
        <c:ser>
          <c:idx val="0"/>
          <c:order val="0"/>
          <c:tx>
            <c:strRef>
              <c:f>ＢＤ!$B$13</c:f>
              <c:strCache>
                <c:ptCount val="1"/>
                <c:pt idx="0">
                  <c:v>課税年度</c:v>
                </c:pt>
              </c:strCache>
            </c:strRef>
          </c:tx>
          <c:spPr>
            <a:solidFill>
              <a:srgbClr val="9999FF"/>
            </a:solidFill>
            <a:ln w="12700">
              <a:solidFill>
                <a:srgbClr val="000000"/>
              </a:solidFill>
              <a:prstDash val="solid"/>
            </a:ln>
          </c:spPr>
          <c:invertIfNegative val="0"/>
          <c:dLbls>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ＢＤ!$A$14:$A$39</c:f>
              <c:strCache>
                <c:ptCount val="5"/>
                <c:pt idx="0">
                  <c:v>24年度</c:v>
                </c:pt>
                <c:pt idx="1">
                  <c:v>25年度</c:v>
                </c:pt>
                <c:pt idx="2">
                  <c:v>26年度</c:v>
                </c:pt>
                <c:pt idx="3">
                  <c:v>27年度</c:v>
                </c:pt>
                <c:pt idx="4">
                  <c:v>28年度（見込）</c:v>
                </c:pt>
              </c:strCache>
            </c:strRef>
          </c:cat>
          <c:val>
            <c:numRef>
              <c:f>ＢＤ!$B$14:$B$39</c:f>
              <c:numCache>
                <c:formatCode>0.0%</c:formatCode>
                <c:ptCount val="5"/>
                <c:pt idx="0">
                  <c:v>0.99099999999999999</c:v>
                </c:pt>
                <c:pt idx="1">
                  <c:v>0.99199999999999999</c:v>
                </c:pt>
                <c:pt idx="2">
                  <c:v>0.99299999999999999</c:v>
                </c:pt>
                <c:pt idx="3">
                  <c:v>0.99299999999999999</c:v>
                </c:pt>
                <c:pt idx="4">
                  <c:v>0.99399999999999999</c:v>
                </c:pt>
              </c:numCache>
            </c:numRef>
          </c:val>
        </c:ser>
        <c:ser>
          <c:idx val="1"/>
          <c:order val="1"/>
          <c:tx>
            <c:strRef>
              <c:f>ＢＤ!$C$13</c:f>
              <c:strCache>
                <c:ptCount val="1"/>
                <c:pt idx="0">
                  <c:v>繰越 １年目</c:v>
                </c:pt>
              </c:strCache>
            </c:strRef>
          </c:tx>
          <c:spPr>
            <a:pattFill prst="pct80">
              <a:fgClr>
                <a:srgbClr val="FFFFFF"/>
              </a:fgClr>
              <a:bgClr>
                <a:srgbClr val="333333"/>
              </a:bgClr>
            </a:pattFill>
            <a:ln w="12700">
              <a:solidFill>
                <a:srgbClr val="000000"/>
              </a:solidFill>
              <a:prstDash val="solid"/>
            </a:ln>
          </c:spPr>
          <c:invertIfNegative val="0"/>
          <c:dLbls>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solidFill>
                <a:srgbClr val="FFFFFF"/>
              </a:solid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ＢＤ!$A$14:$A$39</c:f>
              <c:strCache>
                <c:ptCount val="5"/>
                <c:pt idx="0">
                  <c:v>24年度</c:v>
                </c:pt>
                <c:pt idx="1">
                  <c:v>25年度</c:v>
                </c:pt>
                <c:pt idx="2">
                  <c:v>26年度</c:v>
                </c:pt>
                <c:pt idx="3">
                  <c:v>27年度</c:v>
                </c:pt>
                <c:pt idx="4">
                  <c:v>28年度（見込）</c:v>
                </c:pt>
              </c:strCache>
            </c:strRef>
          </c:cat>
          <c:val>
            <c:numRef>
              <c:f>ＢＤ!$C$14:$C$39</c:f>
              <c:numCache>
                <c:formatCode>0.0%</c:formatCode>
                <c:ptCount val="5"/>
                <c:pt idx="0">
                  <c:v>4.0000000000000001E-3</c:v>
                </c:pt>
                <c:pt idx="1">
                  <c:v>3.0000000000000001E-3</c:v>
                </c:pt>
                <c:pt idx="2">
                  <c:v>3.0000000000000001E-3</c:v>
                </c:pt>
                <c:pt idx="3">
                  <c:v>3.0000000000000001E-3</c:v>
                </c:pt>
                <c:pt idx="4">
                  <c:v>0</c:v>
                </c:pt>
              </c:numCache>
            </c:numRef>
          </c:val>
        </c:ser>
        <c:ser>
          <c:idx val="2"/>
          <c:order val="2"/>
          <c:tx>
            <c:strRef>
              <c:f>ＢＤ!$D$13</c:f>
              <c:strCache>
                <c:ptCount val="1"/>
                <c:pt idx="0">
                  <c:v>繰越 ２年目</c:v>
                </c:pt>
              </c:strCache>
            </c:strRef>
          </c:tx>
          <c:spPr>
            <a:solidFill>
              <a:srgbClr val="FFFFCC"/>
            </a:solidFill>
            <a:ln w="12700">
              <a:solidFill>
                <a:srgbClr val="000000"/>
              </a:solidFill>
              <a:prstDash val="solid"/>
            </a:ln>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ＢＤ!$A$14:$A$39</c:f>
              <c:strCache>
                <c:ptCount val="5"/>
                <c:pt idx="0">
                  <c:v>24年度</c:v>
                </c:pt>
                <c:pt idx="1">
                  <c:v>25年度</c:v>
                </c:pt>
                <c:pt idx="2">
                  <c:v>26年度</c:v>
                </c:pt>
                <c:pt idx="3">
                  <c:v>27年度</c:v>
                </c:pt>
                <c:pt idx="4">
                  <c:v>28年度（見込）</c:v>
                </c:pt>
              </c:strCache>
            </c:strRef>
          </c:cat>
          <c:val>
            <c:numRef>
              <c:f>ＢＤ!$D$14:$D$39</c:f>
              <c:numCache>
                <c:formatCode>0.0%</c:formatCode>
                <c:ptCount val="5"/>
                <c:pt idx="0">
                  <c:v>1E-3</c:v>
                </c:pt>
                <c:pt idx="1">
                  <c:v>1E-3</c:v>
                </c:pt>
                <c:pt idx="2">
                  <c:v>1E-3</c:v>
                </c:pt>
                <c:pt idx="3">
                  <c:v>0</c:v>
                </c:pt>
                <c:pt idx="4">
                  <c:v>0</c:v>
                </c:pt>
              </c:numCache>
            </c:numRef>
          </c:val>
        </c:ser>
        <c:ser>
          <c:idx val="3"/>
          <c:order val="3"/>
          <c:tx>
            <c:strRef>
              <c:f>ＢＤ!$E$13</c:f>
              <c:strCache>
                <c:ptCount val="1"/>
                <c:pt idx="0">
                  <c:v>繰越 ３年目</c:v>
                </c:pt>
              </c:strCache>
            </c:strRef>
          </c:tx>
          <c:spPr>
            <a:pattFill prst="pct60">
              <a:fgClr>
                <a:srgbClr val="FFFFFF"/>
              </a:fgClr>
              <a:bgClr>
                <a:srgbClr val="000000"/>
              </a:bgClr>
            </a:pattFill>
            <a:ln w="12700">
              <a:solidFill>
                <a:srgbClr val="000000"/>
              </a:solidFill>
              <a:prstDash val="solid"/>
            </a:ln>
          </c:spPr>
          <c:invertIfNegative val="0"/>
          <c:dLbls>
            <c:dLbl>
              <c:idx val="0"/>
              <c:delete val="1"/>
              <c:extLst>
                <c:ext xmlns:c15="http://schemas.microsoft.com/office/drawing/2012/chart" uri="{CE6537A1-D6FC-4f65-9D91-7224C49458BB}"/>
              </c:extLst>
            </c:dLbl>
            <c:dLbl>
              <c:idx val="1"/>
              <c:layout>
                <c:manualLayout>
                  <c:x val="-6.4411503147772475E-17"/>
                  <c:y val="-2.50626566416037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050">
                    <a:latin typeface="HG丸ｺﾞｼｯｸM-PRO" panose="020F0600000000000000" pitchFamily="50" charset="-128"/>
                    <a:ea typeface="HG丸ｺﾞｼｯｸM-PRO" panose="020F06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ＢＤ!$A$14:$A$39</c:f>
              <c:strCache>
                <c:ptCount val="5"/>
                <c:pt idx="0">
                  <c:v>24年度</c:v>
                </c:pt>
                <c:pt idx="1">
                  <c:v>25年度</c:v>
                </c:pt>
                <c:pt idx="2">
                  <c:v>26年度</c:v>
                </c:pt>
                <c:pt idx="3">
                  <c:v>27年度</c:v>
                </c:pt>
                <c:pt idx="4">
                  <c:v>28年度（見込）</c:v>
                </c:pt>
              </c:strCache>
            </c:strRef>
          </c:cat>
          <c:val>
            <c:numRef>
              <c:f>ＢＤ!$E$14:$E$39</c:f>
              <c:numCache>
                <c:formatCode>0.0%</c:formatCode>
                <c:ptCount val="5"/>
                <c:pt idx="0">
                  <c:v>1E-3</c:v>
                </c:pt>
                <c:pt idx="1">
                  <c:v>1E-3</c:v>
                </c:pt>
                <c:pt idx="2">
                  <c:v>0</c:v>
                </c:pt>
                <c:pt idx="3">
                  <c:v>0</c:v>
                </c:pt>
                <c:pt idx="4">
                  <c:v>0</c:v>
                </c:pt>
              </c:numCache>
            </c:numRef>
          </c:val>
        </c:ser>
        <c:ser>
          <c:idx val="4"/>
          <c:order val="4"/>
          <c:tx>
            <c:strRef>
              <c:f>ＢＤ!$F$13</c:f>
              <c:strCache>
                <c:ptCount val="1"/>
                <c:pt idx="0">
                  <c:v>繰越 ４年目</c:v>
                </c:pt>
              </c:strCache>
            </c:strRef>
          </c:tx>
          <c:spPr>
            <a:solidFill>
              <a:srgbClr val="66FFCC"/>
            </a:solidFill>
            <a:ln w="12700">
              <a:solidFill>
                <a:srgbClr val="000000"/>
              </a:solidFill>
              <a:prstDash val="solid"/>
            </a:ln>
          </c:spPr>
          <c:invertIfNegative val="0"/>
          <c:dLbls>
            <c:delete val="1"/>
          </c:dLbls>
          <c:cat>
            <c:strRef>
              <c:f>ＢＤ!$A$14:$A$39</c:f>
              <c:strCache>
                <c:ptCount val="5"/>
                <c:pt idx="0">
                  <c:v>24年度</c:v>
                </c:pt>
                <c:pt idx="1">
                  <c:v>25年度</c:v>
                </c:pt>
                <c:pt idx="2">
                  <c:v>26年度</c:v>
                </c:pt>
                <c:pt idx="3">
                  <c:v>27年度</c:v>
                </c:pt>
                <c:pt idx="4">
                  <c:v>28年度（見込）</c:v>
                </c:pt>
              </c:strCache>
            </c:strRef>
          </c:cat>
          <c:val>
            <c:numRef>
              <c:f>ＢＤ!$F$14:$F$39</c:f>
              <c:numCache>
                <c:formatCode>0.0%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00"/>
        <c:overlap val="100"/>
        <c:axId val="228313480"/>
        <c:axId val="268087576"/>
      </c:barChart>
      <c:lineChart>
        <c:grouping val="standard"/>
        <c:varyColors val="0"/>
        <c:ser>
          <c:idx val="5"/>
          <c:order val="5"/>
          <c:tx>
            <c:strRef>
              <c:f>ＢＤ!$G$13</c:f>
              <c:strCache>
                <c:ptCount val="1"/>
                <c:pt idx="0">
                  <c:v>合計</c:v>
                </c:pt>
              </c:strCache>
            </c:strRef>
          </c:tx>
          <c:spPr>
            <a:ln w="28575">
              <a:noFill/>
            </a:ln>
          </c:spPr>
          <c:marker>
            <c:symbol val="none"/>
          </c:marker>
          <c:dPt>
            <c:idx val="0"/>
            <c:bubble3D val="0"/>
          </c:dPt>
          <c:dLbls>
            <c:dLbl>
              <c:idx val="0"/>
              <c:layout>
                <c:manualLayout>
                  <c:x val="-4.7061533189912512E-2"/>
                  <c:y val="-3.3022088209935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778789259687086E-2"/>
                  <c:y val="-3.354074161782408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7348657460886033E-2"/>
                  <c:y val="-3.371341740177214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3175">
                <a:noFill/>
                <a:prstDash val="solid"/>
              </a:ln>
            </c:spPr>
            <c:txPr>
              <a:bodyPr/>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ＢＤ!$A$14:$A$39</c:f>
              <c:strCache>
                <c:ptCount val="5"/>
                <c:pt idx="0">
                  <c:v>24年度</c:v>
                </c:pt>
                <c:pt idx="1">
                  <c:v>25年度</c:v>
                </c:pt>
                <c:pt idx="2">
                  <c:v>26年度</c:v>
                </c:pt>
                <c:pt idx="3">
                  <c:v>27年度</c:v>
                </c:pt>
                <c:pt idx="4">
                  <c:v>28年度（見込）</c:v>
                </c:pt>
              </c:strCache>
            </c:strRef>
          </c:cat>
          <c:val>
            <c:numRef>
              <c:f>ＢＤ!$G$14:$G$39</c:f>
              <c:numCache>
                <c:formatCode>0.0%</c:formatCode>
                <c:ptCount val="5"/>
                <c:pt idx="0">
                  <c:v>0.997</c:v>
                </c:pt>
                <c:pt idx="1">
                  <c:v>0.997</c:v>
                </c:pt>
                <c:pt idx="2">
                  <c:v>0.997</c:v>
                </c:pt>
                <c:pt idx="3">
                  <c:v>0.996</c:v>
                </c:pt>
                <c:pt idx="4">
                  <c:v>0.99399999999999999</c:v>
                </c:pt>
              </c:numCache>
            </c:numRef>
          </c:val>
          <c:smooth val="0"/>
        </c:ser>
        <c:dLbls>
          <c:showLegendKey val="0"/>
          <c:showVal val="1"/>
          <c:showCatName val="0"/>
          <c:showSerName val="0"/>
          <c:showPercent val="0"/>
          <c:showBubbleSize val="0"/>
        </c:dLbls>
        <c:marker val="1"/>
        <c:smooth val="0"/>
        <c:axId val="228313480"/>
        <c:axId val="268087576"/>
      </c:lineChart>
      <c:catAx>
        <c:axId val="228313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268087576"/>
        <c:crosses val="autoZero"/>
        <c:auto val="1"/>
        <c:lblAlgn val="ctr"/>
        <c:lblOffset val="100"/>
        <c:tickLblSkip val="1"/>
        <c:tickMarkSkip val="1"/>
        <c:noMultiLvlLbl val="0"/>
      </c:catAx>
      <c:valAx>
        <c:axId val="268087576"/>
        <c:scaling>
          <c:orientation val="minMax"/>
          <c:max val="0.998"/>
          <c:min val="0.97500000000000064"/>
        </c:scaling>
        <c:delete val="0"/>
        <c:axPos val="l"/>
        <c:majorGridlines>
          <c:spPr>
            <a:ln w="3175">
              <a:solidFill>
                <a:srgbClr val="000000"/>
              </a:solidFill>
              <a:prstDash val="dash"/>
            </a:ln>
          </c:spPr>
        </c:majorGridlines>
        <c:numFmt formatCode="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228313480"/>
        <c:crosses val="autoZero"/>
        <c:crossBetween val="between"/>
        <c:majorUnit val="5.0000000000000114E-3"/>
        <c:minorUnit val="2.0000000000000052E-4"/>
      </c:valAx>
      <c:spPr>
        <a:solidFill>
          <a:srgbClr val="FFFFFF"/>
        </a:solidFill>
        <a:ln w="25400">
          <a:noFill/>
        </a:ln>
      </c:spPr>
    </c:plotArea>
    <c:plotVisOnly val="1"/>
    <c:dispBlanksAs val="zero"/>
    <c:showDLblsOverMax val="0"/>
  </c:chart>
  <c:spPr>
    <a:solidFill>
      <a:srgbClr val="FFFFFF"/>
    </a:solid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普通会計決算の推移（</a:t>
            </a:r>
            <a:r>
              <a:rPr lang="en-US" altLang="ja-JP" sz="1000" b="0" i="0" u="none" strike="noStrike" baseline="0">
                <a:solidFill>
                  <a:srgbClr val="000000"/>
                </a:solidFill>
                <a:latin typeface="ＭＳ Ｐゴシック"/>
                <a:ea typeface="ＭＳ Ｐゴシック"/>
              </a:rPr>
              <a:t>H8</a:t>
            </a:r>
            <a:r>
              <a:rPr lang="ja-JP" altLang="en-US" sz="1000" b="0" i="0" u="none" strike="noStrike" baseline="0">
                <a:solidFill>
                  <a:srgbClr val="000000"/>
                </a:solidFill>
                <a:latin typeface="ＭＳ Ｐゴシック"/>
                <a:ea typeface="ＭＳ Ｐゴシック"/>
              </a:rPr>
              <a:t>年度（市税収入のピーク）を</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とした場合）</a:t>
            </a:r>
          </a:p>
        </c:rich>
      </c:tx>
      <c:layout>
        <c:manualLayout>
          <c:xMode val="edge"/>
          <c:yMode val="edge"/>
          <c:x val="0.2076069730586371"/>
          <c:y val="2.2415039768619298E-2"/>
        </c:manualLayout>
      </c:layout>
      <c:overlay val="0"/>
      <c:spPr>
        <a:noFill/>
        <a:ln w="25400">
          <a:noFill/>
        </a:ln>
      </c:spPr>
    </c:title>
    <c:autoTitleDeleted val="0"/>
    <c:plotArea>
      <c:layout>
        <c:manualLayout>
          <c:layoutTarget val="inner"/>
          <c:xMode val="edge"/>
          <c:yMode val="edge"/>
          <c:x val="0.10142630744849462"/>
          <c:y val="0.10629067245119694"/>
          <c:w val="0.79292128895932379"/>
          <c:h val="0.84779464931311066"/>
        </c:manualLayout>
      </c:layout>
      <c:lineChart>
        <c:grouping val="standard"/>
        <c:varyColors val="0"/>
        <c:ser>
          <c:idx val="0"/>
          <c:order val="0"/>
          <c:spPr>
            <a:ln w="25400">
              <a:solidFill>
                <a:schemeClr val="accent2">
                  <a:lumMod val="75000"/>
                </a:schemeClr>
              </a:solidFill>
              <a:prstDash val="solid"/>
            </a:ln>
          </c:spPr>
          <c:marker>
            <c:symbol val="none"/>
          </c:marker>
          <c:cat>
            <c:strRef>
              <c:f>頁１１データ!$C$13:$W$13</c:f>
              <c:strCache>
                <c:ptCount val="21"/>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strCache>
            </c:strRef>
          </c:cat>
          <c:val>
            <c:numRef>
              <c:f>頁１１データ!$C$14:$W$14</c:f>
              <c:numCache>
                <c:formatCode>#,##0.0;[Red]\-#,##0.0</c:formatCode>
                <c:ptCount val="21"/>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numCache>
            </c:numRef>
          </c:val>
          <c:smooth val="0"/>
        </c:ser>
        <c:ser>
          <c:idx val="1"/>
          <c:order val="1"/>
          <c:spPr>
            <a:ln w="12700">
              <a:solidFill>
                <a:srgbClr val="00B050"/>
              </a:solidFill>
              <a:prstDash val="solid"/>
            </a:ln>
          </c:spPr>
          <c:marker>
            <c:symbol val="none"/>
          </c:marker>
          <c:cat>
            <c:strRef>
              <c:f>頁１１データ!$C$13:$W$13</c:f>
              <c:strCache>
                <c:ptCount val="21"/>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strCache>
            </c:strRef>
          </c:cat>
          <c:val>
            <c:numRef>
              <c:f>頁１１データ!$C$15:$W$15</c:f>
              <c:numCache>
                <c:formatCode>#,##0.0;[Red]\-#,##0.0</c:formatCode>
                <c:ptCount val="21"/>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numCache>
            </c:numRef>
          </c:val>
          <c:smooth val="0"/>
        </c:ser>
        <c:ser>
          <c:idx val="2"/>
          <c:order val="2"/>
          <c:spPr>
            <a:ln w="12700">
              <a:solidFill>
                <a:srgbClr val="FF6600"/>
              </a:solidFill>
              <a:prstDash val="sysDash"/>
            </a:ln>
          </c:spPr>
          <c:marker>
            <c:symbol val="none"/>
          </c:marker>
          <c:cat>
            <c:strRef>
              <c:f>頁１１データ!$C$13:$W$13</c:f>
              <c:strCache>
                <c:ptCount val="21"/>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strCache>
            </c:strRef>
          </c:cat>
          <c:val>
            <c:numRef>
              <c:f>頁１１データ!$C$16:$W$16</c:f>
              <c:numCache>
                <c:formatCode>#,##0.0;[Red]\-#,##0.0</c:formatCode>
                <c:ptCount val="21"/>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numCache>
            </c:numRef>
          </c:val>
          <c:smooth val="0"/>
        </c:ser>
        <c:ser>
          <c:idx val="4"/>
          <c:order val="3"/>
          <c:spPr>
            <a:ln w="38100">
              <a:pattFill prst="pct50">
                <a:fgClr>
                  <a:srgbClr val="00CCFF"/>
                </a:fgClr>
                <a:bgClr>
                  <a:srgbClr val="FFFFFF"/>
                </a:bgClr>
              </a:pattFill>
              <a:prstDash val="solid"/>
            </a:ln>
          </c:spPr>
          <c:marker>
            <c:symbol val="none"/>
          </c:marker>
          <c:cat>
            <c:strRef>
              <c:f>頁１１データ!$C$13:$W$13</c:f>
              <c:strCache>
                <c:ptCount val="21"/>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strCache>
            </c:strRef>
          </c:cat>
          <c:val>
            <c:numRef>
              <c:f>頁１１データ!$C$18:$W$18</c:f>
              <c:numCache>
                <c:formatCode>#,##0.0;[Red]\-#,##0.0</c:formatCode>
                <c:ptCount val="21"/>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numCache>
            </c:numRef>
          </c:val>
          <c:smooth val="0"/>
        </c:ser>
        <c:ser>
          <c:idx val="5"/>
          <c:order val="4"/>
          <c:spPr>
            <a:ln w="12700">
              <a:solidFill>
                <a:srgbClr val="3366FF"/>
              </a:solidFill>
              <a:prstDash val="solid"/>
            </a:ln>
          </c:spPr>
          <c:marker>
            <c:symbol val="none"/>
          </c:marker>
          <c:cat>
            <c:strRef>
              <c:f>頁１１データ!$C$13:$W$13</c:f>
              <c:strCache>
                <c:ptCount val="21"/>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strCache>
            </c:strRef>
          </c:cat>
          <c:val>
            <c:numRef>
              <c:f>頁１１データ!$C$19:$W$19</c:f>
              <c:numCache>
                <c:formatCode>#,##0.0;[Red]\-#,##0.0</c:formatCode>
                <c:ptCount val="21"/>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numCache>
            </c:numRef>
          </c:val>
          <c:smooth val="0"/>
        </c:ser>
        <c:ser>
          <c:idx val="6"/>
          <c:order val="5"/>
          <c:spPr>
            <a:ln w="12700">
              <a:solidFill>
                <a:srgbClr val="FF8080"/>
              </a:solidFill>
              <a:prstDash val="lgDash"/>
            </a:ln>
          </c:spPr>
          <c:marker>
            <c:symbol val="none"/>
          </c:marker>
          <c:cat>
            <c:strRef>
              <c:f>頁１１データ!$C$13:$W$13</c:f>
              <c:strCache>
                <c:ptCount val="21"/>
                <c:pt idx="0">
                  <c:v>Ｈ８年度</c:v>
                </c:pt>
                <c:pt idx="1">
                  <c:v>Ｈ９年度</c:v>
                </c:pt>
                <c:pt idx="2">
                  <c:v>Ｈ１０年度</c:v>
                </c:pt>
                <c:pt idx="3">
                  <c:v>Ｈ１１年度</c:v>
                </c:pt>
                <c:pt idx="4">
                  <c:v>Ｈ１２年度</c:v>
                </c:pt>
                <c:pt idx="5">
                  <c:v>Ｈ１３年度</c:v>
                </c:pt>
                <c:pt idx="6">
                  <c:v>Ｈ１４年度</c:v>
                </c:pt>
                <c:pt idx="7">
                  <c:v>Ｈ１５年度</c:v>
                </c:pt>
                <c:pt idx="8">
                  <c:v>Ｈ１６年度</c:v>
                </c:pt>
                <c:pt idx="9">
                  <c:v>Ｈ１７年度</c:v>
                </c:pt>
                <c:pt idx="10">
                  <c:v>Ｈ１８年度</c:v>
                </c:pt>
                <c:pt idx="11">
                  <c:v>Ｈ１９年度</c:v>
                </c:pt>
                <c:pt idx="12">
                  <c:v>Ｈ２０年度</c:v>
                </c:pt>
                <c:pt idx="13">
                  <c:v>Ｈ２１年度</c:v>
                </c:pt>
                <c:pt idx="14">
                  <c:v>Ｈ２２年度</c:v>
                </c:pt>
                <c:pt idx="15">
                  <c:v>Ｈ２３年度</c:v>
                </c:pt>
                <c:pt idx="16">
                  <c:v>Ｈ２４年度</c:v>
                </c:pt>
                <c:pt idx="17">
                  <c:v>Ｈ２５年度</c:v>
                </c:pt>
                <c:pt idx="18">
                  <c:v>Ｈ２６年度</c:v>
                </c:pt>
                <c:pt idx="19">
                  <c:v>Ｈ２７年度</c:v>
                </c:pt>
                <c:pt idx="20">
                  <c:v>Ｈ２８年度</c:v>
                </c:pt>
              </c:strCache>
            </c:strRef>
          </c:cat>
          <c:val>
            <c:numRef>
              <c:f>頁１１データ!$C$20:$W$20</c:f>
              <c:numCache>
                <c:formatCode>#,##0.0;[Red]\-#,##0.0</c:formatCode>
                <c:ptCount val="21"/>
                <c:pt idx="0">
                  <c:v>100</c:v>
                </c:pt>
                <c:pt idx="1">
                  <c:v>95.70975657513759</c:v>
                </c:pt>
                <c:pt idx="2">
                  <c:v>91.601571450592218</c:v>
                </c:pt>
                <c:pt idx="3">
                  <c:v>90.077197718647014</c:v>
                </c:pt>
                <c:pt idx="4">
                  <c:v>82.509488278695002</c:v>
                </c:pt>
                <c:pt idx="5">
                  <c:v>74.5889106914466</c:v>
                </c:pt>
                <c:pt idx="6">
                  <c:v>66.870805264276171</c:v>
                </c:pt>
                <c:pt idx="7">
                  <c:v>63.192144413476484</c:v>
                </c:pt>
                <c:pt idx="8">
                  <c:v>59.057296288427011</c:v>
                </c:pt>
                <c:pt idx="9">
                  <c:v>55.976886511438003</c:v>
                </c:pt>
                <c:pt idx="10">
                  <c:v>54.307116104868911</c:v>
                </c:pt>
                <c:pt idx="11">
                  <c:v>54.240041994225798</c:v>
                </c:pt>
                <c:pt idx="12">
                  <c:v>54.274203963621673</c:v>
                </c:pt>
                <c:pt idx="13">
                  <c:v>56.629296805022648</c:v>
                </c:pt>
                <c:pt idx="14">
                  <c:v>57.555419463157151</c:v>
                </c:pt>
                <c:pt idx="15">
                  <c:v>56.43349039507067</c:v>
                </c:pt>
                <c:pt idx="16">
                  <c:v>55.031183212308306</c:v>
                </c:pt>
                <c:pt idx="17">
                  <c:v>54.436265013560636</c:v>
                </c:pt>
                <c:pt idx="18">
                  <c:v>54.124224585786116</c:v>
                </c:pt>
                <c:pt idx="19">
                  <c:v>54.301283573508641</c:v>
                </c:pt>
                <c:pt idx="20">
                  <c:v>54.56624714101811</c:v>
                </c:pt>
              </c:numCache>
            </c:numRef>
          </c:val>
          <c:smooth val="0"/>
        </c:ser>
        <c:dLbls>
          <c:showLegendKey val="0"/>
          <c:showVal val="0"/>
          <c:showCatName val="0"/>
          <c:showSerName val="0"/>
          <c:showPercent val="0"/>
          <c:showBubbleSize val="0"/>
        </c:dLbls>
        <c:smooth val="0"/>
        <c:axId val="227507672"/>
        <c:axId val="227506104"/>
      </c:lineChart>
      <c:catAx>
        <c:axId val="227507672"/>
        <c:scaling>
          <c:orientation val="minMax"/>
        </c:scaling>
        <c:delete val="0"/>
        <c:axPos val="b"/>
        <c:numFmt formatCode="General" sourceLinked="0"/>
        <c:majorTickMark val="in"/>
        <c:minorTickMark val="none"/>
        <c:tickLblPos val="nextTo"/>
        <c:spPr>
          <a:ln w="12700">
            <a:solidFill>
              <a:srgbClr val="000000"/>
            </a:solidFill>
            <a:prstDash val="solid"/>
          </a:ln>
        </c:spPr>
        <c:txPr>
          <a:bodyPr rot="90000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27506104"/>
        <c:crosses val="autoZero"/>
        <c:auto val="1"/>
        <c:lblAlgn val="ctr"/>
        <c:lblOffset val="30"/>
        <c:tickLblSkip val="1"/>
        <c:tickMarkSkip val="1"/>
        <c:noMultiLvlLbl val="0"/>
      </c:catAx>
      <c:valAx>
        <c:axId val="227506104"/>
        <c:scaling>
          <c:orientation val="minMax"/>
          <c:min val="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7507672"/>
        <c:crossesAt val="1"/>
        <c:crossBetween val="midCat"/>
      </c:valAx>
      <c:spPr>
        <a:solidFill>
          <a:schemeClr val="bg1"/>
        </a:solidFill>
      </c:spPr>
    </c:plotArea>
    <c:plotVisOnly val="1"/>
    <c:dispBlanksAs val="gap"/>
    <c:showDLblsOverMax val="0"/>
  </c:chart>
  <c:spPr>
    <a:no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zoomScale="55" workbookViewId="0"/>
  </sheetViews>
  <pageMargins left="0.19685039370078741" right="0.59055118110236227" top="0.39370078740157483" bottom="0.39370078740157483" header="0.51181102362204722" footer="0.51181102362204722"/>
  <pageSetup paperSize="9" firstPageNumber="5" orientation="portrait" useFirstPageNumber="1" r:id="rId1"/>
  <headerFooter alignWithMargins="0"/>
  <drawing r:id="rId2"/>
  <legacyDrawing r:id="rId3"/>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sheetPr/>
  <sheetViews>
    <sheetView zoomScale="160" workbookViewId="0"/>
  </sheetViews>
  <pageMargins left="0.39370078740157483" right="0.39370078740157483" top="0.39370078740157483" bottom="0.25" header="0.51181102362204722" footer="0.28000000000000003"/>
  <pageSetup paperSize="9" firstPageNumber="4" orientation="portrait" useFirstPageNumber="1" r:id="rId1"/>
  <headerFooter alignWithMargins="0"/>
  <drawing r:id="rId2"/>
  <legacyDrawing r:id="rId3"/>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firstPageNumber="3" orientation="portrait" useFirstPageNumber="1"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xdr:cNvSpPr>
          <a:spLocks noChangeArrowheads="1"/>
        </xdr:cNvSpPr>
      </xdr:nvSpPr>
      <xdr:spPr bwMode="auto">
        <a:xfrm>
          <a:off x="190500" y="161925"/>
          <a:ext cx="6924675" cy="466725"/>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創英角ﾎﾟｯﾌﾟ体"/>
              <a:ea typeface="HG創英角ﾎﾟｯﾌﾟ体"/>
            </a:rPr>
            <a:t>平成</a:t>
          </a:r>
          <a:r>
            <a:rPr lang="en-US" altLang="ja-JP" sz="1600" b="0" i="0" u="none" strike="noStrike" baseline="0">
              <a:solidFill>
                <a:srgbClr val="000000"/>
              </a:solidFill>
              <a:latin typeface="HG創英角ﾎﾟｯﾌﾟ体"/>
              <a:ea typeface="HG創英角ﾎﾟｯﾌﾟ体"/>
            </a:rPr>
            <a:t>28</a:t>
          </a:r>
          <a:r>
            <a:rPr lang="ja-JP" altLang="en-US" sz="1600" b="0" i="0" u="none" strike="noStrike" baseline="0">
              <a:solidFill>
                <a:srgbClr val="000000"/>
              </a:solidFill>
              <a:latin typeface="HG創英角ﾎﾟｯﾌﾟ体"/>
              <a:ea typeface="HG創英角ﾎﾟｯﾌﾟ体"/>
            </a:rPr>
            <a:t>年度　普通会計決算見込のポイント</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127</xdr:row>
          <xdr:rowOff>19050</xdr:rowOff>
        </xdr:from>
        <xdr:to>
          <xdr:col>9</xdr:col>
          <xdr:colOff>295275</xdr:colOff>
          <xdr:row>140</xdr:row>
          <xdr:rowOff>28574</xdr:rowOff>
        </xdr:to>
        <xdr:pic>
          <xdr:nvPicPr>
            <xdr:cNvPr id="135169" name="Picture 1"/>
            <xdr:cNvPicPr>
              <a:picLocks noChangeAspect="1" noChangeArrowheads="1"/>
              <a:extLst>
                <a:ext uri="{84589F7E-364E-4C9E-8A38-B11213B215E9}">
                  <a14:cameraTool cellRange="'頁７データ（収支）'!$B$3:$G$9" spid="_x0000_s135472"/>
                </a:ext>
              </a:extLst>
            </xdr:cNvPicPr>
          </xdr:nvPicPr>
          <xdr:blipFill>
            <a:blip xmlns:r="http://schemas.openxmlformats.org/officeDocument/2006/relationships" r:embed="rId1"/>
            <a:srcRect/>
            <a:stretch>
              <a:fillRect/>
            </a:stretch>
          </xdr:blipFill>
          <xdr:spPr bwMode="auto">
            <a:xfrm>
              <a:off x="209550" y="34775775"/>
              <a:ext cx="5962650" cy="2362200"/>
            </a:xfrm>
            <a:prstGeom prst="rect">
              <a:avLst/>
            </a:prstGeom>
            <a:noFill/>
            <a:ln>
              <a:noFill/>
            </a:ln>
            <a:extLst>
              <a:ext uri="{909E8E84-426E-40DD-AFC4-6F175D3DCCD1}">
                <a14:hiddenFill>
                  <a:solidFill>
                    <a:srgbClr val="FFFFFF" mc:Ignorable="a14" a14:legacySpreadsheetColorIndex="9">
                      <a:alpha val="89999"/>
                    </a:srgbClr>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8284</xdr:colOff>
      <xdr:row>8</xdr:row>
      <xdr:rowOff>182218</xdr:rowOff>
    </xdr:from>
    <xdr:to>
      <xdr:col>2</xdr:col>
      <xdr:colOff>24848</xdr:colOff>
      <xdr:row>11</xdr:row>
      <xdr:rowOff>82826</xdr:rowOff>
    </xdr:to>
    <xdr:sp macro="" textlink="">
      <xdr:nvSpPr>
        <xdr:cNvPr id="3" name="正方形/長方形 2"/>
        <xdr:cNvSpPr/>
      </xdr:nvSpPr>
      <xdr:spPr bwMode="auto">
        <a:xfrm>
          <a:off x="198784" y="1962979"/>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265045</xdr:colOff>
      <xdr:row>9</xdr:row>
      <xdr:rowOff>107675</xdr:rowOff>
    </xdr:from>
    <xdr:to>
      <xdr:col>1</xdr:col>
      <xdr:colOff>704023</xdr:colOff>
      <xdr:row>10</xdr:row>
      <xdr:rowOff>165653</xdr:rowOff>
    </xdr:to>
    <xdr:sp macro="" textlink="">
      <xdr:nvSpPr>
        <xdr:cNvPr id="4" name="正方形/長方形 3"/>
        <xdr:cNvSpPr/>
      </xdr:nvSpPr>
      <xdr:spPr bwMode="auto">
        <a:xfrm>
          <a:off x="455545" y="2120349"/>
          <a:ext cx="438978"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歳出</a:t>
          </a:r>
        </a:p>
      </xdr:txBody>
    </xdr:sp>
    <xdr:clientData/>
  </xdr:twoCellAnchor>
  <xdr:twoCellAnchor>
    <xdr:from>
      <xdr:col>0</xdr:col>
      <xdr:colOff>190499</xdr:colOff>
      <xdr:row>23</xdr:row>
      <xdr:rowOff>8283</xdr:rowOff>
    </xdr:from>
    <xdr:to>
      <xdr:col>2</xdr:col>
      <xdr:colOff>16563</xdr:colOff>
      <xdr:row>26</xdr:row>
      <xdr:rowOff>16565</xdr:rowOff>
    </xdr:to>
    <xdr:sp macro="" textlink="">
      <xdr:nvSpPr>
        <xdr:cNvPr id="6" name="正方形/長方形 5"/>
        <xdr:cNvSpPr/>
      </xdr:nvSpPr>
      <xdr:spPr bwMode="auto">
        <a:xfrm>
          <a:off x="190499" y="5276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99391</xdr:colOff>
      <xdr:row>24</xdr:row>
      <xdr:rowOff>82826</xdr:rowOff>
    </xdr:from>
    <xdr:to>
      <xdr:col>2</xdr:col>
      <xdr:colOff>91109</xdr:colOff>
      <xdr:row>24</xdr:row>
      <xdr:rowOff>331304</xdr:rowOff>
    </xdr:to>
    <xdr:sp macro="" textlink="">
      <xdr:nvSpPr>
        <xdr:cNvPr id="7" name="正方形/長方形 6"/>
        <xdr:cNvSpPr/>
      </xdr:nvSpPr>
      <xdr:spPr bwMode="auto">
        <a:xfrm>
          <a:off x="289891" y="5433391"/>
          <a:ext cx="819979"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実質収支</a:t>
          </a:r>
        </a:p>
      </xdr:txBody>
    </xdr:sp>
    <xdr:clientData/>
  </xdr:twoCellAnchor>
  <xdr:twoCellAnchor>
    <xdr:from>
      <xdr:col>1</xdr:col>
      <xdr:colOff>16565</xdr:colOff>
      <xdr:row>17</xdr:row>
      <xdr:rowOff>16565</xdr:rowOff>
    </xdr:from>
    <xdr:to>
      <xdr:col>2</xdr:col>
      <xdr:colOff>33129</xdr:colOff>
      <xdr:row>18</xdr:row>
      <xdr:rowOff>240195</xdr:rowOff>
    </xdr:to>
    <xdr:sp macro="" textlink="">
      <xdr:nvSpPr>
        <xdr:cNvPr id="8" name="正方形/長方形 7"/>
        <xdr:cNvSpPr/>
      </xdr:nvSpPr>
      <xdr:spPr bwMode="auto">
        <a:xfrm>
          <a:off x="207065" y="3752022"/>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256761</xdr:colOff>
      <xdr:row>17</xdr:row>
      <xdr:rowOff>173933</xdr:rowOff>
    </xdr:from>
    <xdr:to>
      <xdr:col>1</xdr:col>
      <xdr:colOff>695739</xdr:colOff>
      <xdr:row>18</xdr:row>
      <xdr:rowOff>132520</xdr:rowOff>
    </xdr:to>
    <xdr:sp macro="" textlink="">
      <xdr:nvSpPr>
        <xdr:cNvPr id="9" name="正方形/長方形 8"/>
        <xdr:cNvSpPr/>
      </xdr:nvSpPr>
      <xdr:spPr bwMode="auto">
        <a:xfrm>
          <a:off x="447261" y="3909390"/>
          <a:ext cx="438978" cy="248478"/>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歳入</a:t>
          </a:r>
        </a:p>
      </xdr:txBody>
    </xdr:sp>
    <xdr:clientData/>
  </xdr:twoCellAnchor>
  <xdr:twoCellAnchor>
    <xdr:from>
      <xdr:col>1</xdr:col>
      <xdr:colOff>33130</xdr:colOff>
      <xdr:row>36</xdr:row>
      <xdr:rowOff>99391</xdr:rowOff>
    </xdr:from>
    <xdr:to>
      <xdr:col>2</xdr:col>
      <xdr:colOff>49694</xdr:colOff>
      <xdr:row>37</xdr:row>
      <xdr:rowOff>99390</xdr:rowOff>
    </xdr:to>
    <xdr:sp macro="" textlink="">
      <xdr:nvSpPr>
        <xdr:cNvPr id="10" name="正方形/長方形 9"/>
        <xdr:cNvSpPr/>
      </xdr:nvSpPr>
      <xdr:spPr bwMode="auto">
        <a:xfrm>
          <a:off x="223630" y="8705021"/>
          <a:ext cx="844825" cy="5135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19877</xdr:colOff>
      <xdr:row>29</xdr:row>
      <xdr:rowOff>359466</xdr:rowOff>
    </xdr:from>
    <xdr:to>
      <xdr:col>2</xdr:col>
      <xdr:colOff>36441</xdr:colOff>
      <xdr:row>31</xdr:row>
      <xdr:rowOff>16565</xdr:rowOff>
    </xdr:to>
    <xdr:sp macro="" textlink="">
      <xdr:nvSpPr>
        <xdr:cNvPr id="11" name="正方形/長方形 10"/>
        <xdr:cNvSpPr/>
      </xdr:nvSpPr>
      <xdr:spPr bwMode="auto">
        <a:xfrm>
          <a:off x="210377" y="6795053"/>
          <a:ext cx="844825" cy="551621"/>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119269</xdr:colOff>
      <xdr:row>29</xdr:row>
      <xdr:rowOff>367748</xdr:rowOff>
    </xdr:from>
    <xdr:to>
      <xdr:col>2</xdr:col>
      <xdr:colOff>124239</xdr:colOff>
      <xdr:row>31</xdr:row>
      <xdr:rowOff>24849</xdr:rowOff>
    </xdr:to>
    <xdr:sp macro="" textlink="">
      <xdr:nvSpPr>
        <xdr:cNvPr id="12" name="正方形/長方形 11"/>
        <xdr:cNvSpPr/>
      </xdr:nvSpPr>
      <xdr:spPr bwMode="auto">
        <a:xfrm>
          <a:off x="309769" y="6803335"/>
          <a:ext cx="833231" cy="551623"/>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財政構造</a:t>
          </a:r>
        </a:p>
        <a:p>
          <a:pPr algn="l"/>
          <a:r>
            <a:rPr kumimoji="1" lang="ja-JP" altLang="en-US" sz="1100">
              <a:latin typeface="HG創英角ﾎﾟｯﾌﾟ体" panose="040B0A09000000000000" pitchFamily="49" charset="-128"/>
              <a:ea typeface="HG創英角ﾎﾟｯﾌﾟ体" panose="040B0A09000000000000" pitchFamily="49" charset="-128"/>
            </a:rPr>
            <a:t>の弾力性</a:t>
          </a:r>
        </a:p>
        <a:p>
          <a:pPr algn="l"/>
          <a:r>
            <a:rPr kumimoji="1" lang="ja-JP" altLang="en-US" sz="600">
              <a:latin typeface="HG創英角ﾎﾟｯﾌﾟ体" panose="040B0A09000000000000" pitchFamily="49" charset="-128"/>
              <a:ea typeface="HG創英角ﾎﾟｯﾌﾟ体" panose="040B0A09000000000000" pitchFamily="49" charset="-128"/>
            </a:rPr>
            <a:t>（経常収支比率）</a:t>
          </a:r>
        </a:p>
      </xdr:txBody>
    </xdr:sp>
    <xdr:clientData/>
  </xdr:twoCellAnchor>
  <xdr:twoCellAnchor>
    <xdr:from>
      <xdr:col>1</xdr:col>
      <xdr:colOff>205410</xdr:colOff>
      <xdr:row>36</xdr:row>
      <xdr:rowOff>139147</xdr:rowOff>
    </xdr:from>
    <xdr:to>
      <xdr:col>3</xdr:col>
      <xdr:colOff>215348</xdr:colOff>
      <xdr:row>37</xdr:row>
      <xdr:rowOff>173934</xdr:rowOff>
    </xdr:to>
    <xdr:sp macro="" textlink="">
      <xdr:nvSpPr>
        <xdr:cNvPr id="13" name="正方形/長方形 12"/>
        <xdr:cNvSpPr/>
      </xdr:nvSpPr>
      <xdr:spPr bwMode="auto">
        <a:xfrm>
          <a:off x="395910" y="8744777"/>
          <a:ext cx="1028699" cy="548309"/>
        </a:xfrm>
        <a:prstGeom prst="rect">
          <a:avLst/>
        </a:prstGeom>
        <a:noFill/>
        <a:ln w="9525" cap="flat" cmpd="sng" algn="ctr">
          <a:noFill/>
          <a:prstDash val="solid"/>
          <a:round/>
          <a:headEnd type="none" w="med" len="med"/>
          <a:tailEnd type="triangle" w="med" len="med"/>
        </a:ln>
        <a:effectLst/>
      </xdr:spPr>
      <xdr:txBody>
        <a:bodyPr vertOverflow="clip" horzOverflow="clip" wrap="square" lIns="18288" tIns="0" rIns="0" bIns="0" rtlCol="0" anchor="t" upright="1"/>
        <a:lstStyle/>
        <a:p>
          <a:pPr algn="l"/>
          <a:r>
            <a:rPr kumimoji="1" lang="ja-JP" altLang="en-US" sz="1100">
              <a:latin typeface="HG創英角ﾎﾟｯﾌﾟ体" panose="040B0A09000000000000" pitchFamily="49" charset="-128"/>
              <a:ea typeface="HG創英角ﾎﾟｯﾌﾟ体" panose="040B0A09000000000000" pitchFamily="49" charset="-128"/>
            </a:rPr>
            <a:t>地方債</a:t>
          </a:r>
        </a:p>
        <a:p>
          <a:pPr algn="l"/>
          <a:r>
            <a:rPr kumimoji="1" lang="ja-JP" altLang="en-US" sz="1100">
              <a:latin typeface="HG創英角ﾎﾟｯﾌﾟ体" panose="040B0A09000000000000" pitchFamily="49" charset="-128"/>
              <a:ea typeface="HG創英角ﾎﾟｯﾌﾟ体" panose="040B0A09000000000000" pitchFamily="49" charset="-128"/>
            </a:rPr>
            <a:t>残　高</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745941" cy="9894794"/>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0.49456</cdr:x>
      <cdr:y>0.05182</cdr:y>
    </cdr:from>
    <cdr:to>
      <cdr:x>0.90426</cdr:x>
      <cdr:y>0.0905</cdr:y>
    </cdr:to>
    <cdr:sp macro="" textlink="">
      <cdr:nvSpPr>
        <cdr:cNvPr id="94209" name="Text Box 1"/>
        <cdr:cNvSpPr txBox="1">
          <a:spLocks xmlns:a="http://schemas.openxmlformats.org/drawingml/2006/main" noChangeArrowheads="1"/>
        </cdr:cNvSpPr>
      </cdr:nvSpPr>
      <cdr:spPr bwMode="auto">
        <a:xfrm xmlns:a="http://schemas.openxmlformats.org/drawingml/2006/main">
          <a:off x="3330466" y="512380"/>
          <a:ext cx="2758965" cy="382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0.87788</cdr:x>
      <cdr:y>0.37477</cdr:y>
    </cdr:from>
    <cdr:to>
      <cdr:x>0.9136</cdr:x>
      <cdr:y>0.3901</cdr:y>
    </cdr:to>
    <cdr:sp macro="" textlink="">
      <cdr:nvSpPr>
        <cdr:cNvPr id="94210" name="Line 2"/>
        <cdr:cNvSpPr>
          <a:spLocks xmlns:a="http://schemas.openxmlformats.org/drawingml/2006/main" noChangeShapeType="1"/>
        </cdr:cNvSpPr>
      </cdr:nvSpPr>
      <cdr:spPr bwMode="auto">
        <a:xfrm xmlns:a="http://schemas.openxmlformats.org/drawingml/2006/main" flipH="1" flipV="1">
          <a:off x="5895070" y="3694656"/>
          <a:ext cx="239867" cy="15109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0.87683</cdr:x>
      <cdr:y>0.48499</cdr:y>
    </cdr:from>
    <cdr:to>
      <cdr:x>0.9157</cdr:x>
      <cdr:y>0.49</cdr:y>
    </cdr:to>
    <cdr:sp macro="" textlink="">
      <cdr:nvSpPr>
        <cdr:cNvPr id="94211" name="Line 3"/>
        <cdr:cNvSpPr>
          <a:spLocks xmlns:a="http://schemas.openxmlformats.org/drawingml/2006/main" noChangeShapeType="1"/>
        </cdr:cNvSpPr>
      </cdr:nvSpPr>
      <cdr:spPr bwMode="auto">
        <a:xfrm xmlns:a="http://schemas.openxmlformats.org/drawingml/2006/main" flipH="1" flipV="1">
          <a:off x="5888015" y="4781212"/>
          <a:ext cx="261025" cy="4939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0.87893</cdr:x>
      <cdr:y>0.54797</cdr:y>
    </cdr:from>
    <cdr:to>
      <cdr:x>0.91465</cdr:x>
      <cdr:y>0.58447</cdr:y>
    </cdr:to>
    <cdr:sp macro="" textlink="">
      <cdr:nvSpPr>
        <cdr:cNvPr id="94212" name="Line 4"/>
        <cdr:cNvSpPr>
          <a:spLocks xmlns:a="http://schemas.openxmlformats.org/drawingml/2006/main" noChangeShapeType="1"/>
        </cdr:cNvSpPr>
      </cdr:nvSpPr>
      <cdr:spPr bwMode="auto">
        <a:xfrm xmlns:a="http://schemas.openxmlformats.org/drawingml/2006/main" flipH="1" flipV="1">
          <a:off x="5902125" y="5402102"/>
          <a:ext cx="239863" cy="3598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0.87788</cdr:x>
      <cdr:y>0.67751</cdr:y>
    </cdr:from>
    <cdr:to>
      <cdr:x>0.91466</cdr:x>
      <cdr:y>0.68324</cdr:y>
    </cdr:to>
    <cdr:sp macro="" textlink="">
      <cdr:nvSpPr>
        <cdr:cNvPr id="94213" name="Line 5"/>
        <cdr:cNvSpPr>
          <a:spLocks xmlns:a="http://schemas.openxmlformats.org/drawingml/2006/main" noChangeShapeType="1"/>
        </cdr:cNvSpPr>
      </cdr:nvSpPr>
      <cdr:spPr bwMode="auto">
        <a:xfrm xmlns:a="http://schemas.openxmlformats.org/drawingml/2006/main" flipH="1" flipV="1">
          <a:off x="5895069" y="6679156"/>
          <a:ext cx="246977" cy="564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0.87788</cdr:x>
      <cdr:y>0.78279</cdr:y>
    </cdr:from>
    <cdr:to>
      <cdr:x>0.9157</cdr:x>
      <cdr:y>0.7956</cdr:y>
    </cdr:to>
    <cdr:sp macro="" textlink="">
      <cdr:nvSpPr>
        <cdr:cNvPr id="94214" name="Line 6"/>
        <cdr:cNvSpPr>
          <a:spLocks xmlns:a="http://schemas.openxmlformats.org/drawingml/2006/main" noChangeShapeType="1"/>
        </cdr:cNvSpPr>
      </cdr:nvSpPr>
      <cdr:spPr bwMode="auto">
        <a:xfrm xmlns:a="http://schemas.openxmlformats.org/drawingml/2006/main" flipH="1">
          <a:off x="5895070" y="7717066"/>
          <a:ext cx="253973" cy="1262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0.13097</cdr:x>
      <cdr:y>0.17078</cdr:y>
    </cdr:from>
    <cdr:to>
      <cdr:x>0.22222</cdr:x>
      <cdr:y>0.21153</cdr:y>
    </cdr:to>
    <cdr:sp macro="" textlink="">
      <cdr:nvSpPr>
        <cdr:cNvPr id="94215" name="Text Box 7"/>
        <cdr:cNvSpPr txBox="1">
          <a:spLocks xmlns:a="http://schemas.openxmlformats.org/drawingml/2006/main" noChangeArrowheads="1"/>
        </cdr:cNvSpPr>
      </cdr:nvSpPr>
      <cdr:spPr bwMode="auto">
        <a:xfrm xmlns:a="http://schemas.openxmlformats.org/drawingml/2006/main">
          <a:off x="881535" y="1688132"/>
          <a:ext cx="614204" cy="4028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18,443</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0.22107</cdr:x>
      <cdr:y>0.12761</cdr:y>
    </cdr:from>
    <cdr:to>
      <cdr:x>0.32382</cdr:x>
      <cdr:y>0.16461</cdr:y>
    </cdr:to>
    <cdr:sp macro="" textlink="">
      <cdr:nvSpPr>
        <cdr:cNvPr id="94216" name="Text Box 8"/>
        <cdr:cNvSpPr txBox="1">
          <a:spLocks xmlns:a="http://schemas.openxmlformats.org/drawingml/2006/main" noChangeArrowheads="1"/>
        </cdr:cNvSpPr>
      </cdr:nvSpPr>
      <cdr:spPr bwMode="auto">
        <a:xfrm xmlns:a="http://schemas.openxmlformats.org/drawingml/2006/main">
          <a:off x="1487991" y="1261404"/>
          <a:ext cx="691610" cy="3657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19,715</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0.32405</cdr:x>
      <cdr:y>0.21658</cdr:y>
    </cdr:from>
    <cdr:to>
      <cdr:x>0.4153</cdr:x>
      <cdr:y>0.25248</cdr:y>
    </cdr:to>
    <cdr:sp macro="" textlink="">
      <cdr:nvSpPr>
        <cdr:cNvPr id="94217" name="Text Box 9"/>
        <cdr:cNvSpPr txBox="1">
          <a:spLocks xmlns:a="http://schemas.openxmlformats.org/drawingml/2006/main" noChangeArrowheads="1"/>
        </cdr:cNvSpPr>
      </cdr:nvSpPr>
      <cdr:spPr bwMode="auto">
        <a:xfrm xmlns:a="http://schemas.openxmlformats.org/drawingml/2006/main">
          <a:off x="2176017" y="2135117"/>
          <a:ext cx="612755" cy="3539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17,200</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0.4202</cdr:x>
      <cdr:y>0.27032</cdr:y>
    </cdr:from>
    <cdr:to>
      <cdr:x>0.5137</cdr:x>
      <cdr:y>0.30732</cdr:y>
    </cdr:to>
    <cdr:sp macro="" textlink="">
      <cdr:nvSpPr>
        <cdr:cNvPr id="94224" name="Text Box 16"/>
        <cdr:cNvSpPr txBox="1">
          <a:spLocks xmlns:a="http://schemas.openxmlformats.org/drawingml/2006/main" noChangeArrowheads="1"/>
        </cdr:cNvSpPr>
      </cdr:nvSpPr>
      <cdr:spPr bwMode="auto">
        <a:xfrm xmlns:a="http://schemas.openxmlformats.org/drawingml/2006/main">
          <a:off x="2821715" y="2664887"/>
          <a:ext cx="627864" cy="364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15,529</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0.5147</cdr:x>
      <cdr:y>0.23176</cdr:y>
    </cdr:from>
    <cdr:to>
      <cdr:x>0.6072</cdr:x>
      <cdr:y>0.26876</cdr:y>
    </cdr:to>
    <cdr:sp macro="" textlink="">
      <cdr:nvSpPr>
        <cdr:cNvPr id="23" name="Text Box 21"/>
        <cdr:cNvSpPr txBox="1">
          <a:spLocks xmlns:a="http://schemas.openxmlformats.org/drawingml/2006/main" noChangeArrowheads="1"/>
        </cdr:cNvSpPr>
      </cdr:nvSpPr>
      <cdr:spPr bwMode="auto">
        <a:xfrm xmlns:a="http://schemas.openxmlformats.org/drawingml/2006/main">
          <a:off x="3456244" y="2284798"/>
          <a:ext cx="621149" cy="364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16,504</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0.13215</cdr:x>
      <cdr:y>0.84569</cdr:y>
    </cdr:from>
    <cdr:to>
      <cdr:x>0.2234</cdr:x>
      <cdr:y>0.86845</cdr:y>
    </cdr:to>
    <cdr:sp macro="" textlink="">
      <cdr:nvSpPr>
        <cdr:cNvPr id="19" name="Text Box 7"/>
        <cdr:cNvSpPr txBox="1">
          <a:spLocks xmlns:a="http://schemas.openxmlformats.org/drawingml/2006/main" noChangeArrowheads="1"/>
        </cdr:cNvSpPr>
      </cdr:nvSpPr>
      <cdr:spPr bwMode="auto">
        <a:xfrm xmlns:a="http://schemas.openxmlformats.org/drawingml/2006/main">
          <a:off x="887413" y="8337174"/>
          <a:ext cx="612755" cy="224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0.20488</cdr:x>
      <cdr:y>0.84556</cdr:y>
    </cdr:from>
    <cdr:to>
      <cdr:x>0.33909</cdr:x>
      <cdr:y>0.86786</cdr:y>
    </cdr:to>
    <cdr:sp macro="" textlink="">
      <cdr:nvSpPr>
        <cdr:cNvPr id="20" name="Text Box 7"/>
        <cdr:cNvSpPr txBox="1">
          <a:spLocks xmlns:a="http://schemas.openxmlformats.org/drawingml/2006/main" noChangeArrowheads="1"/>
        </cdr:cNvSpPr>
      </cdr:nvSpPr>
      <cdr:spPr bwMode="auto">
        <a:xfrm xmlns:a="http://schemas.openxmlformats.org/drawingml/2006/main">
          <a:off x="1375790" y="8335879"/>
          <a:ext cx="901237" cy="219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0.70973</cdr:x>
      <cdr:y>0.24224</cdr:y>
    </cdr:from>
    <cdr:to>
      <cdr:x>0.80223</cdr:x>
      <cdr:y>0.27924</cdr:y>
    </cdr:to>
    <cdr:sp macro="" textlink="">
      <cdr:nvSpPr>
        <cdr:cNvPr id="27" name="Text Box 21"/>
        <cdr:cNvSpPr txBox="1">
          <a:spLocks xmlns:a="http://schemas.openxmlformats.org/drawingml/2006/main" noChangeArrowheads="1"/>
        </cdr:cNvSpPr>
      </cdr:nvSpPr>
      <cdr:spPr bwMode="auto">
        <a:xfrm xmlns:a="http://schemas.openxmlformats.org/drawingml/2006/main">
          <a:off x="4765948" y="2388096"/>
          <a:ext cx="621149" cy="364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16,301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0.12503</cdr:x>
      <cdr:y>0.95259</cdr:y>
    </cdr:from>
    <cdr:to>
      <cdr:x>0.95088</cdr:x>
      <cdr:y>0.97452</cdr:y>
    </cdr:to>
    <cdr:sp macro="" textlink="">
      <cdr:nvSpPr>
        <cdr:cNvPr id="22" name="Text Box 1"/>
        <cdr:cNvSpPr txBox="1">
          <a:spLocks xmlns:a="http://schemas.openxmlformats.org/drawingml/2006/main" noChangeArrowheads="1"/>
        </cdr:cNvSpPr>
      </cdr:nvSpPr>
      <cdr:spPr bwMode="auto">
        <a:xfrm xmlns:a="http://schemas.openxmlformats.org/drawingml/2006/main">
          <a:off x="839610" y="9390946"/>
          <a:ext cx="5545686" cy="2162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27432"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　計数はそれぞれ四捨五入によっているので、端数において合計とは一致しないものがある。</a:t>
          </a:r>
        </a:p>
      </cdr:txBody>
    </cdr:sp>
  </cdr:relSizeAnchor>
  <cdr:relSizeAnchor xmlns:cdr="http://schemas.openxmlformats.org/drawingml/2006/chartDrawing">
    <cdr:from>
      <cdr:x>0.80517</cdr:x>
      <cdr:y>0.25515</cdr:y>
    </cdr:from>
    <cdr:to>
      <cdr:x>0.89767</cdr:x>
      <cdr:y>0.29215</cdr:y>
    </cdr:to>
    <cdr:sp macro="" textlink="">
      <cdr:nvSpPr>
        <cdr:cNvPr id="21" name="Text Box 21"/>
        <cdr:cNvSpPr txBox="1">
          <a:spLocks xmlns:a="http://schemas.openxmlformats.org/drawingml/2006/main" noChangeArrowheads="1"/>
        </cdr:cNvSpPr>
      </cdr:nvSpPr>
      <cdr:spPr bwMode="auto">
        <a:xfrm xmlns:a="http://schemas.openxmlformats.org/drawingml/2006/main">
          <a:off x="5406831" y="2515376"/>
          <a:ext cx="621149" cy="364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15,728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0.61344</cdr:x>
      <cdr:y>0.23777</cdr:y>
    </cdr:from>
    <cdr:to>
      <cdr:x>0.70594</cdr:x>
      <cdr:y>0.27477</cdr:y>
    </cdr:to>
    <cdr:sp macro="" textlink="">
      <cdr:nvSpPr>
        <cdr:cNvPr id="24" name="Text Box 21"/>
        <cdr:cNvSpPr txBox="1">
          <a:spLocks xmlns:a="http://schemas.openxmlformats.org/drawingml/2006/main" noChangeArrowheads="1"/>
        </cdr:cNvSpPr>
      </cdr:nvSpPr>
      <cdr:spPr bwMode="auto">
        <a:xfrm xmlns:a="http://schemas.openxmlformats.org/drawingml/2006/main">
          <a:off x="4119295" y="2344026"/>
          <a:ext cx="621149" cy="364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16,358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0.16446</cdr:x>
      <cdr:y>0.87122</cdr:y>
    </cdr:from>
    <cdr:to>
      <cdr:x>0.87634</cdr:x>
      <cdr:y>0.94469</cdr:y>
    </cdr:to>
    <mc:AlternateContent xmlns:mc="http://schemas.openxmlformats.org/markup-compatibility/2006" xmlns:a14="http://schemas.microsoft.com/office/drawing/2010/main">
      <mc:Choice Requires="a14">
        <cdr:pic>
          <cdr:nvPicPr>
            <cdr:cNvPr id="137217" name="Picture 1"/>
            <cdr:cNvPicPr>
              <a:picLocks xmlns:a="http://schemas.openxmlformats.org/drawingml/2006/main" noChangeAspect="1" noChangeArrowheads="1"/>
              <a:extLst xmlns:a="http://schemas.openxmlformats.org/drawingml/2006/main">
                <a:ext uri="{84589F7E-364E-4C9E-8A38-B11213B215E9}">
                  <a14:cameraTool cellRange="頁４データ!$B$64:$N$69" spid="_x0000_s137509"/>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1104901" y="8586043"/>
              <a:ext cx="4782598" cy="724078"/>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91</xdr:row>
          <xdr:rowOff>9525</xdr:rowOff>
        </xdr:from>
        <xdr:to>
          <xdr:col>13</xdr:col>
          <xdr:colOff>161925</xdr:colOff>
          <xdr:row>96</xdr:row>
          <xdr:rowOff>57150</xdr:rowOff>
        </xdr:to>
        <xdr:pic>
          <xdr:nvPicPr>
            <xdr:cNvPr id="150529" name="Picture 1"/>
            <xdr:cNvPicPr>
              <a:picLocks noChangeAspect="1" noChangeArrowheads="1"/>
              <a:extLst>
                <a:ext uri="{84589F7E-364E-4C9E-8A38-B11213B215E9}">
                  <a14:cameraTool cellRange="$B$64:$N$69" spid="_x0000_s150833"/>
                </a:ext>
              </a:extLst>
            </xdr:cNvPicPr>
          </xdr:nvPicPr>
          <xdr:blipFill>
            <a:blip xmlns:r="http://schemas.openxmlformats.org/officeDocument/2006/relationships" r:embed="rId1"/>
            <a:srcRect/>
            <a:stretch>
              <a:fillRect/>
            </a:stretch>
          </xdr:blipFill>
          <xdr:spPr bwMode="auto">
            <a:xfrm>
              <a:off x="1485900" y="15840075"/>
              <a:ext cx="5181600" cy="9048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14</xdr:col>
      <xdr:colOff>114300</xdr:colOff>
      <xdr:row>38</xdr:row>
      <xdr:rowOff>47625</xdr:rowOff>
    </xdr:from>
    <xdr:to>
      <xdr:col>14</xdr:col>
      <xdr:colOff>295275</xdr:colOff>
      <xdr:row>44</xdr:row>
      <xdr:rowOff>152400</xdr:rowOff>
    </xdr:to>
    <xdr:sp macro="" textlink="">
      <xdr:nvSpPr>
        <xdr:cNvPr id="2" name="右中かっこ 1"/>
        <xdr:cNvSpPr/>
      </xdr:nvSpPr>
      <xdr:spPr bwMode="auto">
        <a:xfrm>
          <a:off x="7334250" y="6734175"/>
          <a:ext cx="180975" cy="1133475"/>
        </a:xfrm>
        <a:prstGeom prst="rightBrac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381000</xdr:colOff>
      <xdr:row>40</xdr:row>
      <xdr:rowOff>86283</xdr:rowOff>
    </xdr:from>
    <xdr:ext cx="2047875" cy="370358"/>
    <xdr:sp macro="" textlink="">
      <xdr:nvSpPr>
        <xdr:cNvPr id="3" name="テキスト ボックス 2"/>
        <xdr:cNvSpPr txBox="1"/>
      </xdr:nvSpPr>
      <xdr:spPr bwMode="auto">
        <a:xfrm>
          <a:off x="7600950" y="7115733"/>
          <a:ext cx="2047875" cy="370358"/>
        </a:xfrm>
        <a:prstGeom prst="rect">
          <a:avLst/>
        </a:prstGeom>
        <a:noFill/>
        <a:ln w="9525">
          <a:noFill/>
          <a:miter lim="800000"/>
          <a:headEnd/>
          <a:tailEnd/>
        </a:ln>
      </xdr:spPr>
      <xdr:txBody>
        <a:bodyPr vertOverflow="clip" horzOverflow="clip" wrap="square" lIns="27432" tIns="18288" rIns="27432" bIns="18288" rtlCol="0" anchor="ctr" upright="1">
          <a:spAutoFit/>
        </a:bodyPr>
        <a:lstStyle/>
        <a:p>
          <a:pPr algn="l" rtl="0"/>
          <a:r>
            <a:rPr kumimoji="1" lang="ja-JP" altLang="en-US" sz="1000" b="1" i="0" u="none" strike="noStrike" baseline="0">
              <a:solidFill>
                <a:srgbClr val="000000"/>
              </a:solidFill>
              <a:latin typeface="ＭＳ Ｐゴシック"/>
              <a:ea typeface="ＭＳ Ｐゴシック"/>
            </a:rPr>
            <a:t>ピークのＨ８・</a:t>
          </a:r>
          <a:r>
            <a:rPr kumimoji="1" lang="en-US" altLang="ja-JP" sz="1000" b="1" i="0" u="none" strike="noStrike" baseline="0">
              <a:solidFill>
                <a:srgbClr val="000000"/>
              </a:solidFill>
              <a:latin typeface="ＭＳ Ｐゴシック"/>
              <a:ea typeface="ＭＳ Ｐゴシック"/>
            </a:rPr>
            <a:t>10</a:t>
          </a:r>
          <a:r>
            <a:rPr kumimoji="1" lang="ja-JP" altLang="en-US" sz="1000" b="1" i="0" u="none" strike="noStrike" baseline="0">
              <a:solidFill>
                <a:srgbClr val="000000"/>
              </a:solidFill>
              <a:latin typeface="ＭＳ Ｐゴシック"/>
              <a:ea typeface="ＭＳ Ｐゴシック"/>
            </a:rPr>
            <a:t>と以後５年ごと</a:t>
          </a:r>
          <a:endParaRPr kumimoji="1" lang="en-US" altLang="ja-JP" sz="1000" b="1" i="0" u="none" strike="noStrike" baseline="0">
            <a:solidFill>
              <a:srgbClr val="000000"/>
            </a:solidFill>
            <a:latin typeface="ＭＳ Ｐゴシック"/>
            <a:ea typeface="ＭＳ Ｐゴシック"/>
          </a:endParaRPr>
        </a:p>
        <a:p>
          <a:pPr algn="l" rtl="0"/>
          <a:r>
            <a:rPr kumimoji="1" lang="ja-JP" altLang="en-US" sz="1000" b="1" i="0" u="none" strike="noStrike" baseline="0">
              <a:solidFill>
                <a:srgbClr val="000000"/>
              </a:solidFill>
              <a:latin typeface="ＭＳ Ｐゴシック"/>
              <a:ea typeface="ＭＳ Ｐゴシック"/>
            </a:rPr>
            <a:t>プラス直近４年間</a:t>
          </a:r>
        </a:p>
      </xdr:txBody>
    </xdr:sp>
    <xdr:clientData/>
  </xdr:oneCellAnchor>
</xdr:wsDr>
</file>

<file path=xl/drawings/drawing5.xml><?xml version="1.0" encoding="utf-8"?>
<xdr:wsDr xmlns:xdr="http://schemas.openxmlformats.org/drawingml/2006/spreadsheetDrawing" xmlns:a="http://schemas.openxmlformats.org/drawingml/2006/main">
  <xdr:absoluteAnchor>
    <xdr:pos x="0" y="0"/>
    <xdr:ext cx="6738937" cy="10013156"/>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0.83819</cdr:x>
      <cdr:y>0.33281</cdr:y>
    </cdr:from>
    <cdr:to>
      <cdr:x>0.87515</cdr:x>
      <cdr:y>0.33517</cdr:y>
    </cdr:to>
    <cdr:sp macro="" textlink="">
      <cdr:nvSpPr>
        <cdr:cNvPr id="93186" name="Line 2"/>
        <cdr:cNvSpPr>
          <a:spLocks xmlns:a="http://schemas.openxmlformats.org/drawingml/2006/main" noChangeShapeType="1"/>
        </cdr:cNvSpPr>
      </cdr:nvSpPr>
      <cdr:spPr bwMode="auto">
        <a:xfrm xmlns:a="http://schemas.openxmlformats.org/drawingml/2006/main" flipH="1">
          <a:off x="5648509" y="3333750"/>
          <a:ext cx="249053" cy="2369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0.16613</cdr:x>
      <cdr:y>0.10804</cdr:y>
    </cdr:from>
    <cdr:to>
      <cdr:x>0.28213</cdr:x>
      <cdr:y>0.14779</cdr:y>
    </cdr:to>
    <cdr:sp macro="" textlink="">
      <cdr:nvSpPr>
        <cdr:cNvPr id="9319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0.83832</cdr:x>
      <cdr:y>0.49208</cdr:y>
    </cdr:from>
    <cdr:to>
      <cdr:x>0.87986</cdr:x>
      <cdr:y>0.52825</cdr:y>
    </cdr:to>
    <cdr:sp macro="" textlink="">
      <cdr:nvSpPr>
        <cdr:cNvPr id="93199" name="Line 15"/>
        <cdr:cNvSpPr>
          <a:spLocks xmlns:a="http://schemas.openxmlformats.org/drawingml/2006/main" noChangeShapeType="1"/>
        </cdr:cNvSpPr>
      </cdr:nvSpPr>
      <cdr:spPr bwMode="auto">
        <a:xfrm xmlns:a="http://schemas.openxmlformats.org/drawingml/2006/main" flipH="1">
          <a:off x="5649372" y="4929189"/>
          <a:ext cx="279941" cy="3623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0.48807</cdr:x>
      <cdr:y>0.60279</cdr:y>
    </cdr:from>
    <cdr:to>
      <cdr:x>0.52356</cdr:x>
      <cdr:y>0.62456</cdr:y>
    </cdr:to>
    <cdr:sp macro="" textlink="">
      <cdr:nvSpPr>
        <cdr:cNvPr id="114" name="Line 23"/>
        <cdr:cNvSpPr>
          <a:spLocks xmlns:a="http://schemas.openxmlformats.org/drawingml/2006/main" noChangeShapeType="1"/>
        </cdr:cNvSpPr>
      </cdr:nvSpPr>
      <cdr:spPr bwMode="auto">
        <a:xfrm xmlns:a="http://schemas.openxmlformats.org/drawingml/2006/main" flipV="1">
          <a:off x="3277460" y="6022909"/>
          <a:ext cx="238320" cy="21752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0.23732</cdr:x>
      <cdr:y>0.57019</cdr:y>
    </cdr:from>
    <cdr:to>
      <cdr:x>0.27185</cdr:x>
      <cdr:y>0.60417</cdr:y>
    </cdr:to>
    <cdr:sp macro="" textlink="">
      <cdr:nvSpPr>
        <cdr:cNvPr id="123" name="Line 8"/>
        <cdr:cNvSpPr>
          <a:spLocks xmlns:a="http://schemas.openxmlformats.org/drawingml/2006/main" noChangeShapeType="1"/>
        </cdr:cNvSpPr>
      </cdr:nvSpPr>
      <cdr:spPr bwMode="auto">
        <a:xfrm xmlns:a="http://schemas.openxmlformats.org/drawingml/2006/main" flipH="1" flipV="1">
          <a:off x="1593652" y="5697224"/>
          <a:ext cx="231873" cy="3395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0.58551</cdr:x>
      <cdr:y>0.60111</cdr:y>
    </cdr:from>
    <cdr:to>
      <cdr:x>0.61961</cdr:x>
      <cdr:y>0.62042</cdr:y>
    </cdr:to>
    <cdr:sp macro="" textlink="">
      <cdr:nvSpPr>
        <cdr:cNvPr id="126" name="Line 21"/>
        <cdr:cNvSpPr>
          <a:spLocks xmlns:a="http://schemas.openxmlformats.org/drawingml/2006/main" noChangeShapeType="1"/>
        </cdr:cNvSpPr>
      </cdr:nvSpPr>
      <cdr:spPr bwMode="auto">
        <a:xfrm xmlns:a="http://schemas.openxmlformats.org/drawingml/2006/main" flipV="1">
          <a:off x="3931782" y="6006123"/>
          <a:ext cx="228986" cy="1929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0.38501</cdr:x>
      <cdr:y>0.59221</cdr:y>
    </cdr:from>
    <cdr:to>
      <cdr:x>0.4242</cdr:x>
      <cdr:y>0.62407</cdr:y>
    </cdr:to>
    <cdr:sp macro="" textlink="">
      <cdr:nvSpPr>
        <cdr:cNvPr id="127" name="Line 23"/>
        <cdr:cNvSpPr>
          <a:spLocks xmlns:a="http://schemas.openxmlformats.org/drawingml/2006/main" noChangeShapeType="1"/>
        </cdr:cNvSpPr>
      </cdr:nvSpPr>
      <cdr:spPr bwMode="auto">
        <a:xfrm xmlns:a="http://schemas.openxmlformats.org/drawingml/2006/main" flipV="1">
          <a:off x="2585385" y="5917242"/>
          <a:ext cx="263166" cy="31833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25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8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0.83545</cdr:x>
      <cdr:y>0.56498</cdr:y>
    </cdr:from>
    <cdr:to>
      <cdr:x>0.87868</cdr:x>
      <cdr:y>0.5689</cdr:y>
    </cdr:to>
    <cdr:sp macro="" textlink="">
      <cdr:nvSpPr>
        <cdr:cNvPr id="178" name="Line 5"/>
        <cdr:cNvSpPr>
          <a:spLocks xmlns:a="http://schemas.openxmlformats.org/drawingml/2006/main" noChangeShapeType="1"/>
        </cdr:cNvSpPr>
      </cdr:nvSpPr>
      <cdr:spPr bwMode="auto">
        <a:xfrm xmlns:a="http://schemas.openxmlformats.org/drawingml/2006/main" flipH="1">
          <a:off x="5630020" y="5659438"/>
          <a:ext cx="291354" cy="3929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0.83714</cdr:x>
      <cdr:y>0.59785</cdr:y>
    </cdr:from>
    <cdr:to>
      <cdr:x>0.8775</cdr:x>
      <cdr:y>0.6355</cdr:y>
    </cdr:to>
    <cdr:sp macro="" textlink="">
      <cdr:nvSpPr>
        <cdr:cNvPr id="179" name="Line 6"/>
        <cdr:cNvSpPr>
          <a:spLocks xmlns:a="http://schemas.openxmlformats.org/drawingml/2006/main" noChangeShapeType="1"/>
        </cdr:cNvSpPr>
      </cdr:nvSpPr>
      <cdr:spPr bwMode="auto">
        <a:xfrm xmlns:a="http://schemas.openxmlformats.org/drawingml/2006/main" flipH="1" flipV="1">
          <a:off x="5641435" y="5988737"/>
          <a:ext cx="272003" cy="37713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0.83373</cdr:x>
      <cdr:y>0.71447</cdr:y>
    </cdr:from>
    <cdr:to>
      <cdr:x>0.88035</cdr:x>
      <cdr:y>0.71506</cdr:y>
    </cdr:to>
    <cdr:sp macro="" textlink="">
      <cdr:nvSpPr>
        <cdr:cNvPr id="180" name="Line 7"/>
        <cdr:cNvSpPr>
          <a:spLocks xmlns:a="http://schemas.openxmlformats.org/drawingml/2006/main" noChangeShapeType="1"/>
        </cdr:cNvSpPr>
      </cdr:nvSpPr>
      <cdr:spPr bwMode="auto">
        <a:xfrm xmlns:a="http://schemas.openxmlformats.org/drawingml/2006/main" flipH="1" flipV="1">
          <a:off x="5618484" y="7156967"/>
          <a:ext cx="314169" cy="59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0.84099</cdr:x>
      <cdr:y>0.41284</cdr:y>
    </cdr:from>
    <cdr:to>
      <cdr:x>0.87868</cdr:x>
      <cdr:y>0.44136</cdr:y>
    </cdr:to>
    <cdr:sp macro="" textlink="">
      <cdr:nvSpPr>
        <cdr:cNvPr id="182" name="Line 15"/>
        <cdr:cNvSpPr>
          <a:spLocks xmlns:a="http://schemas.openxmlformats.org/drawingml/2006/main" noChangeShapeType="1"/>
        </cdr:cNvSpPr>
      </cdr:nvSpPr>
      <cdr:spPr bwMode="auto">
        <a:xfrm xmlns:a="http://schemas.openxmlformats.org/drawingml/2006/main" flipH="1">
          <a:off x="5667375" y="4135439"/>
          <a:ext cx="254000" cy="2857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0.68172</cdr:x>
      <cdr:y>0.59682</cdr:y>
    </cdr:from>
    <cdr:to>
      <cdr:x>0.71749</cdr:x>
      <cdr:y>0.62374</cdr:y>
    </cdr:to>
    <cdr:sp macro="" textlink="">
      <cdr:nvSpPr>
        <cdr:cNvPr id="93303" name="Line 27"/>
        <cdr:cNvSpPr>
          <a:spLocks xmlns:a="http://schemas.openxmlformats.org/drawingml/2006/main" noChangeShapeType="1"/>
        </cdr:cNvSpPr>
      </cdr:nvSpPr>
      <cdr:spPr bwMode="auto">
        <a:xfrm xmlns:a="http://schemas.openxmlformats.org/drawingml/2006/main" flipV="1">
          <a:off x="4577844" y="5963258"/>
          <a:ext cx="240200" cy="26897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0.17402</cdr:x>
      <cdr:y>0.1125</cdr:y>
    </cdr:from>
    <cdr:to>
      <cdr:x>0.29002</cdr:x>
      <cdr:y>0.15225</cdr:y>
    </cdr:to>
    <cdr:sp macro="" textlink="">
      <cdr:nvSpPr>
        <cdr:cNvPr id="93308" name="Text Box 11"/>
        <cdr:cNvSpPr txBox="1">
          <a:spLocks xmlns:a="http://schemas.openxmlformats.org/drawingml/2006/main" noChangeArrowheads="1"/>
        </cdr:cNvSpPr>
      </cdr:nvSpPr>
      <cdr:spPr bwMode="auto">
        <a:xfrm xmlns:a="http://schemas.openxmlformats.org/drawingml/2006/main">
          <a:off x="1168575" y="1124046"/>
          <a:ext cx="778955" cy="397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19,856</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0.34271</cdr:x>
      <cdr:y>0.17593</cdr:y>
    </cdr:from>
    <cdr:to>
      <cdr:x>0.44471</cdr:x>
      <cdr:y>0.21721</cdr:y>
    </cdr:to>
    <cdr:sp macro="" textlink="">
      <cdr:nvSpPr>
        <cdr:cNvPr id="9331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0.75794</cdr:x>
      <cdr:y>0.24316</cdr:y>
    </cdr:from>
    <cdr:to>
      <cdr:x>0.86219</cdr:x>
      <cdr:y>0.28697</cdr:y>
    </cdr:to>
    <cdr:sp macro="" textlink="">
      <cdr:nvSpPr>
        <cdr:cNvPr id="93311" name="Text Box 14"/>
        <cdr:cNvSpPr txBox="1">
          <a:spLocks xmlns:a="http://schemas.openxmlformats.org/drawingml/2006/main" noChangeArrowheads="1"/>
        </cdr:cNvSpPr>
      </cdr:nvSpPr>
      <cdr:spPr bwMode="auto">
        <a:xfrm xmlns:a="http://schemas.openxmlformats.org/drawingml/2006/main">
          <a:off x="5095649" y="2428050"/>
          <a:ext cx="700880" cy="4374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15,748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0.48882</cdr:x>
      <cdr:y>0.04139</cdr:y>
    </cdr:from>
    <cdr:to>
      <cdr:x>0.86546</cdr:x>
      <cdr:y>0.07585</cdr:y>
    </cdr:to>
    <cdr:sp macro="" textlink="">
      <cdr:nvSpPr>
        <cdr:cNvPr id="9331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0.47075</cdr:x>
      <cdr:y>0.20407</cdr:y>
    </cdr:from>
    <cdr:to>
      <cdr:x>0.577</cdr:x>
      <cdr:y>0.24877</cdr:y>
    </cdr:to>
    <cdr:sp macro="" textlink="">
      <cdr:nvSpPr>
        <cdr:cNvPr id="93323" name="Text Box 19"/>
        <cdr:cNvSpPr txBox="1">
          <a:spLocks xmlns:a="http://schemas.openxmlformats.org/drawingml/2006/main" noChangeArrowheads="1"/>
        </cdr:cNvSpPr>
      </cdr:nvSpPr>
      <cdr:spPr bwMode="auto">
        <a:xfrm xmlns:a="http://schemas.openxmlformats.org/drawingml/2006/main">
          <a:off x="3164870" y="2037728"/>
          <a:ext cx="714326" cy="4463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16,758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0.08688</cdr:x>
      <cdr:y>0.15749</cdr:y>
    </cdr:from>
    <cdr:to>
      <cdr:x>0.18438</cdr:x>
      <cdr:y>0.19749</cdr:y>
    </cdr:to>
    <cdr:sp macro="" textlink="">
      <cdr:nvSpPr>
        <cdr:cNvPr id="93328" name="Text Box 10"/>
        <cdr:cNvSpPr txBox="1">
          <a:spLocks xmlns:a="http://schemas.openxmlformats.org/drawingml/2006/main" noChangeArrowheads="1"/>
        </cdr:cNvSpPr>
      </cdr:nvSpPr>
      <cdr:spPr bwMode="auto">
        <a:xfrm xmlns:a="http://schemas.openxmlformats.org/drawingml/2006/main">
          <a:off x="583405" y="1573559"/>
          <a:ext cx="654725" cy="3996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18,578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0.56561</cdr:x>
      <cdr:y>0.21684</cdr:y>
    </cdr:from>
    <cdr:to>
      <cdr:x>0.67186</cdr:x>
      <cdr:y>0.26384</cdr:y>
    </cdr:to>
    <cdr:sp macro="" textlink="">
      <cdr:nvSpPr>
        <cdr:cNvPr id="93334" name="Text Box 19"/>
        <cdr:cNvSpPr txBox="1">
          <a:spLocks xmlns:a="http://schemas.openxmlformats.org/drawingml/2006/main" noChangeArrowheads="1"/>
        </cdr:cNvSpPr>
      </cdr:nvSpPr>
      <cdr:spPr bwMode="auto">
        <a:xfrm xmlns:a="http://schemas.openxmlformats.org/drawingml/2006/main">
          <a:off x="3802634" y="2165237"/>
          <a:ext cx="714325" cy="4693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16,412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0.37496</cdr:x>
      <cdr:y>0.25808</cdr:y>
    </cdr:from>
    <cdr:to>
      <cdr:x>0.47696</cdr:x>
      <cdr:y>0.29936</cdr:y>
    </cdr:to>
    <cdr:sp macro="" textlink="">
      <cdr:nvSpPr>
        <cdr:cNvPr id="93341" name="Text Box 13"/>
        <cdr:cNvSpPr txBox="1">
          <a:spLocks xmlns:a="http://schemas.openxmlformats.org/drawingml/2006/main" noChangeArrowheads="1"/>
        </cdr:cNvSpPr>
      </cdr:nvSpPr>
      <cdr:spPr bwMode="auto">
        <a:xfrm xmlns:a="http://schemas.openxmlformats.org/drawingml/2006/main">
          <a:off x="2517903" y="2578635"/>
          <a:ext cx="684943" cy="4124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15,551</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11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3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0.08687</cdr:x>
      <cdr:y>0.83416</cdr:y>
    </cdr:from>
    <cdr:to>
      <cdr:x>0.17812</cdr:x>
      <cdr:y>0.85616</cdr:y>
    </cdr:to>
    <cdr:sp macro="" textlink="">
      <cdr:nvSpPr>
        <cdr:cNvPr id="39" name="Text Box 7"/>
        <cdr:cNvSpPr txBox="1">
          <a:spLocks xmlns:a="http://schemas.openxmlformats.org/drawingml/2006/main" noChangeArrowheads="1"/>
        </cdr:cNvSpPr>
      </cdr:nvSpPr>
      <cdr:spPr bwMode="auto">
        <a:xfrm xmlns:a="http://schemas.openxmlformats.org/drawingml/2006/main">
          <a:off x="583352" y="8334728"/>
          <a:ext cx="612755" cy="2198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0.16096</cdr:x>
      <cdr:y>0.83504</cdr:y>
    </cdr:from>
    <cdr:to>
      <cdr:x>0.29517</cdr:x>
      <cdr:y>0.85705</cdr:y>
    </cdr:to>
    <cdr:sp macro="" textlink="">
      <cdr:nvSpPr>
        <cdr:cNvPr id="40" name="Text Box 7"/>
        <cdr:cNvSpPr txBox="1">
          <a:spLocks xmlns:a="http://schemas.openxmlformats.org/drawingml/2006/main" noChangeArrowheads="1"/>
        </cdr:cNvSpPr>
      </cdr:nvSpPr>
      <cdr:spPr bwMode="auto">
        <a:xfrm xmlns:a="http://schemas.openxmlformats.org/drawingml/2006/main">
          <a:off x="1080876" y="8343521"/>
          <a:ext cx="901237" cy="2199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0.16613</cdr:x>
      <cdr:y>0.10804</cdr:y>
    </cdr:from>
    <cdr:to>
      <cdr:x>0.28213</cdr:x>
      <cdr:y>0.14779</cdr:y>
    </cdr:to>
    <cdr:sp macro="" textlink="">
      <cdr:nvSpPr>
        <cdr:cNvPr id="4"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2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2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3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6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7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7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8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8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0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0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1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1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12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6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6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7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8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8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18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18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19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8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4608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4609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609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46097"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9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11"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3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3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40"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4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4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5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6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6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7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7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27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8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8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9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9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0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04"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1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1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2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2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3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49"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51"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58"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6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36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37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8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8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9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9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02"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0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1"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3"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1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3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3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39"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4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4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4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5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5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62"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69"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7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476"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7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48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99"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06"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0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513"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1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2"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4"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2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3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3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4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4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550"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5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5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6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6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7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7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8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8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0.16613</cdr:x>
      <cdr:y>0.10804</cdr:y>
    </cdr:from>
    <cdr:to>
      <cdr:x>0.28213</cdr:x>
      <cdr:y>0.14779</cdr:y>
    </cdr:to>
    <cdr:sp macro="" textlink="">
      <cdr:nvSpPr>
        <cdr:cNvPr id="93587"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8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59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0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0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10"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6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62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0.14079</cdr:x>
      <cdr:y>0.55634</cdr:y>
    </cdr:from>
    <cdr:to>
      <cdr:x>0.17163</cdr:x>
      <cdr:y>0.5779</cdr:y>
    </cdr:to>
    <cdr:sp macro="" textlink="">
      <cdr:nvSpPr>
        <cdr:cNvPr id="93627" name="Line 8"/>
        <cdr:cNvSpPr>
          <a:spLocks xmlns:a="http://schemas.openxmlformats.org/drawingml/2006/main" noChangeShapeType="1"/>
        </cdr:cNvSpPr>
      </cdr:nvSpPr>
      <cdr:spPr bwMode="auto">
        <a:xfrm xmlns:a="http://schemas.openxmlformats.org/drawingml/2006/main" flipH="1" flipV="1">
          <a:off x="945417" y="5558816"/>
          <a:ext cx="207095" cy="21542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6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3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63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63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4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47"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0.66211</cdr:x>
      <cdr:y>0.22497</cdr:y>
    </cdr:from>
    <cdr:to>
      <cdr:x>0.76561</cdr:x>
      <cdr:y>0.27019</cdr:y>
    </cdr:to>
    <cdr:sp macro="" textlink="">
      <cdr:nvSpPr>
        <cdr:cNvPr id="93653" name="Text Box 18"/>
        <cdr:cNvSpPr txBox="1">
          <a:spLocks xmlns:a="http://schemas.openxmlformats.org/drawingml/2006/main" noChangeArrowheads="1"/>
        </cdr:cNvSpPr>
      </cdr:nvSpPr>
      <cdr:spPr bwMode="auto">
        <a:xfrm xmlns:a="http://schemas.openxmlformats.org/drawingml/2006/main">
          <a:off x="4451387" y="2246417"/>
          <a:ext cx="695837" cy="4515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16,320</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9365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5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0.27684</cdr:x>
      <cdr:y>0.2011</cdr:y>
    </cdr:from>
    <cdr:to>
      <cdr:x>0.37884</cdr:x>
      <cdr:y>0.24238</cdr:y>
    </cdr:to>
    <cdr:sp macro="" textlink="">
      <cdr:nvSpPr>
        <cdr:cNvPr id="465" name="Text Box 13"/>
        <cdr:cNvSpPr txBox="1">
          <a:spLocks xmlns:a="http://schemas.openxmlformats.org/drawingml/2006/main" noChangeArrowheads="1"/>
        </cdr:cNvSpPr>
      </cdr:nvSpPr>
      <cdr:spPr bwMode="auto">
        <a:xfrm xmlns:a="http://schemas.openxmlformats.org/drawingml/2006/main">
          <a:off x="1859002" y="2009290"/>
          <a:ext cx="684943" cy="4124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17,227</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0.77176</cdr:x>
      <cdr:y>0.59197</cdr:y>
    </cdr:from>
    <cdr:to>
      <cdr:x>0.81342</cdr:x>
      <cdr:y>0.62374</cdr:y>
    </cdr:to>
    <cdr:sp macro="" textlink="">
      <cdr:nvSpPr>
        <cdr:cNvPr id="466" name="Line 27"/>
        <cdr:cNvSpPr>
          <a:spLocks xmlns:a="http://schemas.openxmlformats.org/drawingml/2006/main" noChangeShapeType="1"/>
        </cdr:cNvSpPr>
      </cdr:nvSpPr>
      <cdr:spPr bwMode="auto">
        <a:xfrm xmlns:a="http://schemas.openxmlformats.org/drawingml/2006/main" flipV="1">
          <a:off x="5194717" y="5926666"/>
          <a:ext cx="280394" cy="31811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0.19075</cdr:x>
      <cdr:y>0.86044</cdr:y>
    </cdr:from>
    <cdr:to>
      <cdr:x>0.79796</cdr:x>
      <cdr:y>0.94279</cdr:y>
    </cdr:to>
    <mc:AlternateContent xmlns:mc="http://schemas.openxmlformats.org/markup-compatibility/2006" xmlns:a14="http://schemas.microsoft.com/office/drawing/2010/main">
      <mc:Choice Requires="a14">
        <cdr:pic>
          <cdr:nvPicPr>
            <cdr:cNvPr id="160769" name="Picture 1"/>
            <cdr:cNvPicPr>
              <a:picLocks xmlns:a="http://schemas.openxmlformats.org/drawingml/2006/main" noChangeAspect="1" noChangeArrowheads="1"/>
              <a:extLst xmlns:a="http://schemas.openxmlformats.org/drawingml/2006/main">
                <a:ext uri="{84589F7E-364E-4C9E-8A38-B11213B215E9}">
                  <a14:cameraTool cellRange="'頁6データ (2)'!$B$9:$O$14" spid="_x0000_s161049"/>
                </a:ext>
              </a:extLst>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1283928" y="8614611"/>
              <a:ext cx="4087120" cy="824433"/>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0.08215</cdr:x>
      <cdr:y>0.94885</cdr:y>
    </cdr:from>
    <cdr:to>
      <cdr:x>0.90702</cdr:x>
      <cdr:y>0.9705</cdr:y>
    </cdr:to>
    <cdr:sp macro="" textlink="">
      <cdr:nvSpPr>
        <cdr:cNvPr id="206" name="Text Box 1"/>
        <cdr:cNvSpPr txBox="1">
          <a:spLocks xmlns:a="http://schemas.openxmlformats.org/drawingml/2006/main" noChangeArrowheads="1"/>
        </cdr:cNvSpPr>
      </cdr:nvSpPr>
      <cdr:spPr bwMode="auto">
        <a:xfrm xmlns:a="http://schemas.openxmlformats.org/drawingml/2006/main">
          <a:off x="552299" y="9474598"/>
          <a:ext cx="5545686" cy="2161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　計数はそれぞれ四捨五入によっているので、端数において合計とは一致しないものがある。</a:t>
          </a:r>
        </a:p>
      </cdr:txBody>
    </cdr:sp>
  </cdr:relSizeAnchor>
</c:userShapes>
</file>

<file path=xl/drawings/drawing7.xml><?xml version="1.0" encoding="utf-8"?>
<xdr:wsDr xmlns:xdr="http://schemas.openxmlformats.org/drawingml/2006/spreadsheetDrawing" xmlns:a="http://schemas.openxmlformats.org/drawingml/2006/main">
  <xdr:twoCellAnchor>
    <xdr:from>
      <xdr:col>2</xdr:col>
      <xdr:colOff>48038</xdr:colOff>
      <xdr:row>44</xdr:row>
      <xdr:rowOff>124654</xdr:rowOff>
    </xdr:from>
    <xdr:to>
      <xdr:col>10</xdr:col>
      <xdr:colOff>0</xdr:colOff>
      <xdr:row>54</xdr:row>
      <xdr:rowOff>91110</xdr:rowOff>
    </xdr:to>
    <xdr:graphicFrame macro="">
      <xdr:nvGraphicFramePr>
        <xdr:cNvPr id="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310385</xdr:colOff>
      <xdr:row>44</xdr:row>
      <xdr:rowOff>94500</xdr:rowOff>
    </xdr:from>
    <xdr:ext cx="587790" cy="135165"/>
    <xdr:sp macro="" textlink="">
      <xdr:nvSpPr>
        <xdr:cNvPr id="3" name="Text Box 7"/>
        <xdr:cNvSpPr txBox="1">
          <a:spLocks noChangeArrowheads="1"/>
        </xdr:cNvSpPr>
      </xdr:nvSpPr>
      <xdr:spPr bwMode="auto">
        <a:xfrm>
          <a:off x="939035" y="8162175"/>
          <a:ext cx="587790" cy="135165"/>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700" b="0" i="0" u="none" strike="noStrike" baseline="0">
              <a:solidFill>
                <a:srgbClr val="000000"/>
              </a:solidFill>
              <a:latin typeface="ＭＳ Ｐゴシック"/>
              <a:ea typeface="ＭＳ Ｐゴシック"/>
            </a:rPr>
            <a:t> 収入のピーク </a:t>
          </a:r>
        </a:p>
      </xdr:txBody>
    </xdr:sp>
    <xdr:clientData/>
  </xdr:oneCellAnchor>
  <xdr:twoCellAnchor>
    <xdr:from>
      <xdr:col>7</xdr:col>
      <xdr:colOff>297792</xdr:colOff>
      <xdr:row>46</xdr:row>
      <xdr:rowOff>134815</xdr:rowOff>
    </xdr:from>
    <xdr:to>
      <xdr:col>7</xdr:col>
      <xdr:colOff>593481</xdr:colOff>
      <xdr:row>46</xdr:row>
      <xdr:rowOff>134815</xdr:rowOff>
    </xdr:to>
    <xdr:cxnSp macro="">
      <xdr:nvCxnSpPr>
        <xdr:cNvPr id="4" name="直線矢印コネクタ 4"/>
        <xdr:cNvCxnSpPr>
          <a:cxnSpLocks noChangeShapeType="1"/>
        </xdr:cNvCxnSpPr>
      </xdr:nvCxnSpPr>
      <xdr:spPr bwMode="auto">
        <a:xfrm rot="10800000">
          <a:off x="5993742" y="8783515"/>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306074</xdr:colOff>
      <xdr:row>48</xdr:row>
      <xdr:rowOff>21630</xdr:rowOff>
    </xdr:from>
    <xdr:to>
      <xdr:col>7</xdr:col>
      <xdr:colOff>601763</xdr:colOff>
      <xdr:row>48</xdr:row>
      <xdr:rowOff>21630</xdr:rowOff>
    </xdr:to>
    <xdr:cxnSp macro="">
      <xdr:nvCxnSpPr>
        <xdr:cNvPr id="5" name="直線矢印コネクタ 4"/>
        <xdr:cNvCxnSpPr>
          <a:cxnSpLocks noChangeShapeType="1"/>
        </xdr:cNvCxnSpPr>
      </xdr:nvCxnSpPr>
      <xdr:spPr bwMode="auto">
        <a:xfrm rot="10800000">
          <a:off x="6002024" y="9118005"/>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306075</xdr:colOff>
      <xdr:row>46</xdr:row>
      <xdr:rowOff>269852</xdr:rowOff>
    </xdr:from>
    <xdr:to>
      <xdr:col>7</xdr:col>
      <xdr:colOff>601764</xdr:colOff>
      <xdr:row>46</xdr:row>
      <xdr:rowOff>269852</xdr:rowOff>
    </xdr:to>
    <xdr:cxnSp macro="">
      <xdr:nvCxnSpPr>
        <xdr:cNvPr id="6" name="直線矢印コネクタ 4"/>
        <xdr:cNvCxnSpPr>
          <a:cxnSpLocks noChangeShapeType="1"/>
        </xdr:cNvCxnSpPr>
      </xdr:nvCxnSpPr>
      <xdr:spPr bwMode="auto">
        <a:xfrm rot="10800000">
          <a:off x="6002025" y="8918552"/>
          <a:ext cx="295689" cy="0"/>
        </a:xfrm>
        <a:prstGeom prst="straightConnector1">
          <a:avLst/>
        </a:prstGeom>
        <a:noFill/>
        <a:ln w="6350" algn="ctr">
          <a:solidFill>
            <a:srgbClr val="000000"/>
          </a:solidFill>
          <a:round/>
          <a:headEnd/>
          <a:tailEnd type="stealth" w="med" len="med"/>
        </a:ln>
      </xdr:spPr>
    </xdr:cxnSp>
    <xdr:clientData/>
  </xdr:twoCellAnchor>
  <xdr:twoCellAnchor>
    <xdr:from>
      <xdr:col>7</xdr:col>
      <xdr:colOff>314356</xdr:colOff>
      <xdr:row>49</xdr:row>
      <xdr:rowOff>156476</xdr:rowOff>
    </xdr:from>
    <xdr:to>
      <xdr:col>7</xdr:col>
      <xdr:colOff>610045</xdr:colOff>
      <xdr:row>49</xdr:row>
      <xdr:rowOff>156476</xdr:rowOff>
    </xdr:to>
    <xdr:cxnSp macro="">
      <xdr:nvCxnSpPr>
        <xdr:cNvPr id="7" name="直線矢印コネクタ 4"/>
        <xdr:cNvCxnSpPr>
          <a:cxnSpLocks noChangeShapeType="1"/>
        </xdr:cNvCxnSpPr>
      </xdr:nvCxnSpPr>
      <xdr:spPr bwMode="auto">
        <a:xfrm rot="10800000">
          <a:off x="6010306" y="9424301"/>
          <a:ext cx="295689" cy="0"/>
        </a:xfrm>
        <a:prstGeom prst="straightConnector1">
          <a:avLst/>
        </a:prstGeom>
        <a:noFill/>
        <a:ln w="6350" algn="ctr">
          <a:solidFill>
            <a:srgbClr val="000000"/>
          </a:solidFill>
          <a:round/>
          <a:headEnd/>
          <a:tailEnd type="stealth" w="med" len="med"/>
        </a:ln>
      </xdr:spPr>
    </xdr:cxnSp>
    <xdr:clientData/>
  </xdr:twoCellAnchor>
  <xdr:oneCellAnchor>
    <xdr:from>
      <xdr:col>7</xdr:col>
      <xdr:colOff>648559</xdr:colOff>
      <xdr:row>46</xdr:row>
      <xdr:rowOff>40806</xdr:rowOff>
    </xdr:from>
    <xdr:ext cx="542158" cy="151836"/>
    <xdr:sp macro="" textlink="">
      <xdr:nvSpPr>
        <xdr:cNvPr id="8" name="Text Box 7"/>
        <xdr:cNvSpPr txBox="1">
          <a:spLocks noChangeArrowheads="1"/>
        </xdr:cNvSpPr>
      </xdr:nvSpPr>
      <xdr:spPr bwMode="auto">
        <a:xfrm>
          <a:off x="6344509" y="8689506"/>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648560</xdr:colOff>
      <xdr:row>46</xdr:row>
      <xdr:rowOff>192410</xdr:rowOff>
    </xdr:from>
    <xdr:ext cx="550146" cy="151836"/>
    <xdr:sp macro="" textlink="">
      <xdr:nvSpPr>
        <xdr:cNvPr id="9" name="Text Box 7"/>
        <xdr:cNvSpPr txBox="1">
          <a:spLocks noChangeArrowheads="1"/>
        </xdr:cNvSpPr>
      </xdr:nvSpPr>
      <xdr:spPr bwMode="auto">
        <a:xfrm>
          <a:off x="6344510" y="8841110"/>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648560</xdr:colOff>
      <xdr:row>47</xdr:row>
      <xdr:rowOff>111082</xdr:rowOff>
    </xdr:from>
    <xdr:ext cx="550146" cy="151836"/>
    <xdr:sp macro="" textlink="">
      <xdr:nvSpPr>
        <xdr:cNvPr id="10" name="Text Box 7"/>
        <xdr:cNvSpPr txBox="1">
          <a:spLocks noChangeArrowheads="1"/>
        </xdr:cNvSpPr>
      </xdr:nvSpPr>
      <xdr:spPr bwMode="auto">
        <a:xfrm>
          <a:off x="6344510" y="903600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641520</xdr:colOff>
      <xdr:row>49</xdr:row>
      <xdr:rowOff>13593</xdr:rowOff>
    </xdr:from>
    <xdr:ext cx="550146" cy="285206"/>
    <xdr:sp macro="" textlink="">
      <xdr:nvSpPr>
        <xdr:cNvPr id="11" name="Text Box 7"/>
        <xdr:cNvSpPr txBox="1">
          <a:spLocks noChangeArrowheads="1"/>
        </xdr:cNvSpPr>
      </xdr:nvSpPr>
      <xdr:spPr bwMode="auto">
        <a:xfrm>
          <a:off x="6337470" y="9281418"/>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mc:AlternateContent xmlns:mc="http://schemas.openxmlformats.org/markup-compatibility/2006">
    <mc:Choice xmlns:a14="http://schemas.microsoft.com/office/drawing/2010/main" Requires="a14">
      <xdr:twoCellAnchor editAs="oneCell">
        <xdr:from>
          <xdr:col>3</xdr:col>
          <xdr:colOff>9525</xdr:colOff>
          <xdr:row>39</xdr:row>
          <xdr:rowOff>47625</xdr:rowOff>
        </xdr:from>
        <xdr:to>
          <xdr:col>5</xdr:col>
          <xdr:colOff>37272</xdr:colOff>
          <xdr:row>42</xdr:row>
          <xdr:rowOff>7040</xdr:rowOff>
        </xdr:to>
        <xdr:pic>
          <xdr:nvPicPr>
            <xdr:cNvPr id="12" name="Picture 2"/>
            <xdr:cNvPicPr>
              <a:picLocks noChangeAspect="1" noChangeArrowheads="1"/>
              <a:extLst>
                <a:ext uri="{84589F7E-364E-4C9E-8A38-B11213B215E9}">
                  <a14:cameraTool cellRange="'頁9データ（２）'!$B$3:$D$5" spid="_x0000_s187402"/>
                </a:ext>
              </a:extLst>
            </xdr:cNvPicPr>
          </xdr:nvPicPr>
          <xdr:blipFill>
            <a:blip xmlns:r="http://schemas.openxmlformats.org/officeDocument/2006/relationships" r:embed="rId2"/>
            <a:srcRect/>
            <a:stretch>
              <a:fillRect/>
            </a:stretch>
          </xdr:blipFill>
          <xdr:spPr bwMode="auto">
            <a:xfrm>
              <a:off x="630721" y="7120973"/>
              <a:ext cx="2562225" cy="5143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xdr:col>
      <xdr:colOff>952499</xdr:colOff>
      <xdr:row>44</xdr:row>
      <xdr:rowOff>157371</xdr:rowOff>
    </xdr:from>
    <xdr:to>
      <xdr:col>6</xdr:col>
      <xdr:colOff>1217544</xdr:colOff>
      <xdr:row>45</xdr:row>
      <xdr:rowOff>165653</xdr:rowOff>
    </xdr:to>
    <xdr:grpSp>
      <xdr:nvGrpSpPr>
        <xdr:cNvPr id="13" name="グループ化 12"/>
        <xdr:cNvGrpSpPr/>
      </xdr:nvGrpSpPr>
      <xdr:grpSpPr>
        <a:xfrm>
          <a:off x="1573695" y="8133523"/>
          <a:ext cx="4066762" cy="314739"/>
          <a:chOff x="1323975" y="6657975"/>
          <a:chExt cx="4914900" cy="466727"/>
        </a:xfrm>
      </xdr:grpSpPr>
      <xdr:cxnSp macro="">
        <xdr:nvCxnSpPr>
          <xdr:cNvPr id="14" name="直線コネクタ 13"/>
          <xdr:cNvCxnSpPr/>
        </xdr:nvCxnSpPr>
        <xdr:spPr bwMode="auto">
          <a:xfrm flipH="1" flipV="1">
            <a:off x="6210300" y="6657975"/>
            <a:ext cx="1" cy="466727"/>
          </a:xfrm>
          <a:prstGeom prst="line">
            <a:avLst/>
          </a:prstGeom>
          <a:ln w="15875">
            <a:prstDash val="dash"/>
            <a:headEnd type="arrow" w="med" len="med"/>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bwMode="auto">
          <a:xfrm flipV="1">
            <a:off x="1323975" y="6657975"/>
            <a:ext cx="4914900" cy="9526"/>
          </a:xfrm>
          <a:prstGeom prst="line">
            <a:avLst/>
          </a:prstGeom>
          <a:ln w="15875">
            <a:prstDash val="dash"/>
            <a:headEnd type="none" w="med" len="med"/>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7</xdr:col>
      <xdr:colOff>66260</xdr:colOff>
      <xdr:row>44</xdr:row>
      <xdr:rowOff>173935</xdr:rowOff>
    </xdr:from>
    <xdr:ext cx="1000124" cy="225703"/>
    <xdr:sp macro="" textlink="">
      <xdr:nvSpPr>
        <xdr:cNvPr id="16" name="テキスト ボックス 15"/>
        <xdr:cNvSpPr txBox="1"/>
      </xdr:nvSpPr>
      <xdr:spPr>
        <a:xfrm>
          <a:off x="5762210" y="8241610"/>
          <a:ext cx="1000124" cy="22570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800" b="1"/>
            <a:t>△</a:t>
          </a:r>
          <a:r>
            <a:rPr kumimoji="1" lang="en-US" altLang="ja-JP" sz="800" b="1"/>
            <a:t>1,182</a:t>
          </a:r>
          <a:r>
            <a:rPr kumimoji="1" lang="ja-JP" altLang="en-US" sz="800" b="1"/>
            <a:t>億円の減</a:t>
          </a:r>
        </a:p>
      </xdr:txBody>
    </xdr:sp>
    <xdr:clientData/>
  </xdr:oneCellAnchor>
  <xdr:twoCellAnchor>
    <xdr:from>
      <xdr:col>1</xdr:col>
      <xdr:colOff>8287</xdr:colOff>
      <xdr:row>0</xdr:row>
      <xdr:rowOff>132522</xdr:rowOff>
    </xdr:from>
    <xdr:to>
      <xdr:col>6</xdr:col>
      <xdr:colOff>240614</xdr:colOff>
      <xdr:row>2</xdr:row>
      <xdr:rowOff>168551</xdr:rowOff>
    </xdr:to>
    <xdr:sp macro="" textlink="">
      <xdr:nvSpPr>
        <xdr:cNvPr id="17" name="AutoShape 14"/>
        <xdr:cNvSpPr>
          <a:spLocks noChangeArrowheads="1"/>
        </xdr:cNvSpPr>
      </xdr:nvSpPr>
      <xdr:spPr bwMode="auto">
        <a:xfrm>
          <a:off x="217837" y="132522"/>
          <a:ext cx="4451902" cy="474179"/>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22860" rIns="0" bIns="22860" anchor="ctr" upright="1"/>
        <a:lstStyle/>
        <a:p>
          <a:pPr algn="l" rtl="0">
            <a:defRPr sz="1000"/>
          </a:pP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参考</a:t>
          </a:r>
          <a:r>
            <a:rPr lang="en-US" altLang="ja-JP" sz="1600" b="0" i="0" u="none" strike="noStrike" baseline="0">
              <a:solidFill>
                <a:srgbClr val="000000"/>
              </a:solidFill>
              <a:latin typeface="HG創英角ﾎﾟｯﾌﾟ体"/>
              <a:ea typeface="HG創英角ﾎﾟｯﾌﾟ体"/>
            </a:rPr>
            <a:t>】</a:t>
          </a:r>
          <a:r>
            <a:rPr lang="ja-JP" altLang="en-US" sz="1600" b="0" i="0" u="none" strike="noStrike" baseline="0">
              <a:solidFill>
                <a:srgbClr val="000000"/>
              </a:solidFill>
              <a:latin typeface="HG創英角ﾎﾟｯﾌﾟ体"/>
              <a:ea typeface="HG創英角ﾎﾟｯﾌﾟ体"/>
            </a:rPr>
            <a:t>平成</a:t>
          </a:r>
          <a:r>
            <a:rPr lang="en-US" altLang="ja-JP" sz="1600" b="0" i="0" u="none" strike="noStrike" baseline="0">
              <a:solidFill>
                <a:srgbClr val="000000"/>
              </a:solidFill>
              <a:latin typeface="HG創英角ﾎﾟｯﾌﾟ体"/>
              <a:ea typeface="HG創英角ﾎﾟｯﾌﾟ体"/>
            </a:rPr>
            <a:t>28</a:t>
          </a:r>
          <a:r>
            <a:rPr lang="ja-JP" altLang="en-US" sz="1600" b="0" i="0" u="none" strike="noStrike" baseline="0">
              <a:solidFill>
                <a:srgbClr val="000000"/>
              </a:solidFill>
              <a:latin typeface="HG創英角ﾎﾟｯﾌﾟ体"/>
              <a:ea typeface="HG創英角ﾎﾟｯﾌﾟ体"/>
            </a:rPr>
            <a:t>年度　市税決算見込の状況</a:t>
          </a:r>
        </a:p>
      </xdr:txBody>
    </xdr:sp>
    <xdr:clientData/>
  </xdr:twoCellAnchor>
  <xdr:twoCellAnchor>
    <xdr:from>
      <xdr:col>5</xdr:col>
      <xdr:colOff>200025</xdr:colOff>
      <xdr:row>50</xdr:row>
      <xdr:rowOff>38100</xdr:rowOff>
    </xdr:from>
    <xdr:to>
      <xdr:col>5</xdr:col>
      <xdr:colOff>304799</xdr:colOff>
      <xdr:row>52</xdr:row>
      <xdr:rowOff>4935</xdr:rowOff>
    </xdr:to>
    <xdr:sp macro="" textlink="">
      <xdr:nvSpPr>
        <xdr:cNvPr id="18" name="フリーフォーム 17"/>
        <xdr:cNvSpPr/>
      </xdr:nvSpPr>
      <xdr:spPr bwMode="auto">
        <a:xfrm>
          <a:off x="3362325" y="9477375"/>
          <a:ext cx="104774" cy="309735"/>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5</xdr:col>
      <xdr:colOff>274569</xdr:colOff>
      <xdr:row>50</xdr:row>
      <xdr:rowOff>38100</xdr:rowOff>
    </xdr:from>
    <xdr:to>
      <xdr:col>5</xdr:col>
      <xdr:colOff>379343</xdr:colOff>
      <xdr:row>52</xdr:row>
      <xdr:rowOff>4935</xdr:rowOff>
    </xdr:to>
    <xdr:sp macro="" textlink="">
      <xdr:nvSpPr>
        <xdr:cNvPr id="19" name="フリーフォーム 18"/>
        <xdr:cNvSpPr/>
      </xdr:nvSpPr>
      <xdr:spPr bwMode="auto">
        <a:xfrm>
          <a:off x="3436869" y="9477375"/>
          <a:ext cx="104774" cy="309735"/>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155575</xdr:colOff>
      <xdr:row>0</xdr:row>
      <xdr:rowOff>95250</xdr:rowOff>
    </xdr:from>
    <xdr:to>
      <xdr:col>27</xdr:col>
      <xdr:colOff>107950</xdr:colOff>
      <xdr:row>32</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34017</xdr:rowOff>
    </xdr:from>
    <xdr:to>
      <xdr:col>31</xdr:col>
      <xdr:colOff>142874</xdr:colOff>
      <xdr:row>64</xdr:row>
      <xdr:rowOff>129267</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180975</xdr:colOff>
      <xdr:row>27</xdr:row>
      <xdr:rowOff>120650</xdr:rowOff>
    </xdr:from>
    <xdr:to>
      <xdr:col>26</xdr:col>
      <xdr:colOff>190500</xdr:colOff>
      <xdr:row>29</xdr:row>
      <xdr:rowOff>123825</xdr:rowOff>
    </xdr:to>
    <xdr:sp macro="" textlink="">
      <xdr:nvSpPr>
        <xdr:cNvPr id="4" name="AutoShape 5"/>
        <xdr:cNvSpPr>
          <a:spLocks noChangeArrowheads="1"/>
        </xdr:cNvSpPr>
      </xdr:nvSpPr>
      <xdr:spPr bwMode="auto">
        <a:xfrm>
          <a:off x="866775" y="4749800"/>
          <a:ext cx="5267325" cy="346075"/>
        </a:xfrm>
        <a:prstGeom prst="roundRect">
          <a:avLst>
            <a:gd name="adj" fmla="val 16667"/>
          </a:avLst>
        </a:prstGeom>
        <a:solidFill>
          <a:srgbClr val="FFFFFF"/>
        </a:solidFill>
        <a:ln w="9525" algn="ctr">
          <a:solidFill>
            <a:srgbClr val="000000"/>
          </a:solidFill>
          <a:round/>
          <a:headEnd/>
          <a:tailEnd/>
        </a:ln>
        <a:effectLst/>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HG丸ｺﾞｼｯｸM-PRO" pitchFamily="50" charset="-128"/>
              <a:ea typeface="HG丸ｺﾞｼｯｸM-PRO" pitchFamily="50" charset="-128"/>
            </a:rPr>
            <a:t>未　　収　　金　　の　　推　　移　</a:t>
          </a:r>
        </a:p>
      </xdr:txBody>
    </xdr:sp>
    <xdr:clientData/>
  </xdr:twoCellAnchor>
  <xdr:twoCellAnchor>
    <xdr:from>
      <xdr:col>21</xdr:col>
      <xdr:colOff>114300</xdr:colOff>
      <xdr:row>4</xdr:row>
      <xdr:rowOff>95250</xdr:rowOff>
    </xdr:from>
    <xdr:to>
      <xdr:col>27</xdr:col>
      <xdr:colOff>19050</xdr:colOff>
      <xdr:row>5</xdr:row>
      <xdr:rowOff>152400</xdr:rowOff>
    </xdr:to>
    <xdr:sp macro="" textlink="">
      <xdr:nvSpPr>
        <xdr:cNvPr id="5" name="AutoShape 9"/>
        <xdr:cNvSpPr>
          <a:spLocks noChangeArrowheads="1"/>
        </xdr:cNvSpPr>
      </xdr:nvSpPr>
      <xdr:spPr bwMode="auto">
        <a:xfrm>
          <a:off x="4914900" y="781050"/>
          <a:ext cx="1276350" cy="2286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現年課税分の収納率</a:t>
          </a:r>
        </a:p>
      </xdr:txBody>
    </xdr:sp>
    <xdr:clientData/>
  </xdr:twoCellAnchor>
  <xdr:twoCellAnchor>
    <xdr:from>
      <xdr:col>22</xdr:col>
      <xdr:colOff>19050</xdr:colOff>
      <xdr:row>10</xdr:row>
      <xdr:rowOff>95250</xdr:rowOff>
    </xdr:from>
    <xdr:to>
      <xdr:col>27</xdr:col>
      <xdr:colOff>38100</xdr:colOff>
      <xdr:row>11</xdr:row>
      <xdr:rowOff>123825</xdr:rowOff>
    </xdr:to>
    <xdr:sp macro="" textlink="">
      <xdr:nvSpPr>
        <xdr:cNvPr id="6" name="AutoShape 10"/>
        <xdr:cNvSpPr>
          <a:spLocks noChangeArrowheads="1"/>
        </xdr:cNvSpPr>
      </xdr:nvSpPr>
      <xdr:spPr bwMode="auto">
        <a:xfrm>
          <a:off x="5048250" y="1809750"/>
          <a:ext cx="1162050" cy="200025"/>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HG丸ｺﾞｼｯｸM-PRO" pitchFamily="50" charset="-128"/>
              <a:ea typeface="HG丸ｺﾞｼｯｸM-PRO" pitchFamily="50" charset="-128"/>
            </a:rPr>
            <a:t>市税総計の収納率</a:t>
          </a:r>
        </a:p>
      </xdr:txBody>
    </xdr:sp>
    <xdr:clientData/>
  </xdr:twoCellAnchor>
  <xdr:twoCellAnchor>
    <xdr:from>
      <xdr:col>14</xdr:col>
      <xdr:colOff>21932</xdr:colOff>
      <xdr:row>64</xdr:row>
      <xdr:rowOff>19050</xdr:rowOff>
    </xdr:from>
    <xdr:to>
      <xdr:col>17</xdr:col>
      <xdr:colOff>80843</xdr:colOff>
      <xdr:row>65</xdr:row>
      <xdr:rowOff>114299</xdr:rowOff>
    </xdr:to>
    <xdr:sp macro="" textlink="">
      <xdr:nvSpPr>
        <xdr:cNvPr id="7" name="Rectangle 17"/>
        <xdr:cNvSpPr>
          <a:spLocks noChangeArrowheads="1"/>
        </xdr:cNvSpPr>
      </xdr:nvSpPr>
      <xdr:spPr bwMode="auto">
        <a:xfrm>
          <a:off x="3222332" y="10991850"/>
          <a:ext cx="744711" cy="266699"/>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HG丸ｺﾞｼｯｸM-PRO" pitchFamily="50" charset="-128"/>
              <a:ea typeface="HG丸ｺﾞｼｯｸM-PRO" pitchFamily="50" charset="-128"/>
            </a:rPr>
            <a:t>課税年度</a:t>
          </a:r>
        </a:p>
      </xdr:txBody>
    </xdr:sp>
    <xdr:clientData/>
  </xdr:twoCellAnchor>
  <xdr:twoCellAnchor>
    <xdr:from>
      <xdr:col>28</xdr:col>
      <xdr:colOff>127001</xdr:colOff>
      <xdr:row>15</xdr:row>
      <xdr:rowOff>60326</xdr:rowOff>
    </xdr:from>
    <xdr:to>
      <xdr:col>30</xdr:col>
      <xdr:colOff>168276</xdr:colOff>
      <xdr:row>27</xdr:row>
      <xdr:rowOff>63504</xdr:rowOff>
    </xdr:to>
    <xdr:grpSp>
      <xdr:nvGrpSpPr>
        <xdr:cNvPr id="8" name="Group 24"/>
        <xdr:cNvGrpSpPr>
          <a:grpSpLocks/>
        </xdr:cNvGrpSpPr>
      </xdr:nvGrpSpPr>
      <xdr:grpSpPr bwMode="auto">
        <a:xfrm rot="5400000">
          <a:off x="5746750" y="3413127"/>
          <a:ext cx="2060578" cy="498475"/>
          <a:chOff x="581" y="572"/>
          <a:chExt cx="168" cy="56"/>
        </a:xfrm>
      </xdr:grpSpPr>
      <xdr:sp macro="" textlink="">
        <xdr:nvSpPr>
          <xdr:cNvPr id="9" name="Rectangle 25"/>
          <xdr:cNvSpPr>
            <a:spLocks noChangeArrowheads="1"/>
          </xdr:cNvSpPr>
        </xdr:nvSpPr>
        <xdr:spPr bwMode="auto">
          <a:xfrm>
            <a:off x="591" y="603"/>
            <a:ext cx="20" cy="15"/>
          </a:xfrm>
          <a:prstGeom prst="rect">
            <a:avLst/>
          </a:prstGeom>
          <a:solidFill>
            <a:srgbClr val="FFC000"/>
          </a:solidFill>
          <a:ln w="9525" algn="ctr">
            <a:solidFill>
              <a:srgbClr val="000000"/>
            </a:solidFill>
            <a:miter lim="800000"/>
            <a:headEnd/>
            <a:tailEnd/>
          </a:ln>
        </xdr:spPr>
      </xdr:sp>
      <xdr:sp macro="" textlink="">
        <xdr:nvSpPr>
          <xdr:cNvPr id="10" name="Rectangle 26"/>
          <xdr:cNvSpPr>
            <a:spLocks noChangeArrowheads="1"/>
          </xdr:cNvSpPr>
        </xdr:nvSpPr>
        <xdr:spPr bwMode="auto">
          <a:xfrm>
            <a:off x="591" y="582"/>
            <a:ext cx="19" cy="15"/>
          </a:xfrm>
          <a:prstGeom prst="rect">
            <a:avLst/>
          </a:prstGeom>
          <a:solidFill>
            <a:srgbClr val="FFFFFF"/>
          </a:solidFill>
          <a:ln w="9525" algn="ctr">
            <a:solidFill>
              <a:srgbClr val="000000"/>
            </a:solidFill>
            <a:miter lim="800000"/>
            <a:headEnd/>
            <a:tailEnd/>
          </a:ln>
        </xdr:spPr>
      </xdr:sp>
      <xdr:sp macro="" textlink="">
        <xdr:nvSpPr>
          <xdr:cNvPr id="11" name="Text Box 27"/>
          <xdr:cNvSpPr txBox="1">
            <a:spLocks noChangeArrowheads="1"/>
          </xdr:cNvSpPr>
        </xdr:nvSpPr>
        <xdr:spPr bwMode="auto">
          <a:xfrm>
            <a:off x="615" y="602"/>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滞納繰越分の未収金</a:t>
            </a:r>
          </a:p>
        </xdr:txBody>
      </xdr:sp>
      <xdr:sp macro="" textlink="">
        <xdr:nvSpPr>
          <xdr:cNvPr id="12" name="Text Box 28"/>
          <xdr:cNvSpPr txBox="1">
            <a:spLocks noChangeArrowheads="1"/>
          </xdr:cNvSpPr>
        </xdr:nvSpPr>
        <xdr:spPr bwMode="auto">
          <a:xfrm>
            <a:off x="615" y="581"/>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HG丸ｺﾞｼｯｸM-PRO"/>
                <a:ea typeface="HG丸ｺﾞｼｯｸM-PRO"/>
              </a:rPr>
              <a:t>現年課税分の未収金</a:t>
            </a:r>
          </a:p>
        </xdr:txBody>
      </xdr:sp>
      <xdr:sp macro="" textlink="">
        <xdr:nvSpPr>
          <xdr:cNvPr id="13" name="Rectangle 29"/>
          <xdr:cNvSpPr>
            <a:spLocks noChangeArrowheads="1"/>
          </xdr:cNvSpPr>
        </xdr:nvSpPr>
        <xdr:spPr bwMode="auto">
          <a:xfrm>
            <a:off x="581" y="572"/>
            <a:ext cx="168" cy="56"/>
          </a:xfrm>
          <a:prstGeom prst="rect">
            <a:avLst/>
          </a:prstGeom>
          <a:noFill/>
          <a:ln w="9525" algn="ctr">
            <a:solidFill>
              <a:srgbClr val="000000"/>
            </a:solidFill>
            <a:miter lim="800000"/>
            <a:headEnd/>
            <a:tailEnd/>
          </a:ln>
        </xdr:spPr>
      </xdr:sp>
    </xdr:grpSp>
    <xdr:clientData/>
  </xdr:twoCellAnchor>
  <xdr:twoCellAnchor>
    <xdr:from>
      <xdr:col>7</xdr:col>
      <xdr:colOff>5158</xdr:colOff>
      <xdr:row>80</xdr:row>
      <xdr:rowOff>132293</xdr:rowOff>
    </xdr:from>
    <xdr:to>
      <xdr:col>7</xdr:col>
      <xdr:colOff>177651</xdr:colOff>
      <xdr:row>81</xdr:row>
      <xdr:rowOff>131253</xdr:rowOff>
    </xdr:to>
    <xdr:sp macro="" textlink="">
      <xdr:nvSpPr>
        <xdr:cNvPr id="15" name="Rectangle 17"/>
        <xdr:cNvSpPr>
          <a:spLocks noChangeArrowheads="1"/>
        </xdr:cNvSpPr>
      </xdr:nvSpPr>
      <xdr:spPr bwMode="auto">
        <a:xfrm>
          <a:off x="1605358" y="13848293"/>
          <a:ext cx="172493" cy="170410"/>
        </a:xfrm>
        <a:prstGeom prst="rect">
          <a:avLst/>
        </a:prstGeom>
        <a:solidFill>
          <a:srgbClr val="9999FF"/>
        </a:solidFill>
        <a:ln w="9525">
          <a:solidFill>
            <a:srgbClr val="000000"/>
          </a:solidFill>
          <a:miter lim="800000"/>
          <a:headEnd/>
          <a:tailEnd/>
        </a:ln>
      </xdr:spPr>
    </xdr:sp>
    <xdr:clientData/>
  </xdr:twoCellAnchor>
  <xdr:twoCellAnchor>
    <xdr:from>
      <xdr:col>7</xdr:col>
      <xdr:colOff>5158</xdr:colOff>
      <xdr:row>79</xdr:row>
      <xdr:rowOff>80080</xdr:rowOff>
    </xdr:from>
    <xdr:to>
      <xdr:col>7</xdr:col>
      <xdr:colOff>177651</xdr:colOff>
      <xdr:row>80</xdr:row>
      <xdr:rowOff>79040</xdr:rowOff>
    </xdr:to>
    <xdr:sp macro="" textlink="">
      <xdr:nvSpPr>
        <xdr:cNvPr id="16" name="Rectangle 18" descr="20%"/>
        <xdr:cNvSpPr>
          <a:spLocks noChangeArrowheads="1"/>
        </xdr:cNvSpPr>
      </xdr:nvSpPr>
      <xdr:spPr bwMode="auto">
        <a:xfrm>
          <a:off x="1605358" y="13624630"/>
          <a:ext cx="172493" cy="170410"/>
        </a:xfrm>
        <a:prstGeom prst="rect">
          <a:avLst/>
        </a:prstGeom>
        <a:pattFill prst="pct2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78</xdr:row>
      <xdr:rowOff>38517</xdr:rowOff>
    </xdr:from>
    <xdr:to>
      <xdr:col>7</xdr:col>
      <xdr:colOff>177651</xdr:colOff>
      <xdr:row>79</xdr:row>
      <xdr:rowOff>37477</xdr:rowOff>
    </xdr:to>
    <xdr:sp macro="" textlink="">
      <xdr:nvSpPr>
        <xdr:cNvPr id="17" name="Rectangle 19"/>
        <xdr:cNvSpPr>
          <a:spLocks noChangeArrowheads="1"/>
        </xdr:cNvSpPr>
      </xdr:nvSpPr>
      <xdr:spPr bwMode="auto">
        <a:xfrm>
          <a:off x="1605358" y="13411617"/>
          <a:ext cx="172493" cy="170410"/>
        </a:xfrm>
        <a:prstGeom prst="rect">
          <a:avLst/>
        </a:prstGeom>
        <a:solidFill>
          <a:srgbClr val="FFFF99"/>
        </a:solidFill>
        <a:ln w="9525">
          <a:solidFill>
            <a:srgbClr val="000000"/>
          </a:solidFill>
          <a:miter lim="800000"/>
          <a:headEnd/>
          <a:tailEnd/>
        </a:ln>
      </xdr:spPr>
    </xdr:sp>
    <xdr:clientData/>
  </xdr:twoCellAnchor>
  <xdr:twoCellAnchor>
    <xdr:from>
      <xdr:col>7</xdr:col>
      <xdr:colOff>5158</xdr:colOff>
      <xdr:row>76</xdr:row>
      <xdr:rowOff>168404</xdr:rowOff>
    </xdr:from>
    <xdr:to>
      <xdr:col>7</xdr:col>
      <xdr:colOff>177651</xdr:colOff>
      <xdr:row>77</xdr:row>
      <xdr:rowOff>167364</xdr:rowOff>
    </xdr:to>
    <xdr:sp macro="" textlink="">
      <xdr:nvSpPr>
        <xdr:cNvPr id="18" name="Rectangle 20" descr="30%"/>
        <xdr:cNvSpPr>
          <a:spLocks noChangeArrowheads="1"/>
        </xdr:cNvSpPr>
      </xdr:nvSpPr>
      <xdr:spPr bwMode="auto">
        <a:xfrm>
          <a:off x="1605358" y="13198604"/>
          <a:ext cx="172493" cy="170410"/>
        </a:xfrm>
        <a:prstGeom prst="rect">
          <a:avLst/>
        </a:prstGeom>
        <a:pattFill prst="pct3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75</xdr:row>
      <xdr:rowOff>126841</xdr:rowOff>
    </xdr:from>
    <xdr:to>
      <xdr:col>7</xdr:col>
      <xdr:colOff>177651</xdr:colOff>
      <xdr:row>76</xdr:row>
      <xdr:rowOff>125801</xdr:rowOff>
    </xdr:to>
    <xdr:sp macro="" textlink="">
      <xdr:nvSpPr>
        <xdr:cNvPr id="19" name="Rectangle 21"/>
        <xdr:cNvSpPr>
          <a:spLocks noChangeArrowheads="1"/>
        </xdr:cNvSpPr>
      </xdr:nvSpPr>
      <xdr:spPr bwMode="auto">
        <a:xfrm>
          <a:off x="1605358" y="12985591"/>
          <a:ext cx="172493" cy="170410"/>
        </a:xfrm>
        <a:prstGeom prst="rect">
          <a:avLst/>
        </a:prstGeom>
        <a:solidFill>
          <a:srgbClr val="66FFCC"/>
        </a:solidFill>
        <a:ln w="9525">
          <a:solidFill>
            <a:srgbClr val="000000"/>
          </a:solidFill>
          <a:miter lim="800000"/>
          <a:headEnd/>
          <a:tailEnd/>
        </a:ln>
      </xdr:spPr>
    </xdr:sp>
    <xdr:clientData/>
  </xdr:twoCellAnchor>
  <xdr:twoCellAnchor>
    <xdr:from>
      <xdr:col>27</xdr:col>
      <xdr:colOff>95249</xdr:colOff>
      <xdr:row>49</xdr:row>
      <xdr:rowOff>68036</xdr:rowOff>
    </xdr:from>
    <xdr:to>
      <xdr:col>31</xdr:col>
      <xdr:colOff>118781</xdr:colOff>
      <xdr:row>56</xdr:row>
      <xdr:rowOff>50108</xdr:rowOff>
    </xdr:to>
    <xdr:grpSp>
      <xdr:nvGrpSpPr>
        <xdr:cNvPr id="20" name="Group 27"/>
        <xdr:cNvGrpSpPr>
          <a:grpSpLocks/>
        </xdr:cNvGrpSpPr>
      </xdr:nvGrpSpPr>
      <xdr:grpSpPr bwMode="auto">
        <a:xfrm>
          <a:off x="6267449" y="8469086"/>
          <a:ext cx="937932" cy="1182222"/>
          <a:chOff x="748" y="862"/>
          <a:chExt cx="87" cy="111"/>
        </a:xfrm>
      </xdr:grpSpPr>
      <xdr:sp macro="" textlink="">
        <xdr:nvSpPr>
          <xdr:cNvPr id="21" name="Rectangle 16"/>
          <xdr:cNvSpPr>
            <a:spLocks noChangeArrowheads="1"/>
          </xdr:cNvSpPr>
        </xdr:nvSpPr>
        <xdr:spPr bwMode="auto">
          <a:xfrm>
            <a:off x="748" y="862"/>
            <a:ext cx="82" cy="111"/>
          </a:xfrm>
          <a:prstGeom prst="rect">
            <a:avLst/>
          </a:prstGeom>
          <a:solidFill>
            <a:srgbClr val="FFFFFF"/>
          </a:solidFill>
          <a:ln w="9525">
            <a:solidFill>
              <a:srgbClr val="000000"/>
            </a:solidFill>
            <a:miter lim="800000"/>
            <a:headEnd/>
            <a:tailEnd/>
          </a:ln>
        </xdr:spPr>
      </xdr:sp>
      <xdr:sp macro="" textlink="">
        <xdr:nvSpPr>
          <xdr:cNvPr id="22" name="Rectangle 17"/>
          <xdr:cNvSpPr>
            <a:spLocks noChangeArrowheads="1"/>
          </xdr:cNvSpPr>
        </xdr:nvSpPr>
        <xdr:spPr bwMode="auto">
          <a:xfrm>
            <a:off x="753" y="949"/>
            <a:ext cx="16" cy="16"/>
          </a:xfrm>
          <a:prstGeom prst="rect">
            <a:avLst/>
          </a:prstGeom>
          <a:solidFill>
            <a:srgbClr val="9999FF"/>
          </a:solidFill>
          <a:ln w="9525">
            <a:solidFill>
              <a:srgbClr val="000000"/>
            </a:solidFill>
            <a:miter lim="800000"/>
            <a:headEnd/>
            <a:tailEnd/>
          </a:ln>
        </xdr:spPr>
      </xdr:sp>
      <xdr:sp macro="" textlink="">
        <xdr:nvSpPr>
          <xdr:cNvPr id="23" name="Rectangle 18" descr="20%"/>
          <xdr:cNvSpPr>
            <a:spLocks noChangeArrowheads="1"/>
          </xdr:cNvSpPr>
        </xdr:nvSpPr>
        <xdr:spPr bwMode="auto">
          <a:xfrm>
            <a:off x="753" y="928"/>
            <a:ext cx="16" cy="16"/>
          </a:xfrm>
          <a:prstGeom prst="rect">
            <a:avLst/>
          </a:prstGeom>
          <a:pattFill prst="pct20">
            <a:fgClr>
              <a:srgbClr val="000000"/>
            </a:fgClr>
            <a:bgClr>
              <a:srgbClr val="FFFFFF"/>
            </a:bgClr>
          </a:pattFill>
          <a:ln w="9525">
            <a:solidFill>
              <a:srgbClr val="000000"/>
            </a:solidFill>
            <a:miter lim="800000"/>
            <a:headEnd/>
            <a:tailEnd/>
          </a:ln>
        </xdr:spPr>
      </xdr:sp>
      <xdr:sp macro="" textlink="">
        <xdr:nvSpPr>
          <xdr:cNvPr id="24" name="Rectangle 19"/>
          <xdr:cNvSpPr>
            <a:spLocks noChangeArrowheads="1"/>
          </xdr:cNvSpPr>
        </xdr:nvSpPr>
        <xdr:spPr bwMode="auto">
          <a:xfrm>
            <a:off x="753" y="908"/>
            <a:ext cx="16" cy="16"/>
          </a:xfrm>
          <a:prstGeom prst="rect">
            <a:avLst/>
          </a:prstGeom>
          <a:solidFill>
            <a:srgbClr val="FFFF99"/>
          </a:solidFill>
          <a:ln w="9525">
            <a:solidFill>
              <a:srgbClr val="000000"/>
            </a:solidFill>
            <a:miter lim="800000"/>
            <a:headEnd/>
            <a:tailEnd/>
          </a:ln>
        </xdr:spPr>
      </xdr:sp>
      <xdr:sp macro="" textlink="">
        <xdr:nvSpPr>
          <xdr:cNvPr id="25" name="Rectangle 20" descr="30%"/>
          <xdr:cNvSpPr>
            <a:spLocks noChangeArrowheads="1"/>
          </xdr:cNvSpPr>
        </xdr:nvSpPr>
        <xdr:spPr bwMode="auto">
          <a:xfrm>
            <a:off x="753" y="888"/>
            <a:ext cx="16" cy="16"/>
          </a:xfrm>
          <a:prstGeom prst="rect">
            <a:avLst/>
          </a:prstGeom>
          <a:pattFill prst="pct30">
            <a:fgClr>
              <a:srgbClr val="000000"/>
            </a:fgClr>
            <a:bgClr>
              <a:srgbClr val="FFFFFF"/>
            </a:bgClr>
          </a:pattFill>
          <a:ln w="9525">
            <a:solidFill>
              <a:srgbClr val="000000"/>
            </a:solidFill>
            <a:miter lim="800000"/>
            <a:headEnd/>
            <a:tailEnd/>
          </a:ln>
        </xdr:spPr>
      </xdr:sp>
      <xdr:sp macro="" textlink="">
        <xdr:nvSpPr>
          <xdr:cNvPr id="26" name="Rectangle 21"/>
          <xdr:cNvSpPr>
            <a:spLocks noChangeArrowheads="1"/>
          </xdr:cNvSpPr>
        </xdr:nvSpPr>
        <xdr:spPr bwMode="auto">
          <a:xfrm>
            <a:off x="753" y="868"/>
            <a:ext cx="16" cy="16"/>
          </a:xfrm>
          <a:prstGeom prst="rect">
            <a:avLst/>
          </a:prstGeom>
          <a:solidFill>
            <a:srgbClr val="66FFCC"/>
          </a:solidFill>
          <a:ln w="9525">
            <a:solidFill>
              <a:srgbClr val="000000"/>
            </a:solidFill>
            <a:miter lim="800000"/>
            <a:headEnd/>
            <a:tailEnd/>
          </a:ln>
        </xdr:spPr>
      </xdr:sp>
      <xdr:sp macro="" textlink="">
        <xdr:nvSpPr>
          <xdr:cNvPr id="27" name="Text Box 22"/>
          <xdr:cNvSpPr txBox="1">
            <a:spLocks noChangeArrowheads="1"/>
          </xdr:cNvSpPr>
        </xdr:nvSpPr>
        <xdr:spPr bwMode="auto">
          <a:xfrm>
            <a:off x="771" y="86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4</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8" name="Text Box 23"/>
          <xdr:cNvSpPr txBox="1">
            <a:spLocks noChangeArrowheads="1"/>
          </xdr:cNvSpPr>
        </xdr:nvSpPr>
        <xdr:spPr bwMode="auto">
          <a:xfrm>
            <a:off x="771" y="88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3</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9" name="Text Box 24"/>
          <xdr:cNvSpPr txBox="1">
            <a:spLocks noChangeArrowheads="1"/>
          </xdr:cNvSpPr>
        </xdr:nvSpPr>
        <xdr:spPr bwMode="auto">
          <a:xfrm>
            <a:off x="771" y="90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2</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0" name="Text Box 25"/>
          <xdr:cNvSpPr txBox="1">
            <a:spLocks noChangeArrowheads="1"/>
          </xdr:cNvSpPr>
        </xdr:nvSpPr>
        <xdr:spPr bwMode="auto">
          <a:xfrm>
            <a:off x="771" y="92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1</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1" name="Text Box 26"/>
          <xdr:cNvSpPr txBox="1">
            <a:spLocks noChangeArrowheads="1"/>
          </xdr:cNvSpPr>
        </xdr:nvSpPr>
        <xdr:spPr bwMode="auto">
          <a:xfrm>
            <a:off x="771" y="949"/>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課税年度</a:t>
            </a:r>
          </a:p>
        </xdr:txBody>
      </xdr:sp>
    </xdr:grpSp>
    <xdr:clientData/>
  </xdr:twoCellAnchor>
</xdr:wsDr>
</file>

<file path=xl/drawings/drawing9.xml><?xml version="1.0" encoding="utf-8"?>
<c:userShapes xmlns:c="http://schemas.openxmlformats.org/drawingml/2006/chart">
  <cdr:relSizeAnchor xmlns:cdr="http://schemas.openxmlformats.org/drawingml/2006/chartDrawing">
    <cdr:from>
      <cdr:x>0.1502</cdr:x>
      <cdr:y>0.19817</cdr:y>
    </cdr:from>
    <cdr:to>
      <cdr:x>0.2332</cdr:x>
      <cdr:y>0.23953</cdr:y>
    </cdr:to>
    <cdr:sp macro="" textlink="">
      <cdr:nvSpPr>
        <cdr:cNvPr id="2" name="正方形/長方形 1"/>
        <cdr:cNvSpPr/>
      </cdr:nvSpPr>
      <cdr:spPr bwMode="auto">
        <a:xfrm xmlns:a="http://schemas.openxmlformats.org/drawingml/2006/main">
          <a:off x="1085850" y="1004208"/>
          <a:ext cx="600075" cy="209551"/>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pPr algn="ctr">
            <a:defRPr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en-US" alt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0.1</a:t>
          </a:r>
          <a:r>
            <a:rPr lang="ja-JP" altLang="en-US"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a:t>
          </a:r>
          <a:endParaRPr lang="ja-JP"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endParaRP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6010275" cy="8810625"/>
    <xdr:graphicFrame macro="">
      <xdr:nvGraphicFramePr>
        <xdr:cNvPr id="2" name="グラフ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0.91768</cdr:x>
      <cdr:y>0.27238</cdr:y>
    </cdr:from>
    <cdr:to>
      <cdr:x>0.97843</cdr:x>
      <cdr:y>0.29463</cdr:y>
    </cdr:to>
    <cdr:sp macro="" textlink="">
      <cdr:nvSpPr>
        <cdr:cNvPr id="21509" name="Text Box 5"/>
        <cdr:cNvSpPr txBox="1">
          <a:spLocks xmlns:a="http://schemas.openxmlformats.org/drawingml/2006/main" noChangeArrowheads="1"/>
        </cdr:cNvSpPr>
      </cdr:nvSpPr>
      <cdr:spPr bwMode="auto">
        <a:xfrm xmlns:a="http://schemas.openxmlformats.org/drawingml/2006/main">
          <a:off x="5515530" y="2392071"/>
          <a:ext cx="365124" cy="1954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249.2</a:t>
          </a:r>
        </a:p>
      </cdr:txBody>
    </cdr:sp>
  </cdr:relSizeAnchor>
  <cdr:relSizeAnchor xmlns:cdr="http://schemas.openxmlformats.org/drawingml/2006/chartDrawing">
    <cdr:from>
      <cdr:x>0.91436</cdr:x>
      <cdr:y>0.42364</cdr:y>
    </cdr:from>
    <cdr:to>
      <cdr:x>0.98336</cdr:x>
      <cdr:y>0.44239</cdr:y>
    </cdr:to>
    <cdr:sp macro="" textlink="">
      <cdr:nvSpPr>
        <cdr:cNvPr id="21511" name="Text Box 7"/>
        <cdr:cNvSpPr txBox="1">
          <a:spLocks xmlns:a="http://schemas.openxmlformats.org/drawingml/2006/main" noChangeArrowheads="1"/>
        </cdr:cNvSpPr>
      </cdr:nvSpPr>
      <cdr:spPr bwMode="auto">
        <a:xfrm xmlns:a="http://schemas.openxmlformats.org/drawingml/2006/main">
          <a:off x="5495552" y="3720450"/>
          <a:ext cx="414709" cy="16466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182.8</a:t>
          </a:r>
        </a:p>
      </cdr:txBody>
    </cdr:sp>
  </cdr:relSizeAnchor>
  <cdr:relSizeAnchor xmlns:cdr="http://schemas.openxmlformats.org/drawingml/2006/chartDrawing">
    <cdr:from>
      <cdr:x>0.91127</cdr:x>
      <cdr:y>0.70842</cdr:y>
    </cdr:from>
    <cdr:to>
      <cdr:x>0.97777</cdr:x>
      <cdr:y>0.72542</cdr:y>
    </cdr:to>
    <cdr:sp macro="" textlink="">
      <cdr:nvSpPr>
        <cdr:cNvPr id="21512" name="Text Box 8"/>
        <cdr:cNvSpPr txBox="1">
          <a:spLocks xmlns:a="http://schemas.openxmlformats.org/drawingml/2006/main" noChangeArrowheads="1"/>
        </cdr:cNvSpPr>
      </cdr:nvSpPr>
      <cdr:spPr bwMode="auto">
        <a:xfrm xmlns:a="http://schemas.openxmlformats.org/drawingml/2006/main">
          <a:off x="5476978" y="6221400"/>
          <a:ext cx="399683" cy="14929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84.8</a:t>
          </a:r>
        </a:p>
      </cdr:txBody>
    </cdr:sp>
  </cdr:relSizeAnchor>
  <cdr:relSizeAnchor xmlns:cdr="http://schemas.openxmlformats.org/drawingml/2006/chartDrawing">
    <cdr:from>
      <cdr:x>0.91134</cdr:x>
      <cdr:y>0.76651</cdr:y>
    </cdr:from>
    <cdr:to>
      <cdr:x>0.97659</cdr:x>
      <cdr:y>0.78426</cdr:y>
    </cdr:to>
    <cdr:sp macro="" textlink="">
      <cdr:nvSpPr>
        <cdr:cNvPr id="21513" name="Text Box 9"/>
        <cdr:cNvSpPr txBox="1">
          <a:spLocks xmlns:a="http://schemas.openxmlformats.org/drawingml/2006/main" noChangeArrowheads="1"/>
        </cdr:cNvSpPr>
      </cdr:nvSpPr>
      <cdr:spPr bwMode="auto">
        <a:xfrm xmlns:a="http://schemas.openxmlformats.org/drawingml/2006/main">
          <a:off x="5477380" y="6731571"/>
          <a:ext cx="392171" cy="1558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58.9</a:t>
          </a:r>
        </a:p>
      </cdr:txBody>
    </cdr:sp>
  </cdr:relSizeAnchor>
  <cdr:relSizeAnchor xmlns:cdr="http://schemas.openxmlformats.org/drawingml/2006/chartDrawing">
    <cdr:from>
      <cdr:x>0.89067</cdr:x>
      <cdr:y>0.84224</cdr:y>
    </cdr:from>
    <cdr:to>
      <cdr:x>0.95642</cdr:x>
      <cdr:y>0.86374</cdr:y>
    </cdr:to>
    <cdr:sp macro="" textlink="">
      <cdr:nvSpPr>
        <cdr:cNvPr id="21514" name="Text Box 10"/>
        <cdr:cNvSpPr txBox="1">
          <a:spLocks xmlns:a="http://schemas.openxmlformats.org/drawingml/2006/main" noChangeArrowheads="1"/>
        </cdr:cNvSpPr>
      </cdr:nvSpPr>
      <cdr:spPr bwMode="auto">
        <a:xfrm xmlns:a="http://schemas.openxmlformats.org/drawingml/2006/main">
          <a:off x="5353156" y="7396610"/>
          <a:ext cx="395175" cy="18881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54.6</a:t>
          </a:r>
        </a:p>
      </cdr:txBody>
    </cdr:sp>
  </cdr:relSizeAnchor>
  <cdr:relSizeAnchor xmlns:cdr="http://schemas.openxmlformats.org/drawingml/2006/chartDrawing">
    <cdr:from>
      <cdr:x>0.91126</cdr:x>
      <cdr:y>0.92191</cdr:y>
    </cdr:from>
    <cdr:to>
      <cdr:x>0.97226</cdr:x>
      <cdr:y>0.94272</cdr:y>
    </cdr:to>
    <cdr:sp macro="" textlink="">
      <cdr:nvSpPr>
        <cdr:cNvPr id="21515" name="Text Box 11"/>
        <cdr:cNvSpPr txBox="1">
          <a:spLocks xmlns:a="http://schemas.openxmlformats.org/drawingml/2006/main" noChangeArrowheads="1"/>
        </cdr:cNvSpPr>
      </cdr:nvSpPr>
      <cdr:spPr bwMode="auto">
        <a:xfrm xmlns:a="http://schemas.openxmlformats.org/drawingml/2006/main">
          <a:off x="5476947" y="8096250"/>
          <a:ext cx="366627" cy="18275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Ｐゴシック"/>
              <a:ea typeface="ＭＳ Ｐゴシック"/>
            </a:rPr>
            <a:t>20.4</a:t>
          </a:r>
        </a:p>
      </cdr:txBody>
    </cdr:sp>
  </cdr:relSizeAnchor>
  <cdr:relSizeAnchor xmlns:cdr="http://schemas.openxmlformats.org/drawingml/2006/chartDrawing">
    <cdr:from>
      <cdr:x>0.9065</cdr:x>
      <cdr:y>0.24819</cdr:y>
    </cdr:from>
    <cdr:to>
      <cdr:x>1</cdr:x>
      <cdr:y>0.27194</cdr:y>
    </cdr:to>
    <cdr:sp macro="" textlink="">
      <cdr:nvSpPr>
        <cdr:cNvPr id="21516" name="Text Box 12"/>
        <cdr:cNvSpPr txBox="1">
          <a:spLocks xmlns:a="http://schemas.openxmlformats.org/drawingml/2006/main" noChangeArrowheads="1"/>
        </cdr:cNvSpPr>
      </cdr:nvSpPr>
      <cdr:spPr bwMode="auto">
        <a:xfrm xmlns:a="http://schemas.openxmlformats.org/drawingml/2006/main">
          <a:off x="5448314" y="2179647"/>
          <a:ext cx="561961" cy="2085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扶助費</a:t>
          </a:r>
        </a:p>
      </cdr:txBody>
    </cdr:sp>
  </cdr:relSizeAnchor>
  <cdr:relSizeAnchor xmlns:cdr="http://schemas.openxmlformats.org/drawingml/2006/chartDrawing">
    <cdr:from>
      <cdr:x>0.9065</cdr:x>
      <cdr:y>0.40114</cdr:y>
    </cdr:from>
    <cdr:to>
      <cdr:x>0.99841</cdr:x>
      <cdr:y>0.42406</cdr:y>
    </cdr:to>
    <cdr:sp macro="" textlink="">
      <cdr:nvSpPr>
        <cdr:cNvPr id="21518" name="Text Box 14"/>
        <cdr:cNvSpPr txBox="1">
          <a:spLocks xmlns:a="http://schemas.openxmlformats.org/drawingml/2006/main" noChangeArrowheads="1"/>
        </cdr:cNvSpPr>
      </cdr:nvSpPr>
      <cdr:spPr bwMode="auto">
        <a:xfrm xmlns:a="http://schemas.openxmlformats.org/drawingml/2006/main">
          <a:off x="5448343" y="3522860"/>
          <a:ext cx="552404" cy="20128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公債費</a:t>
          </a:r>
        </a:p>
      </cdr:txBody>
    </cdr:sp>
  </cdr:relSizeAnchor>
  <cdr:relSizeAnchor xmlns:cdr="http://schemas.openxmlformats.org/drawingml/2006/chartDrawing">
    <cdr:from>
      <cdr:x>0.86371</cdr:x>
      <cdr:y>0.68442</cdr:y>
    </cdr:from>
    <cdr:to>
      <cdr:x>1</cdr:x>
      <cdr:y>0.70558</cdr:y>
    </cdr:to>
    <cdr:sp macro="" textlink="">
      <cdr:nvSpPr>
        <cdr:cNvPr id="21519" name="Text Box 15"/>
        <cdr:cNvSpPr txBox="1">
          <a:spLocks xmlns:a="http://schemas.openxmlformats.org/drawingml/2006/main" noChangeArrowheads="1"/>
        </cdr:cNvSpPr>
      </cdr:nvSpPr>
      <cdr:spPr bwMode="auto">
        <a:xfrm xmlns:a="http://schemas.openxmlformats.org/drawingml/2006/main">
          <a:off x="5191135" y="6010638"/>
          <a:ext cx="819140" cy="18582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地方税（市税）</a:t>
          </a:r>
        </a:p>
      </cdr:txBody>
    </cdr:sp>
  </cdr:relSizeAnchor>
  <cdr:relSizeAnchor xmlns:cdr="http://schemas.openxmlformats.org/drawingml/2006/chartDrawing">
    <cdr:from>
      <cdr:x>0.90026</cdr:x>
      <cdr:y>0.7475</cdr:y>
    </cdr:from>
    <cdr:to>
      <cdr:x>0.97901</cdr:x>
      <cdr:y>0.76975</cdr:y>
    </cdr:to>
    <cdr:sp macro="" textlink="">
      <cdr:nvSpPr>
        <cdr:cNvPr id="21520" name="Text Box 16"/>
        <cdr:cNvSpPr txBox="1">
          <a:spLocks xmlns:a="http://schemas.openxmlformats.org/drawingml/2006/main" noChangeArrowheads="1"/>
        </cdr:cNvSpPr>
      </cdr:nvSpPr>
      <cdr:spPr bwMode="auto">
        <a:xfrm xmlns:a="http://schemas.openxmlformats.org/drawingml/2006/main">
          <a:off x="5410781" y="6564577"/>
          <a:ext cx="473310" cy="19540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人件費</a:t>
          </a:r>
        </a:p>
      </cdr:txBody>
    </cdr:sp>
  </cdr:relSizeAnchor>
  <cdr:relSizeAnchor xmlns:cdr="http://schemas.openxmlformats.org/drawingml/2006/chartDrawing">
    <cdr:from>
      <cdr:x>0.8225</cdr:x>
      <cdr:y>0.80367</cdr:y>
    </cdr:from>
    <cdr:to>
      <cdr:x>1</cdr:x>
      <cdr:y>0.85139</cdr:y>
    </cdr:to>
    <cdr:sp macro="" textlink="">
      <cdr:nvSpPr>
        <cdr:cNvPr id="21522" name="Text Box 18"/>
        <cdr:cNvSpPr txBox="1">
          <a:spLocks xmlns:a="http://schemas.openxmlformats.org/drawingml/2006/main" noChangeArrowheads="1"/>
        </cdr:cNvSpPr>
      </cdr:nvSpPr>
      <cdr:spPr bwMode="auto">
        <a:xfrm xmlns:a="http://schemas.openxmlformats.org/drawingml/2006/main">
          <a:off x="4943451" y="7057872"/>
          <a:ext cx="1066824" cy="41907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固定資産税（土地）</a:t>
          </a:r>
        </a:p>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都市計画税（土地）</a:t>
          </a:r>
        </a:p>
      </cdr:txBody>
    </cdr:sp>
  </cdr:relSizeAnchor>
  <cdr:relSizeAnchor xmlns:cdr="http://schemas.openxmlformats.org/drawingml/2006/chartDrawing">
    <cdr:from>
      <cdr:x>0.87325</cdr:x>
      <cdr:y>0.90097</cdr:y>
    </cdr:from>
    <cdr:to>
      <cdr:x>1</cdr:x>
      <cdr:y>0.92147</cdr:y>
    </cdr:to>
    <cdr:sp macro="" textlink="">
      <cdr:nvSpPr>
        <cdr:cNvPr id="21523" name="Text Box 19"/>
        <cdr:cNvSpPr txBox="1">
          <a:spLocks xmlns:a="http://schemas.openxmlformats.org/drawingml/2006/main" noChangeArrowheads="1"/>
        </cdr:cNvSpPr>
      </cdr:nvSpPr>
      <cdr:spPr bwMode="auto">
        <a:xfrm xmlns:a="http://schemas.openxmlformats.org/drawingml/2006/main">
          <a:off x="5248473" y="7912351"/>
          <a:ext cx="761802" cy="18003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投資的経費</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7799" name="AutoShape 1"/>
        <xdr:cNvSpPr>
          <a:spLocks/>
        </xdr:cNvSpPr>
      </xdr:nvSpPr>
      <xdr:spPr bwMode="auto">
        <a:xfrm>
          <a:off x="1800225" y="1838325"/>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19050</xdr:colOff>
      <xdr:row>18</xdr:row>
      <xdr:rowOff>161926</xdr:rowOff>
    </xdr:from>
    <xdr:to>
      <xdr:col>7</xdr:col>
      <xdr:colOff>447675</xdr:colOff>
      <xdr:row>21</xdr:row>
      <xdr:rowOff>123825</xdr:rowOff>
    </xdr:to>
    <xdr:sp macro="" textlink="">
      <xdr:nvSpPr>
        <xdr:cNvPr id="7800" name="AutoShape 2"/>
        <xdr:cNvSpPr>
          <a:spLocks noChangeArrowheads="1"/>
        </xdr:cNvSpPr>
      </xdr:nvSpPr>
      <xdr:spPr bwMode="auto">
        <a:xfrm>
          <a:off x="2619375" y="3771901"/>
          <a:ext cx="2543175" cy="704849"/>
        </a:xfrm>
        <a:prstGeom prst="bracketPair">
          <a:avLst>
            <a:gd name="adj" fmla="val 16667"/>
          </a:avLst>
        </a:prstGeom>
        <a:noFill/>
        <a:ln w="9525">
          <a:solidFill>
            <a:srgbClr val="000000"/>
          </a:solidFill>
          <a:round/>
          <a:headEnd/>
          <a:tailEnd/>
        </a:ln>
      </xdr:spPr>
    </xdr:sp>
    <xdr:clientData/>
  </xdr:twoCellAnchor>
  <xdr:twoCellAnchor>
    <xdr:from>
      <xdr:col>4</xdr:col>
      <xdr:colOff>66675</xdr:colOff>
      <xdr:row>42</xdr:row>
      <xdr:rowOff>0</xdr:rowOff>
    </xdr:from>
    <xdr:to>
      <xdr:col>6</xdr:col>
      <xdr:colOff>666750</xdr:colOff>
      <xdr:row>42</xdr:row>
      <xdr:rowOff>0</xdr:rowOff>
    </xdr:to>
    <xdr:sp macro="" textlink="">
      <xdr:nvSpPr>
        <xdr:cNvPr id="7801" name="AutoShape 3"/>
        <xdr:cNvSpPr>
          <a:spLocks noChangeArrowheads="1"/>
        </xdr:cNvSpPr>
      </xdr:nvSpPr>
      <xdr:spPr bwMode="auto">
        <a:xfrm>
          <a:off x="2667000" y="9867900"/>
          <a:ext cx="2009775" cy="0"/>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ZR002C\OA-da0015$\Users\i4826688\AppData\Local\Temp\Temp15_&#19968;&#24335;.zip\09-1&#12288;&#21442;&#32771;&#28155;&#20184;&#65288;&#21454;&#32013;&#29575;&#25512;&#3122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2_&#27770;&#31639;&#12398;&#12362;&#12375;&#12372;&#12392;/03_&#27770;&#31639;&#32113;&#35336;/28&#24180;&#24230;/&#20107;&#21209;&#23616;&#20316;&#26989;/14.%20&#12503;&#12524;&#12473;&#36039;&#26009;/01%20&#12503;&#12524;&#12473;&#26412;&#20307;/&#31246;&#36001;&#25919;&#20225;&#30011;&#65319;&#12424;&#12426;/02%20&#24066;&#31246;&#12398;&#21454;&#32013;&#29366;&#27841;&#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新年度"/>
      <sheetName val="課税年度別収入歩合"/>
      <sheetName val="21①"/>
      <sheetName val="21②"/>
      <sheetName val="22①"/>
      <sheetName val="22②"/>
      <sheetName val="説明用"/>
      <sheetName val="ＢＤ"/>
      <sheetName val="収納率の推移"/>
    </sheetNames>
    <sheetDataSet>
      <sheetData sheetId="0" refreshError="1"/>
      <sheetData sheetId="1">
        <row r="82">
          <cell r="F82">
            <v>1E-3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用"/>
      <sheetName val="ＢＤ"/>
      <sheetName val="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row r="3">
          <cell r="C3" t="str">
            <v>24年度</v>
          </cell>
        </row>
      </sheetData>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I22"/>
  <sheetViews>
    <sheetView tabSelected="1" view="pageBreakPreview" zoomScale="60" zoomScaleNormal="100" workbookViewId="0">
      <selection activeCell="S16" sqref="S16"/>
    </sheetView>
  </sheetViews>
  <sheetFormatPr defaultRowHeight="13.5"/>
  <cols>
    <col min="1" max="1" width="9.140625" style="56"/>
    <col min="2" max="2" width="7.140625" style="56" customWidth="1"/>
    <col min="3" max="4" width="9.140625" style="56"/>
    <col min="5" max="5" width="17.140625" style="56" customWidth="1"/>
    <col min="6" max="7" width="9.140625" style="56"/>
    <col min="8" max="8" width="7.140625" style="56" customWidth="1"/>
    <col min="9" max="16384" width="9.140625" style="56"/>
  </cols>
  <sheetData>
    <row r="10" spans="1:9" ht="78" customHeight="1"/>
    <row r="11" spans="1:9" ht="25.5">
      <c r="A11" s="430" t="s">
        <v>271</v>
      </c>
      <c r="B11" s="430"/>
      <c r="C11" s="430"/>
      <c r="D11" s="430"/>
      <c r="E11" s="430"/>
      <c r="F11" s="430"/>
      <c r="G11" s="430"/>
      <c r="H11" s="430"/>
      <c r="I11" s="430"/>
    </row>
    <row r="12" spans="1:9" ht="25.5">
      <c r="A12" s="57"/>
      <c r="B12" s="57"/>
      <c r="C12" s="57"/>
      <c r="D12" s="57"/>
      <c r="E12" s="57"/>
      <c r="F12" s="57"/>
      <c r="G12" s="57"/>
      <c r="H12" s="57"/>
      <c r="I12" s="57"/>
    </row>
    <row r="13" spans="1:9" ht="25.5">
      <c r="B13" s="431" t="s">
        <v>148</v>
      </c>
      <c r="C13" s="431"/>
      <c r="D13" s="431"/>
      <c r="E13" s="431"/>
      <c r="F13" s="431"/>
      <c r="G13" s="431"/>
      <c r="H13" s="431"/>
      <c r="I13" s="57"/>
    </row>
    <row r="14" spans="1:9" ht="25.5">
      <c r="A14" s="57"/>
      <c r="B14" s="57"/>
      <c r="C14" s="57"/>
      <c r="D14" s="57"/>
      <c r="E14" s="57"/>
      <c r="F14" s="57"/>
      <c r="G14" s="57"/>
      <c r="H14" s="57"/>
      <c r="I14" s="57"/>
    </row>
    <row r="15" spans="1:9" ht="25.5">
      <c r="A15" s="57"/>
      <c r="B15" s="57"/>
      <c r="C15" s="57"/>
      <c r="D15" s="57"/>
      <c r="E15" s="57"/>
      <c r="F15" s="57"/>
      <c r="G15" s="57"/>
      <c r="H15" s="57"/>
      <c r="I15" s="57"/>
    </row>
    <row r="16" spans="1:9" ht="25.5">
      <c r="A16" s="57"/>
      <c r="B16" s="57"/>
      <c r="C16" s="57"/>
      <c r="D16" s="57"/>
      <c r="E16" s="57"/>
      <c r="F16" s="57"/>
      <c r="G16" s="57"/>
      <c r="H16" s="57"/>
      <c r="I16" s="57"/>
    </row>
    <row r="17" spans="1:9" ht="25.5">
      <c r="A17" s="57"/>
      <c r="B17" s="57"/>
      <c r="C17" s="57"/>
      <c r="D17" s="57"/>
      <c r="E17" s="57"/>
      <c r="F17" s="57"/>
      <c r="G17" s="57"/>
      <c r="H17" s="57"/>
      <c r="I17" s="57"/>
    </row>
    <row r="18" spans="1:9" ht="201" customHeight="1">
      <c r="A18" s="57"/>
      <c r="B18" s="57"/>
      <c r="C18" s="57"/>
      <c r="D18" s="57"/>
      <c r="E18" s="57"/>
      <c r="F18" s="57"/>
      <c r="G18" s="57"/>
      <c r="H18" s="57"/>
      <c r="I18" s="57"/>
    </row>
    <row r="19" spans="1:9" ht="25.5">
      <c r="A19" s="57"/>
      <c r="B19" s="57"/>
      <c r="C19" s="57"/>
      <c r="D19" s="57"/>
      <c r="E19" s="57"/>
      <c r="F19" s="57"/>
      <c r="G19" s="57"/>
      <c r="H19" s="57"/>
      <c r="I19" s="57"/>
    </row>
    <row r="20" spans="1:9" ht="25.5" customHeight="1">
      <c r="B20" s="57"/>
      <c r="D20" s="431" t="s">
        <v>272</v>
      </c>
      <c r="E20" s="431"/>
      <c r="F20" s="431"/>
      <c r="G20" s="58"/>
      <c r="H20" s="57"/>
      <c r="I20" s="57"/>
    </row>
    <row r="21" spans="1:9" ht="25.5">
      <c r="A21" s="57"/>
      <c r="B21" s="57"/>
      <c r="D21" s="430"/>
      <c r="E21" s="430"/>
      <c r="F21" s="430"/>
      <c r="G21" s="57"/>
      <c r="H21" s="57"/>
      <c r="I21" s="57"/>
    </row>
    <row r="22" spans="1:9" ht="25.5" customHeight="1">
      <c r="B22" s="57"/>
      <c r="D22" s="431" t="s">
        <v>149</v>
      </c>
      <c r="E22" s="431"/>
      <c r="F22" s="431"/>
      <c r="G22" s="58"/>
      <c r="H22" s="57"/>
      <c r="I22" s="57"/>
    </row>
  </sheetData>
  <mergeCells count="5">
    <mergeCell ref="A11:I11"/>
    <mergeCell ref="B13:H13"/>
    <mergeCell ref="D20:F20"/>
    <mergeCell ref="D21:F21"/>
    <mergeCell ref="D22:F22"/>
  </mergeCells>
  <phoneticPr fontId="1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S65"/>
  <sheetViews>
    <sheetView view="pageBreakPreview" zoomScaleNormal="100" zoomScaleSheetLayoutView="100" workbookViewId="0">
      <selection activeCell="C20" sqref="C20:H21"/>
    </sheetView>
  </sheetViews>
  <sheetFormatPr defaultColWidth="9.85546875" defaultRowHeight="12"/>
  <cols>
    <col min="1" max="1" width="2.140625" style="218" customWidth="1"/>
    <col min="2" max="4" width="1.7109375" style="218" customWidth="1"/>
    <col min="5" max="5" width="12.5703125" style="218" customWidth="1"/>
    <col min="6" max="6" width="13.5703125" style="218" customWidth="1"/>
    <col min="7" max="7" width="3.5703125" style="218" customWidth="1"/>
    <col min="8" max="8" width="10.140625" style="218" customWidth="1"/>
    <col min="9" max="9" width="13.5703125" style="218" customWidth="1"/>
    <col min="10" max="10" width="1.28515625" style="218" customWidth="1"/>
    <col min="11" max="12" width="1.7109375" style="219" customWidth="1"/>
    <col min="13" max="13" width="1.7109375" style="218" customWidth="1"/>
    <col min="14" max="14" width="12.5703125" style="218" customWidth="1"/>
    <col min="15" max="17" width="13.5703125" style="218" customWidth="1"/>
    <col min="18" max="18" width="1" style="55" customWidth="1"/>
    <col min="19" max="19" width="1.42578125" style="55" customWidth="1"/>
    <col min="20" max="16384" width="9.85546875" style="109"/>
  </cols>
  <sheetData>
    <row r="1" spans="1:19" ht="10.5" customHeight="1">
      <c r="H1" s="219"/>
      <c r="K1" s="218"/>
      <c r="L1" s="218"/>
      <c r="O1" s="506"/>
      <c r="P1" s="506"/>
      <c r="Q1" s="220"/>
      <c r="R1" s="110"/>
      <c r="S1" s="111"/>
    </row>
    <row r="2" spans="1:19" ht="19.5" customHeight="1">
      <c r="A2" s="219"/>
      <c r="B2" s="221" t="s">
        <v>275</v>
      </c>
      <c r="E2" s="219"/>
      <c r="H2" s="219"/>
      <c r="K2" s="218"/>
      <c r="L2" s="218"/>
      <c r="P2" s="222"/>
      <c r="Q2" s="219"/>
      <c r="R2" s="109"/>
      <c r="S2" s="109"/>
    </row>
    <row r="3" spans="1:19" ht="26.25" customHeight="1">
      <c r="A3" s="219"/>
      <c r="B3" s="223"/>
      <c r="C3" s="223"/>
      <c r="D3" s="223"/>
      <c r="E3" s="223"/>
      <c r="F3" s="223"/>
      <c r="G3" s="223"/>
      <c r="H3" s="224"/>
      <c r="I3" s="223"/>
      <c r="J3" s="223"/>
      <c r="K3" s="223"/>
      <c r="L3" s="223"/>
      <c r="M3" s="223"/>
      <c r="N3" s="223"/>
      <c r="O3" s="223"/>
      <c r="P3" s="224"/>
      <c r="Q3" s="225" t="s">
        <v>331</v>
      </c>
      <c r="R3" s="214"/>
      <c r="S3" s="109"/>
    </row>
    <row r="4" spans="1:19" ht="22.5" customHeight="1">
      <c r="B4" s="256"/>
      <c r="C4" s="257"/>
      <c r="D4" s="257"/>
      <c r="E4" s="258"/>
      <c r="F4" s="507" t="s">
        <v>276</v>
      </c>
      <c r="G4" s="507"/>
      <c r="H4" s="507"/>
      <c r="I4" s="508" t="s">
        <v>277</v>
      </c>
      <c r="J4" s="509"/>
      <c r="K4" s="259"/>
      <c r="L4" s="257"/>
      <c r="M4" s="257"/>
      <c r="N4" s="258"/>
      <c r="O4" s="507" t="s">
        <v>276</v>
      </c>
      <c r="P4" s="507"/>
      <c r="Q4" s="508" t="s">
        <v>277</v>
      </c>
      <c r="R4" s="510"/>
      <c r="S4" s="112"/>
    </row>
    <row r="5" spans="1:19" ht="22.5" customHeight="1">
      <c r="B5" s="260"/>
      <c r="C5" s="261"/>
      <c r="D5" s="261"/>
      <c r="E5" s="262"/>
      <c r="F5" s="252" t="s">
        <v>274</v>
      </c>
      <c r="G5" s="501" t="s">
        <v>246</v>
      </c>
      <c r="H5" s="502"/>
      <c r="I5" s="503" t="s">
        <v>138</v>
      </c>
      <c r="J5" s="504"/>
      <c r="K5" s="263"/>
      <c r="L5" s="261"/>
      <c r="M5" s="261"/>
      <c r="N5" s="262"/>
      <c r="O5" s="302" t="str">
        <f>F5</f>
        <v>28年度</v>
      </c>
      <c r="P5" s="302" t="str">
        <f>G5</f>
        <v>27年度</v>
      </c>
      <c r="Q5" s="503" t="s">
        <v>332</v>
      </c>
      <c r="R5" s="505"/>
      <c r="S5" s="112"/>
    </row>
    <row r="6" spans="1:19" ht="12" customHeight="1">
      <c r="A6" s="226"/>
      <c r="B6" s="460" t="s">
        <v>333</v>
      </c>
      <c r="C6" s="465"/>
      <c r="D6" s="465"/>
      <c r="E6" s="461"/>
      <c r="F6" s="436">
        <v>1574838</v>
      </c>
      <c r="G6" s="492">
        <v>1631983</v>
      </c>
      <c r="H6" s="493"/>
      <c r="I6" s="439">
        <f>((F6/G6)-1)*100</f>
        <v>-3.5015683374152839</v>
      </c>
      <c r="J6" s="264"/>
      <c r="K6" s="498" t="s">
        <v>334</v>
      </c>
      <c r="L6" s="465"/>
      <c r="M6" s="465"/>
      <c r="N6" s="461"/>
      <c r="O6" s="436">
        <v>1572848</v>
      </c>
      <c r="P6" s="436">
        <v>1630073</v>
      </c>
      <c r="Q6" s="439">
        <f>((O6/P6)-1)*100</f>
        <v>-3.5105789740704885</v>
      </c>
      <c r="R6" s="115"/>
      <c r="S6" s="112"/>
    </row>
    <row r="7" spans="1:19" ht="12" customHeight="1">
      <c r="A7" s="226"/>
      <c r="B7" s="462"/>
      <c r="C7" s="491"/>
      <c r="D7" s="491"/>
      <c r="E7" s="463"/>
      <c r="F7" s="487"/>
      <c r="G7" s="494"/>
      <c r="H7" s="495"/>
      <c r="I7" s="489"/>
      <c r="J7" s="265"/>
      <c r="K7" s="499"/>
      <c r="L7" s="491"/>
      <c r="M7" s="491"/>
      <c r="N7" s="463"/>
      <c r="O7" s="487"/>
      <c r="P7" s="487"/>
      <c r="Q7" s="489"/>
      <c r="R7" s="115"/>
      <c r="S7" s="112"/>
    </row>
    <row r="8" spans="1:19" ht="12" customHeight="1">
      <c r="A8" s="226" t="s">
        <v>0</v>
      </c>
      <c r="B8" s="462"/>
      <c r="C8" s="491"/>
      <c r="D8" s="491"/>
      <c r="E8" s="463"/>
      <c r="F8" s="487"/>
      <c r="G8" s="494"/>
      <c r="H8" s="495"/>
      <c r="I8" s="441">
        <f>F6-G6</f>
        <v>-57145</v>
      </c>
      <c r="J8" s="264"/>
      <c r="K8" s="499"/>
      <c r="L8" s="491"/>
      <c r="M8" s="491"/>
      <c r="N8" s="463"/>
      <c r="O8" s="487"/>
      <c r="P8" s="487"/>
      <c r="Q8" s="441">
        <f>O6-P6</f>
        <v>-57225</v>
      </c>
      <c r="R8" s="115"/>
      <c r="S8" s="112"/>
    </row>
    <row r="9" spans="1:19" ht="12" customHeight="1">
      <c r="A9" s="226"/>
      <c r="B9" s="466"/>
      <c r="C9" s="467"/>
      <c r="D9" s="467"/>
      <c r="E9" s="468"/>
      <c r="F9" s="488"/>
      <c r="G9" s="496"/>
      <c r="H9" s="497"/>
      <c r="I9" s="490"/>
      <c r="J9" s="266"/>
      <c r="K9" s="500"/>
      <c r="L9" s="467"/>
      <c r="M9" s="467"/>
      <c r="N9" s="468"/>
      <c r="O9" s="488"/>
      <c r="P9" s="488"/>
      <c r="Q9" s="490"/>
      <c r="R9" s="114"/>
      <c r="S9" s="112"/>
    </row>
    <row r="10" spans="1:19" ht="22.5" customHeight="1">
      <c r="B10" s="267"/>
      <c r="C10" s="460" t="s">
        <v>335</v>
      </c>
      <c r="D10" s="465"/>
      <c r="E10" s="461"/>
      <c r="F10" s="436">
        <v>659473</v>
      </c>
      <c r="G10" s="449">
        <v>660088</v>
      </c>
      <c r="H10" s="450"/>
      <c r="I10" s="304">
        <f>((F10/G10)-1)*100</f>
        <v>-9.3169395595738003E-2</v>
      </c>
      <c r="J10" s="268"/>
      <c r="K10" s="269"/>
      <c r="L10" s="460" t="s">
        <v>336</v>
      </c>
      <c r="M10" s="465"/>
      <c r="N10" s="461"/>
      <c r="O10" s="436">
        <v>1004165</v>
      </c>
      <c r="P10" s="436">
        <v>1010256</v>
      </c>
      <c r="Q10" s="304">
        <f>((O10/P10)-1)*100</f>
        <v>-0.60291648849400969</v>
      </c>
      <c r="R10" s="113"/>
      <c r="S10" s="112"/>
    </row>
    <row r="11" spans="1:19" ht="22.5" customHeight="1">
      <c r="B11" s="270"/>
      <c r="C11" s="466"/>
      <c r="D11" s="467"/>
      <c r="E11" s="468"/>
      <c r="F11" s="438"/>
      <c r="G11" s="453"/>
      <c r="H11" s="454"/>
      <c r="I11" s="308">
        <f>F10-G10</f>
        <v>-615</v>
      </c>
      <c r="J11" s="271"/>
      <c r="K11" s="272"/>
      <c r="L11" s="466"/>
      <c r="M11" s="467"/>
      <c r="N11" s="468"/>
      <c r="O11" s="438"/>
      <c r="P11" s="438"/>
      <c r="Q11" s="308">
        <f>O10-P10</f>
        <v>-6091</v>
      </c>
      <c r="R11" s="114"/>
      <c r="S11" s="112"/>
    </row>
    <row r="12" spans="1:19" ht="22.5" customHeight="1">
      <c r="B12" s="270"/>
      <c r="C12" s="481" t="s">
        <v>337</v>
      </c>
      <c r="D12" s="482"/>
      <c r="E12" s="483"/>
      <c r="F12" s="436">
        <v>86249</v>
      </c>
      <c r="G12" s="449">
        <v>96041</v>
      </c>
      <c r="H12" s="450"/>
      <c r="I12" s="304">
        <f>((F12/G12)-1)*100</f>
        <v>-10.195645609687531</v>
      </c>
      <c r="J12" s="268"/>
      <c r="K12" s="272"/>
      <c r="L12" s="267"/>
      <c r="M12" s="460" t="s">
        <v>338</v>
      </c>
      <c r="N12" s="461"/>
      <c r="O12" s="436">
        <v>196519</v>
      </c>
      <c r="P12" s="436">
        <v>203645</v>
      </c>
      <c r="Q12" s="304">
        <f>((O12/P12)-1)*100</f>
        <v>-3.4992265953006418</v>
      </c>
      <c r="R12" s="113"/>
      <c r="S12" s="112"/>
    </row>
    <row r="13" spans="1:19" ht="22.5" customHeight="1">
      <c r="B13" s="270"/>
      <c r="C13" s="484"/>
      <c r="D13" s="485"/>
      <c r="E13" s="486"/>
      <c r="F13" s="438"/>
      <c r="G13" s="453"/>
      <c r="H13" s="454"/>
      <c r="I13" s="308">
        <f>F12-G12</f>
        <v>-9792</v>
      </c>
      <c r="J13" s="271"/>
      <c r="K13" s="272"/>
      <c r="L13" s="270"/>
      <c r="M13" s="466"/>
      <c r="N13" s="468"/>
      <c r="O13" s="438"/>
      <c r="P13" s="438"/>
      <c r="Q13" s="308">
        <f>O12-P12</f>
        <v>-7126</v>
      </c>
      <c r="R13" s="114"/>
      <c r="S13" s="112"/>
    </row>
    <row r="14" spans="1:19" ht="22.5" customHeight="1">
      <c r="B14" s="270"/>
      <c r="C14" s="305"/>
      <c r="D14" s="473" t="s">
        <v>226</v>
      </c>
      <c r="E14" s="474"/>
      <c r="F14" s="436">
        <v>59598</v>
      </c>
      <c r="G14" s="477">
        <v>66273</v>
      </c>
      <c r="H14" s="478"/>
      <c r="I14" s="304">
        <f>((F14/G14)-1)*100</f>
        <v>-10.071975012448508</v>
      </c>
      <c r="J14" s="264"/>
      <c r="K14" s="272"/>
      <c r="L14" s="270"/>
      <c r="M14" s="460" t="s">
        <v>339</v>
      </c>
      <c r="N14" s="461"/>
      <c r="O14" s="469">
        <v>541685</v>
      </c>
      <c r="P14" s="469">
        <v>528188</v>
      </c>
      <c r="Q14" s="304">
        <f>((O14/P14)-1)*100</f>
        <v>2.5553401440396195</v>
      </c>
      <c r="R14" s="113"/>
      <c r="S14" s="112"/>
    </row>
    <row r="15" spans="1:19" ht="22.5" customHeight="1">
      <c r="B15" s="270"/>
      <c r="C15" s="305"/>
      <c r="D15" s="475"/>
      <c r="E15" s="476"/>
      <c r="F15" s="438"/>
      <c r="G15" s="479"/>
      <c r="H15" s="480"/>
      <c r="I15" s="308">
        <f>F14-G14</f>
        <v>-6675</v>
      </c>
      <c r="J15" s="264"/>
      <c r="K15" s="272"/>
      <c r="L15" s="270"/>
      <c r="M15" s="466"/>
      <c r="N15" s="468"/>
      <c r="O15" s="470"/>
      <c r="P15" s="470"/>
      <c r="Q15" s="308">
        <f>O14-P14</f>
        <v>13497</v>
      </c>
      <c r="R15" s="114"/>
      <c r="S15" s="112"/>
    </row>
    <row r="16" spans="1:19" ht="22.5" customHeight="1">
      <c r="B16" s="270"/>
      <c r="C16" s="460" t="s">
        <v>13</v>
      </c>
      <c r="D16" s="465"/>
      <c r="E16" s="461"/>
      <c r="F16" s="436">
        <v>32905</v>
      </c>
      <c r="G16" s="449">
        <v>41891</v>
      </c>
      <c r="H16" s="450"/>
      <c r="I16" s="304">
        <f>((F16/G16)-1)*100</f>
        <v>-21.45090830966079</v>
      </c>
      <c r="J16" s="268"/>
      <c r="K16" s="272"/>
      <c r="L16" s="270"/>
      <c r="M16" s="305"/>
      <c r="N16" s="471" t="s">
        <v>107</v>
      </c>
      <c r="O16" s="469">
        <v>286955</v>
      </c>
      <c r="P16" s="469">
        <v>290782</v>
      </c>
      <c r="Q16" s="304">
        <f>((O16/P16)-1)*100-0.1</f>
        <v>-1.4161062239065658</v>
      </c>
      <c r="R16" s="115"/>
      <c r="S16" s="112"/>
    </row>
    <row r="17" spans="2:19" ht="22.5" customHeight="1">
      <c r="B17" s="270"/>
      <c r="C17" s="466"/>
      <c r="D17" s="467"/>
      <c r="E17" s="468"/>
      <c r="F17" s="438"/>
      <c r="G17" s="453"/>
      <c r="H17" s="454"/>
      <c r="I17" s="308">
        <f>F16-G16</f>
        <v>-8986</v>
      </c>
      <c r="J17" s="271"/>
      <c r="K17" s="272"/>
      <c r="L17" s="270"/>
      <c r="M17" s="305"/>
      <c r="N17" s="472"/>
      <c r="O17" s="470"/>
      <c r="P17" s="470"/>
      <c r="Q17" s="308">
        <f>O16-P16</f>
        <v>-3827</v>
      </c>
      <c r="R17" s="115"/>
      <c r="S17" s="112"/>
    </row>
    <row r="18" spans="2:19" ht="22.5" customHeight="1">
      <c r="B18" s="270"/>
      <c r="C18" s="460" t="s">
        <v>14</v>
      </c>
      <c r="D18" s="465"/>
      <c r="E18" s="461"/>
      <c r="F18" s="436">
        <v>366554</v>
      </c>
      <c r="G18" s="449">
        <v>357597</v>
      </c>
      <c r="H18" s="450"/>
      <c r="I18" s="304">
        <f>((F18/G18)-1)*100</f>
        <v>2.5047749282012921</v>
      </c>
      <c r="J18" s="268"/>
      <c r="K18" s="272"/>
      <c r="L18" s="270"/>
      <c r="M18" s="305"/>
      <c r="N18" s="471" t="s">
        <v>199</v>
      </c>
      <c r="O18" s="469">
        <v>74571</v>
      </c>
      <c r="P18" s="469">
        <v>69543</v>
      </c>
      <c r="Q18" s="304">
        <f>((O18/P18)-1)*100</f>
        <v>7.230059100125108</v>
      </c>
      <c r="R18" s="113"/>
      <c r="S18" s="112"/>
    </row>
    <row r="19" spans="2:19" ht="22.5" customHeight="1">
      <c r="B19" s="270"/>
      <c r="C19" s="466"/>
      <c r="D19" s="467"/>
      <c r="E19" s="468"/>
      <c r="F19" s="438"/>
      <c r="G19" s="453"/>
      <c r="H19" s="454"/>
      <c r="I19" s="308">
        <f>F18-G18</f>
        <v>8957</v>
      </c>
      <c r="J19" s="271"/>
      <c r="K19" s="109"/>
      <c r="L19" s="273"/>
      <c r="M19" s="109"/>
      <c r="N19" s="472"/>
      <c r="O19" s="470"/>
      <c r="P19" s="470"/>
      <c r="Q19" s="308">
        <f>O18-P18</f>
        <v>5028</v>
      </c>
      <c r="R19" s="116"/>
      <c r="S19" s="112"/>
    </row>
    <row r="20" spans="2:19" ht="22.5" customHeight="1">
      <c r="B20" s="270"/>
      <c r="C20" s="460" t="s">
        <v>15</v>
      </c>
      <c r="D20" s="465"/>
      <c r="E20" s="461"/>
      <c r="F20" s="436">
        <v>91432</v>
      </c>
      <c r="G20" s="449">
        <v>101857</v>
      </c>
      <c r="H20" s="450"/>
      <c r="I20" s="304">
        <f>((F20/G20)-1)*100</f>
        <v>-10.234937215900718</v>
      </c>
      <c r="J20" s="268"/>
      <c r="K20" s="109"/>
      <c r="L20" s="305"/>
      <c r="M20" s="305"/>
      <c r="N20" s="471" t="s">
        <v>273</v>
      </c>
      <c r="O20" s="469">
        <v>57195</v>
      </c>
      <c r="P20" s="469">
        <v>53219</v>
      </c>
      <c r="Q20" s="304">
        <f>((O20/P20)-1)*100</f>
        <v>7.4710159905297058</v>
      </c>
      <c r="R20" s="113"/>
      <c r="S20" s="112"/>
    </row>
    <row r="21" spans="2:19" ht="22.5" customHeight="1">
      <c r="B21" s="270"/>
      <c r="C21" s="466"/>
      <c r="D21" s="467"/>
      <c r="E21" s="468"/>
      <c r="F21" s="438"/>
      <c r="G21" s="453"/>
      <c r="H21" s="454"/>
      <c r="I21" s="308">
        <f>F20-G20</f>
        <v>-10425</v>
      </c>
      <c r="J21" s="264"/>
      <c r="K21" s="109"/>
      <c r="L21" s="305"/>
      <c r="M21" s="274"/>
      <c r="N21" s="472"/>
      <c r="O21" s="470"/>
      <c r="P21" s="470"/>
      <c r="Q21" s="308">
        <f>O20-P20</f>
        <v>3976</v>
      </c>
      <c r="R21" s="116"/>
      <c r="S21" s="112"/>
    </row>
    <row r="22" spans="2:19" ht="22.5" customHeight="1">
      <c r="B22" s="270"/>
      <c r="C22" s="275"/>
      <c r="D22" s="456" t="s">
        <v>218</v>
      </c>
      <c r="E22" s="457"/>
      <c r="F22" s="436">
        <v>55459</v>
      </c>
      <c r="G22" s="449">
        <v>68397</v>
      </c>
      <c r="H22" s="450"/>
      <c r="I22" s="304">
        <f>((F22/G22)-1)*100</f>
        <v>-18.916034328991039</v>
      </c>
      <c r="J22" s="268"/>
      <c r="K22" s="109"/>
      <c r="L22" s="305"/>
      <c r="M22" s="460" t="s">
        <v>340</v>
      </c>
      <c r="N22" s="461"/>
      <c r="O22" s="436">
        <v>265961</v>
      </c>
      <c r="P22" s="436">
        <v>278423</v>
      </c>
      <c r="Q22" s="276">
        <f>((O22/P22)-1)*100</f>
        <v>-4.4759233252999913</v>
      </c>
      <c r="R22" s="113"/>
      <c r="S22" s="112"/>
    </row>
    <row r="23" spans="2:19" ht="22.5" customHeight="1">
      <c r="B23" s="270"/>
      <c r="C23" s="277"/>
      <c r="D23" s="458"/>
      <c r="E23" s="459"/>
      <c r="F23" s="438"/>
      <c r="G23" s="453"/>
      <c r="H23" s="454"/>
      <c r="I23" s="308">
        <f>F22-G22</f>
        <v>-12938</v>
      </c>
      <c r="J23" s="264"/>
      <c r="K23" s="307"/>
      <c r="L23" s="305"/>
      <c r="M23" s="462"/>
      <c r="N23" s="463"/>
      <c r="O23" s="437"/>
      <c r="P23" s="437"/>
      <c r="Q23" s="278">
        <f>O22-P22</f>
        <v>-12462</v>
      </c>
      <c r="R23" s="115"/>
      <c r="S23" s="112"/>
    </row>
    <row r="24" spans="2:19" ht="22.5" customHeight="1">
      <c r="B24" s="270"/>
      <c r="C24" s="464" t="s">
        <v>341</v>
      </c>
      <c r="D24" s="464"/>
      <c r="E24" s="464"/>
      <c r="F24" s="436">
        <v>338225</v>
      </c>
      <c r="G24" s="449">
        <v>374509</v>
      </c>
      <c r="H24" s="450"/>
      <c r="I24" s="304">
        <f>((F24/G24)-1)*100</f>
        <v>-9.6884187028883133</v>
      </c>
      <c r="J24" s="268"/>
      <c r="K24" s="307"/>
      <c r="L24" s="460" t="s">
        <v>342</v>
      </c>
      <c r="M24" s="465"/>
      <c r="N24" s="461"/>
      <c r="O24" s="436">
        <v>100112</v>
      </c>
      <c r="P24" s="436">
        <v>100879</v>
      </c>
      <c r="Q24" s="276">
        <f>((O24/P24)-1)*100</f>
        <v>-0.7603168151944395</v>
      </c>
      <c r="R24" s="113"/>
      <c r="S24" s="112"/>
    </row>
    <row r="25" spans="2:19" ht="22.5" customHeight="1">
      <c r="B25" s="270"/>
      <c r="C25" s="464"/>
      <c r="D25" s="464"/>
      <c r="E25" s="464"/>
      <c r="F25" s="438"/>
      <c r="G25" s="453"/>
      <c r="H25" s="454"/>
      <c r="I25" s="308">
        <f>F24-G24</f>
        <v>-36284</v>
      </c>
      <c r="J25" s="271"/>
      <c r="K25" s="306"/>
      <c r="L25" s="466"/>
      <c r="M25" s="467"/>
      <c r="N25" s="468"/>
      <c r="O25" s="438"/>
      <c r="P25" s="438"/>
      <c r="Q25" s="278">
        <f>O24-P24</f>
        <v>-767</v>
      </c>
      <c r="R25" s="114"/>
      <c r="S25" s="112"/>
    </row>
    <row r="26" spans="2:19" ht="12" customHeight="1">
      <c r="B26" s="270"/>
      <c r="C26" s="305"/>
      <c r="D26" s="443" t="s">
        <v>201</v>
      </c>
      <c r="E26" s="444"/>
      <c r="F26" s="436">
        <v>32578</v>
      </c>
      <c r="G26" s="449">
        <v>52058</v>
      </c>
      <c r="H26" s="450"/>
      <c r="I26" s="439">
        <f>((F26/G26)-1)*100</f>
        <v>-37.419800991202123</v>
      </c>
      <c r="J26" s="264"/>
      <c r="K26" s="306"/>
      <c r="L26" s="455" t="s">
        <v>343</v>
      </c>
      <c r="M26" s="455"/>
      <c r="N26" s="455"/>
      <c r="O26" s="436">
        <v>468571</v>
      </c>
      <c r="P26" s="436">
        <v>518938</v>
      </c>
      <c r="Q26" s="439">
        <f>((O26/P26)-1)*100</f>
        <v>-9.7057837352438998</v>
      </c>
      <c r="R26" s="115"/>
      <c r="S26" s="117"/>
    </row>
    <row r="27" spans="2:19" ht="12" customHeight="1">
      <c r="B27" s="270"/>
      <c r="C27" s="305"/>
      <c r="D27" s="445"/>
      <c r="E27" s="446"/>
      <c r="F27" s="437"/>
      <c r="G27" s="451"/>
      <c r="H27" s="452"/>
      <c r="I27" s="440"/>
      <c r="J27" s="264"/>
      <c r="K27" s="306"/>
      <c r="L27" s="455"/>
      <c r="M27" s="455"/>
      <c r="N27" s="455"/>
      <c r="O27" s="437"/>
      <c r="P27" s="437"/>
      <c r="Q27" s="440"/>
      <c r="R27" s="115"/>
      <c r="S27" s="117"/>
    </row>
    <row r="28" spans="2:19" ht="12" customHeight="1">
      <c r="B28" s="270"/>
      <c r="C28" s="305"/>
      <c r="D28" s="445"/>
      <c r="E28" s="446"/>
      <c r="F28" s="437"/>
      <c r="G28" s="451"/>
      <c r="H28" s="452"/>
      <c r="I28" s="441">
        <f>F26-G26</f>
        <v>-19480</v>
      </c>
      <c r="J28" s="264"/>
      <c r="K28" s="306"/>
      <c r="L28" s="455"/>
      <c r="M28" s="455"/>
      <c r="N28" s="455"/>
      <c r="O28" s="437"/>
      <c r="P28" s="437"/>
      <c r="Q28" s="441">
        <f>O26-P26</f>
        <v>-50367</v>
      </c>
      <c r="R28" s="115"/>
      <c r="S28" s="117"/>
    </row>
    <row r="29" spans="2:19" ht="12" customHeight="1">
      <c r="B29" s="270"/>
      <c r="C29" s="305"/>
      <c r="D29" s="447"/>
      <c r="E29" s="448"/>
      <c r="F29" s="438"/>
      <c r="G29" s="453"/>
      <c r="H29" s="454"/>
      <c r="I29" s="442"/>
      <c r="J29" s="271"/>
      <c r="K29" s="306"/>
      <c r="L29" s="455"/>
      <c r="M29" s="455"/>
      <c r="N29" s="455"/>
      <c r="O29" s="438"/>
      <c r="P29" s="438"/>
      <c r="Q29" s="442"/>
      <c r="R29" s="114"/>
      <c r="S29" s="117"/>
    </row>
    <row r="30" spans="2:19" ht="12" customHeight="1">
      <c r="B30" s="270"/>
      <c r="C30" s="305"/>
      <c r="D30" s="443" t="s">
        <v>231</v>
      </c>
      <c r="E30" s="444"/>
      <c r="F30" s="436">
        <v>15512</v>
      </c>
      <c r="G30" s="449">
        <v>17898</v>
      </c>
      <c r="H30" s="450"/>
      <c r="I30" s="439">
        <f>((F30/G30)-1)*100</f>
        <v>-13.331098446753831</v>
      </c>
      <c r="J30" s="264"/>
      <c r="K30" s="306"/>
      <c r="L30" s="279"/>
      <c r="M30" s="443" t="s">
        <v>232</v>
      </c>
      <c r="N30" s="444"/>
      <c r="O30" s="436">
        <v>127312</v>
      </c>
      <c r="P30" s="436">
        <v>153557</v>
      </c>
      <c r="Q30" s="439">
        <f>((O30/P30)-1)*100</f>
        <v>-17.091373235997054</v>
      </c>
      <c r="R30" s="115"/>
      <c r="S30" s="117"/>
    </row>
    <row r="31" spans="2:19" ht="12" customHeight="1">
      <c r="B31" s="270"/>
      <c r="C31" s="305"/>
      <c r="D31" s="445"/>
      <c r="E31" s="446"/>
      <c r="F31" s="437"/>
      <c r="G31" s="451"/>
      <c r="H31" s="452"/>
      <c r="I31" s="440"/>
      <c r="J31" s="264"/>
      <c r="K31" s="306"/>
      <c r="L31" s="280"/>
      <c r="M31" s="445"/>
      <c r="N31" s="446"/>
      <c r="O31" s="437"/>
      <c r="P31" s="437"/>
      <c r="Q31" s="440"/>
      <c r="R31" s="115"/>
      <c r="S31" s="117"/>
    </row>
    <row r="32" spans="2:19" ht="12" customHeight="1">
      <c r="B32" s="270"/>
      <c r="C32" s="305"/>
      <c r="D32" s="445"/>
      <c r="E32" s="446"/>
      <c r="F32" s="437"/>
      <c r="G32" s="451"/>
      <c r="H32" s="452"/>
      <c r="I32" s="441">
        <f>F30-G30</f>
        <v>-2386</v>
      </c>
      <c r="J32" s="264"/>
      <c r="K32" s="306"/>
      <c r="L32" s="280"/>
      <c r="M32" s="445"/>
      <c r="N32" s="446"/>
      <c r="O32" s="437"/>
      <c r="P32" s="437"/>
      <c r="Q32" s="441">
        <f>O30-P30</f>
        <v>-26245</v>
      </c>
      <c r="R32" s="115"/>
      <c r="S32" s="117"/>
    </row>
    <row r="33" spans="1:19" ht="12" customHeight="1">
      <c r="B33" s="282"/>
      <c r="C33" s="303"/>
      <c r="D33" s="447"/>
      <c r="E33" s="448"/>
      <c r="F33" s="438"/>
      <c r="G33" s="453"/>
      <c r="H33" s="454"/>
      <c r="I33" s="442"/>
      <c r="J33" s="271"/>
      <c r="K33" s="301"/>
      <c r="L33" s="281"/>
      <c r="M33" s="447"/>
      <c r="N33" s="448"/>
      <c r="O33" s="438"/>
      <c r="P33" s="438"/>
      <c r="Q33" s="442"/>
      <c r="R33" s="114"/>
      <c r="S33" s="117"/>
    </row>
    <row r="34" spans="1:19" ht="38.25" customHeight="1">
      <c r="B34" s="253"/>
      <c r="C34" s="253"/>
      <c r="D34" s="228"/>
      <c r="E34" s="228"/>
      <c r="F34" s="229"/>
      <c r="G34" s="229"/>
      <c r="H34" s="229"/>
      <c r="I34" s="254"/>
      <c r="J34" s="227"/>
      <c r="K34" s="230"/>
      <c r="L34" s="230"/>
      <c r="M34" s="253"/>
      <c r="N34" s="253"/>
      <c r="O34" s="229"/>
      <c r="P34" s="229"/>
      <c r="Q34" s="254"/>
      <c r="R34" s="118"/>
      <c r="S34" s="117"/>
    </row>
    <row r="35" spans="1:19" ht="24" customHeight="1">
      <c r="B35" s="231"/>
      <c r="C35" s="231"/>
      <c r="D35" s="231"/>
      <c r="E35" s="231"/>
      <c r="F35" s="231"/>
      <c r="G35" s="231"/>
      <c r="H35" s="231"/>
      <c r="I35" s="231"/>
      <c r="J35" s="231"/>
      <c r="K35" s="231"/>
      <c r="L35" s="231"/>
      <c r="M35" s="231"/>
      <c r="N35" s="231"/>
      <c r="O35" s="231"/>
      <c r="P35" s="231"/>
      <c r="Q35" s="231"/>
      <c r="R35" s="118"/>
      <c r="S35" s="117"/>
    </row>
    <row r="36" spans="1:19" ht="29.25" customHeight="1">
      <c r="B36" s="232"/>
      <c r="C36" s="232"/>
      <c r="D36" s="232"/>
      <c r="E36" s="232"/>
      <c r="F36" s="219"/>
      <c r="G36" s="219"/>
      <c r="H36" s="232"/>
      <c r="I36" s="233"/>
      <c r="J36" s="234" t="s">
        <v>278</v>
      </c>
      <c r="K36" s="233"/>
      <c r="L36" s="233"/>
      <c r="M36" s="311"/>
      <c r="N36" s="311"/>
      <c r="O36" s="234" t="s">
        <v>279</v>
      </c>
      <c r="P36" s="311"/>
      <c r="Q36" s="235"/>
      <c r="R36" s="125"/>
      <c r="S36" s="117"/>
    </row>
    <row r="37" spans="1:19" ht="14.25" customHeight="1">
      <c r="B37" s="232"/>
      <c r="C37" s="232"/>
      <c r="D37" s="232"/>
      <c r="E37" s="232"/>
      <c r="F37" s="219"/>
      <c r="G37" s="219"/>
      <c r="H37" s="232"/>
      <c r="Q37" s="235"/>
      <c r="R37" s="125"/>
      <c r="S37" s="117"/>
    </row>
    <row r="38" spans="1:19" ht="14.25">
      <c r="B38" s="232"/>
      <c r="C38" s="232"/>
      <c r="D38" s="232"/>
      <c r="E38" s="232"/>
      <c r="F38" s="219"/>
      <c r="G38" s="219"/>
      <c r="H38" s="232"/>
      <c r="Q38" s="235"/>
      <c r="R38" s="125"/>
      <c r="S38" s="117"/>
    </row>
    <row r="39" spans="1:19" ht="14.25">
      <c r="B39" s="232"/>
      <c r="C39" s="232"/>
      <c r="D39" s="232"/>
      <c r="E39" s="232"/>
      <c r="F39" s="433" t="s">
        <v>1</v>
      </c>
      <c r="G39" s="433"/>
      <c r="H39" s="232"/>
      <c r="I39" s="233"/>
      <c r="J39" s="233"/>
      <c r="K39" s="311" t="s">
        <v>282</v>
      </c>
      <c r="L39" s="233"/>
      <c r="M39" s="311"/>
      <c r="N39" s="311"/>
      <c r="O39" s="311" t="s">
        <v>280</v>
      </c>
      <c r="P39" s="311"/>
      <c r="Q39" s="311"/>
      <c r="R39" s="213"/>
      <c r="S39" s="126"/>
    </row>
    <row r="40" spans="1:19" ht="25.5" customHeight="1">
      <c r="B40" s="232"/>
      <c r="C40" s="232"/>
      <c r="D40" s="232"/>
      <c r="E40" s="232"/>
      <c r="F40" s="309"/>
      <c r="G40" s="309"/>
      <c r="H40" s="232"/>
      <c r="I40" s="233"/>
      <c r="J40" s="233"/>
      <c r="K40" s="233"/>
      <c r="L40" s="311"/>
      <c r="M40" s="311"/>
      <c r="N40" s="311"/>
      <c r="O40" s="236"/>
      <c r="P40" s="311"/>
      <c r="Q40" s="311"/>
      <c r="R40" s="213"/>
      <c r="S40" s="127"/>
    </row>
    <row r="41" spans="1:19" ht="25.5" customHeight="1">
      <c r="B41" s="232"/>
      <c r="C41" s="232"/>
      <c r="D41" s="232"/>
      <c r="E41" s="232"/>
      <c r="F41" s="433" t="s">
        <v>2</v>
      </c>
      <c r="G41" s="433"/>
      <c r="H41" s="232"/>
      <c r="I41" s="233"/>
      <c r="J41" s="233"/>
      <c r="K41" s="237" t="s">
        <v>283</v>
      </c>
      <c r="L41" s="233"/>
      <c r="M41" s="238"/>
      <c r="N41" s="238"/>
      <c r="O41" s="238" t="s">
        <v>281</v>
      </c>
      <c r="P41" s="311"/>
      <c r="Q41" s="311"/>
      <c r="R41" s="213"/>
      <c r="S41" s="128"/>
    </row>
    <row r="42" spans="1:19" ht="25.5" customHeight="1">
      <c r="B42" s="232"/>
      <c r="C42" s="232"/>
      <c r="D42" s="232"/>
      <c r="E42" s="232"/>
      <c r="F42" s="309"/>
      <c r="G42" s="309"/>
      <c r="H42" s="232"/>
      <c r="I42" s="233"/>
      <c r="J42" s="233"/>
      <c r="K42" s="233"/>
      <c r="L42" s="239"/>
      <c r="M42" s="311"/>
      <c r="N42" s="311"/>
      <c r="O42" s="240"/>
      <c r="P42" s="311"/>
      <c r="Q42" s="311"/>
      <c r="R42" s="213"/>
      <c r="S42" s="128"/>
    </row>
    <row r="43" spans="1:19" ht="25.5" customHeight="1">
      <c r="B43" s="232"/>
      <c r="C43" s="232"/>
      <c r="D43" s="232"/>
      <c r="E43" s="232"/>
      <c r="F43" s="433" t="s">
        <v>3</v>
      </c>
      <c r="G43" s="433"/>
      <c r="H43" s="232"/>
      <c r="I43" s="233"/>
      <c r="J43" s="241"/>
      <c r="K43" s="239" t="s">
        <v>344</v>
      </c>
      <c r="L43" s="233"/>
      <c r="M43" s="311"/>
      <c r="N43" s="311"/>
      <c r="O43" s="239" t="s">
        <v>345</v>
      </c>
      <c r="P43" s="311"/>
      <c r="Q43" s="311"/>
      <c r="R43" s="213"/>
      <c r="S43" s="128"/>
    </row>
    <row r="44" spans="1:19" ht="23.25" customHeight="1">
      <c r="B44" s="223"/>
      <c r="C44" s="223"/>
      <c r="D44" s="223"/>
      <c r="E44" s="223"/>
      <c r="F44" s="309"/>
      <c r="G44" s="309"/>
      <c r="H44" s="223"/>
      <c r="I44" s="242"/>
      <c r="J44" s="241"/>
      <c r="K44" s="233"/>
      <c r="L44" s="311"/>
      <c r="M44" s="311"/>
      <c r="N44" s="311"/>
      <c r="O44" s="243"/>
      <c r="P44" s="311"/>
      <c r="Q44" s="244" t="s">
        <v>147</v>
      </c>
      <c r="R44" s="52"/>
      <c r="S44" s="120"/>
    </row>
    <row r="45" spans="1:19" ht="25.5" customHeight="1">
      <c r="A45" s="245"/>
      <c r="B45" s="223"/>
      <c r="C45" s="223"/>
      <c r="D45" s="223"/>
      <c r="E45" s="223"/>
      <c r="F45" s="433" t="s">
        <v>4</v>
      </c>
      <c r="G45" s="433"/>
      <c r="H45" s="232"/>
      <c r="I45" s="233"/>
      <c r="J45" s="311" t="s">
        <v>346</v>
      </c>
      <c r="K45" s="233"/>
      <c r="L45" s="233"/>
      <c r="M45" s="311"/>
      <c r="N45" s="311"/>
      <c r="O45" s="311" t="s">
        <v>347</v>
      </c>
      <c r="P45" s="311"/>
      <c r="Q45" s="434">
        <v>1413</v>
      </c>
      <c r="R45" s="434"/>
      <c r="S45" s="120"/>
    </row>
    <row r="46" spans="1:19" ht="18.75" customHeight="1">
      <c r="A46" s="245"/>
      <c r="B46" s="223"/>
      <c r="C46" s="223"/>
      <c r="D46" s="223"/>
      <c r="E46" s="223"/>
      <c r="F46" s="309"/>
      <c r="G46" s="309"/>
      <c r="H46" s="232"/>
      <c r="I46" s="233"/>
      <c r="J46" s="311"/>
      <c r="K46" s="233"/>
      <c r="L46" s="233"/>
      <c r="M46" s="311"/>
      <c r="N46" s="311"/>
      <c r="O46" s="311"/>
      <c r="P46" s="311"/>
      <c r="Q46" s="246"/>
      <c r="R46" s="310"/>
      <c r="S46" s="120"/>
    </row>
    <row r="47" spans="1:19" ht="18.75" customHeight="1">
      <c r="A47" s="245"/>
      <c r="B47" s="232"/>
      <c r="C47" s="232"/>
      <c r="D47" s="232"/>
      <c r="E47" s="435" t="s">
        <v>243</v>
      </c>
      <c r="F47" s="435"/>
      <c r="G47" s="242"/>
      <c r="H47" s="232"/>
      <c r="I47" s="311"/>
      <c r="J47" s="233"/>
      <c r="K47" s="247"/>
      <c r="L47" s="247"/>
      <c r="M47" s="242"/>
      <c r="N47" s="242"/>
      <c r="O47" s="243"/>
      <c r="P47" s="242"/>
      <c r="Q47" s="244" t="s">
        <v>147</v>
      </c>
      <c r="R47" s="54"/>
      <c r="S47" s="120"/>
    </row>
    <row r="48" spans="1:19" ht="25.5" customHeight="1">
      <c r="A48" s="245"/>
      <c r="B48" s="232"/>
      <c r="C48" s="232"/>
      <c r="D48" s="232"/>
      <c r="E48" s="232"/>
      <c r="F48" s="433" t="s">
        <v>4</v>
      </c>
      <c r="G48" s="433"/>
      <c r="H48" s="232"/>
      <c r="I48" s="311"/>
      <c r="J48" s="311" t="s">
        <v>348</v>
      </c>
      <c r="K48" s="247"/>
      <c r="L48" s="233"/>
      <c r="M48" s="311"/>
      <c r="N48" s="311"/>
      <c r="O48" s="311" t="s">
        <v>349</v>
      </c>
      <c r="P48" s="311"/>
      <c r="Q48" s="434">
        <v>1798</v>
      </c>
      <c r="R48" s="434"/>
      <c r="S48" s="120"/>
    </row>
    <row r="49" spans="1:19" s="53" customFormat="1" ht="24" customHeight="1">
      <c r="A49" s="245"/>
      <c r="B49" s="245"/>
      <c r="C49" s="245"/>
      <c r="D49" s="245"/>
      <c r="E49" s="245"/>
      <c r="F49" s="432" t="s">
        <v>182</v>
      </c>
      <c r="G49" s="432"/>
      <c r="H49" s="245"/>
      <c r="I49" s="245"/>
      <c r="J49" s="245"/>
      <c r="K49" s="248"/>
      <c r="L49" s="248"/>
      <c r="M49" s="232"/>
      <c r="N49" s="232"/>
      <c r="O49" s="232"/>
      <c r="P49" s="232"/>
      <c r="Q49" s="232"/>
      <c r="R49" s="52"/>
      <c r="S49" s="128"/>
    </row>
    <row r="50" spans="1:19" s="53" customFormat="1" ht="25.5" customHeight="1">
      <c r="A50" s="249"/>
      <c r="B50" s="245"/>
      <c r="C50" s="245"/>
      <c r="D50" s="245"/>
      <c r="E50" s="245"/>
      <c r="F50" s="250"/>
      <c r="G50" s="250"/>
      <c r="H50" s="245"/>
      <c r="I50" s="245"/>
      <c r="J50" s="245"/>
      <c r="K50" s="248"/>
      <c r="L50" s="248"/>
      <c r="M50" s="232"/>
      <c r="N50" s="232"/>
      <c r="O50" s="232"/>
      <c r="P50" s="232"/>
      <c r="Q50" s="232"/>
      <c r="R50" s="52"/>
      <c r="S50" s="128"/>
    </row>
    <row r="51" spans="1:19" s="53" customFormat="1" ht="15.75" customHeight="1">
      <c r="A51" s="218"/>
      <c r="B51" s="218"/>
      <c r="C51" s="218"/>
      <c r="D51" s="218"/>
      <c r="E51" s="218"/>
      <c r="F51" s="218"/>
      <c r="G51" s="218"/>
      <c r="H51" s="218"/>
      <c r="I51" s="218"/>
      <c r="J51" s="218"/>
      <c r="K51" s="251"/>
      <c r="L51" s="251"/>
      <c r="M51" s="251"/>
      <c r="N51" s="251"/>
      <c r="O51" s="251"/>
      <c r="P51" s="251"/>
      <c r="Q51" s="251"/>
      <c r="S51" s="119"/>
    </row>
    <row r="52" spans="1:19" s="53" customFormat="1" ht="15" customHeight="1">
      <c r="A52" s="245"/>
      <c r="B52" s="218"/>
      <c r="C52" s="218"/>
      <c r="D52" s="218"/>
      <c r="E52" s="218"/>
      <c r="F52" s="218"/>
      <c r="G52" s="218"/>
      <c r="H52" s="218"/>
      <c r="I52" s="218"/>
      <c r="J52" s="218"/>
      <c r="K52" s="219"/>
      <c r="L52" s="219"/>
      <c r="M52" s="218"/>
      <c r="N52" s="218"/>
      <c r="O52" s="218"/>
      <c r="P52" s="218"/>
      <c r="Q52" s="218"/>
      <c r="R52" s="55"/>
      <c r="S52" s="55"/>
    </row>
    <row r="53" spans="1:19" s="53" customFormat="1" ht="15" customHeight="1">
      <c r="A53" s="245"/>
      <c r="B53" s="218"/>
      <c r="C53" s="218"/>
      <c r="D53" s="218"/>
      <c r="E53" s="218"/>
      <c r="F53" s="218"/>
      <c r="G53" s="218"/>
      <c r="H53" s="218"/>
      <c r="I53" s="218"/>
      <c r="J53" s="218"/>
      <c r="K53" s="219"/>
      <c r="L53" s="219"/>
      <c r="M53" s="218"/>
      <c r="N53" s="218"/>
      <c r="O53" s="218"/>
      <c r="P53" s="218"/>
      <c r="Q53" s="218"/>
      <c r="R53" s="55"/>
      <c r="S53" s="55"/>
    </row>
    <row r="54" spans="1:19" s="53" customFormat="1" ht="15" customHeight="1">
      <c r="A54" s="245"/>
      <c r="B54" s="218"/>
      <c r="C54" s="218"/>
      <c r="D54" s="218"/>
      <c r="E54" s="218"/>
      <c r="F54" s="218"/>
      <c r="G54" s="218"/>
      <c r="H54" s="218"/>
      <c r="I54" s="218"/>
      <c r="J54" s="218"/>
      <c r="K54" s="219"/>
      <c r="L54" s="219"/>
      <c r="M54" s="218"/>
      <c r="N54" s="218"/>
      <c r="O54" s="218"/>
      <c r="P54" s="218"/>
      <c r="Q54" s="218"/>
      <c r="R54" s="55"/>
      <c r="S54" s="55"/>
    </row>
    <row r="55" spans="1:19" s="53" customFormat="1" ht="15" customHeight="1">
      <c r="A55" s="245"/>
      <c r="B55" s="218"/>
      <c r="C55" s="218"/>
      <c r="D55" s="218"/>
      <c r="E55" s="218"/>
      <c r="F55" s="218"/>
      <c r="G55" s="218"/>
      <c r="H55" s="218"/>
      <c r="I55" s="218"/>
      <c r="J55" s="218"/>
      <c r="K55" s="219"/>
      <c r="L55" s="219"/>
      <c r="M55" s="218"/>
      <c r="N55" s="218"/>
      <c r="O55" s="218"/>
      <c r="P55" s="218"/>
      <c r="Q55" s="218"/>
      <c r="R55" s="55"/>
      <c r="S55" s="55"/>
    </row>
    <row r="56" spans="1:19" s="53" customFormat="1" ht="14.25" customHeight="1">
      <c r="A56" s="245"/>
      <c r="B56" s="218"/>
      <c r="C56" s="218"/>
      <c r="D56" s="218"/>
      <c r="E56" s="218"/>
      <c r="F56" s="218"/>
      <c r="G56" s="218"/>
      <c r="H56" s="218"/>
      <c r="I56" s="218"/>
      <c r="J56" s="218"/>
      <c r="K56" s="219"/>
      <c r="L56" s="219"/>
      <c r="M56" s="218"/>
      <c r="N56" s="218"/>
      <c r="O56" s="218"/>
      <c r="P56" s="218"/>
      <c r="Q56" s="218"/>
      <c r="R56" s="55"/>
      <c r="S56" s="55"/>
    </row>
    <row r="57" spans="1:19" s="53" customFormat="1" ht="15" customHeight="1">
      <c r="A57" s="245"/>
      <c r="B57" s="218"/>
      <c r="C57" s="218"/>
      <c r="D57" s="218"/>
      <c r="E57" s="218"/>
      <c r="F57" s="218"/>
      <c r="G57" s="218"/>
      <c r="H57" s="218"/>
      <c r="I57" s="218"/>
      <c r="J57" s="218"/>
      <c r="K57" s="219"/>
      <c r="L57" s="219"/>
      <c r="M57" s="218"/>
      <c r="N57" s="218"/>
      <c r="O57" s="218"/>
      <c r="P57" s="218"/>
      <c r="Q57" s="218"/>
      <c r="R57" s="55"/>
      <c r="S57" s="55"/>
    </row>
    <row r="58" spans="1:19" s="53" customFormat="1" ht="15" customHeight="1">
      <c r="A58" s="251"/>
      <c r="B58" s="218"/>
      <c r="C58" s="218"/>
      <c r="D58" s="218"/>
      <c r="E58" s="218"/>
      <c r="F58" s="218"/>
      <c r="G58" s="218"/>
      <c r="H58" s="218"/>
      <c r="I58" s="218"/>
      <c r="J58" s="218"/>
      <c r="K58" s="219"/>
      <c r="L58" s="219"/>
      <c r="M58" s="218"/>
      <c r="N58" s="218"/>
      <c r="O58" s="218"/>
      <c r="P58" s="218"/>
      <c r="Q58" s="218"/>
      <c r="R58" s="55"/>
      <c r="S58" s="55"/>
    </row>
    <row r="59" spans="1:19" s="53" customFormat="1" ht="15" customHeight="1">
      <c r="A59" s="245"/>
      <c r="B59" s="218"/>
      <c r="C59" s="218"/>
      <c r="D59" s="218"/>
      <c r="E59" s="218"/>
      <c r="F59" s="218"/>
      <c r="G59" s="218"/>
      <c r="H59" s="218"/>
      <c r="I59" s="218"/>
      <c r="J59" s="218"/>
      <c r="K59" s="219"/>
      <c r="L59" s="219"/>
      <c r="M59" s="218"/>
      <c r="N59" s="218"/>
      <c r="O59" s="218"/>
      <c r="P59" s="218"/>
      <c r="Q59" s="218"/>
      <c r="R59" s="55"/>
      <c r="S59" s="55"/>
    </row>
    <row r="60" spans="1:19" s="53" customFormat="1" ht="15" customHeight="1">
      <c r="A60" s="245"/>
      <c r="B60" s="218"/>
      <c r="C60" s="218"/>
      <c r="D60" s="218"/>
      <c r="E60" s="218"/>
      <c r="F60" s="218"/>
      <c r="G60" s="218"/>
      <c r="H60" s="218"/>
      <c r="I60" s="218"/>
      <c r="J60" s="218"/>
      <c r="K60" s="219"/>
      <c r="L60" s="219"/>
      <c r="M60" s="218"/>
      <c r="N60" s="218"/>
      <c r="O60" s="218"/>
      <c r="P60" s="218"/>
      <c r="Q60" s="218"/>
      <c r="R60" s="55"/>
      <c r="S60" s="55"/>
    </row>
    <row r="61" spans="1:19" s="53" customFormat="1" ht="15" customHeight="1">
      <c r="A61" s="218"/>
      <c r="B61" s="218"/>
      <c r="C61" s="218"/>
      <c r="D61" s="218"/>
      <c r="E61" s="218"/>
      <c r="F61" s="218"/>
      <c r="G61" s="218"/>
      <c r="H61" s="218"/>
      <c r="I61" s="218"/>
      <c r="J61" s="218"/>
      <c r="K61" s="219"/>
      <c r="L61" s="219"/>
      <c r="M61" s="218"/>
      <c r="N61" s="218"/>
      <c r="O61" s="218"/>
      <c r="P61" s="218"/>
      <c r="Q61" s="218"/>
      <c r="R61" s="55"/>
      <c r="S61" s="55"/>
    </row>
    <row r="62" spans="1:19" s="53" customFormat="1" ht="15" customHeight="1">
      <c r="A62" s="218"/>
      <c r="B62" s="218"/>
      <c r="C62" s="218"/>
      <c r="D62" s="218"/>
      <c r="E62" s="218"/>
      <c r="F62" s="218"/>
      <c r="G62" s="218"/>
      <c r="H62" s="218"/>
      <c r="I62" s="218"/>
      <c r="J62" s="218"/>
      <c r="K62" s="219"/>
      <c r="L62" s="219"/>
      <c r="M62" s="218"/>
      <c r="N62" s="218"/>
      <c r="O62" s="218"/>
      <c r="P62" s="218"/>
      <c r="Q62" s="218"/>
      <c r="R62" s="55"/>
      <c r="S62" s="55"/>
    </row>
    <row r="63" spans="1:19" s="53" customFormat="1" ht="15" customHeight="1">
      <c r="A63" s="218"/>
      <c r="B63" s="218"/>
      <c r="C63" s="218"/>
      <c r="D63" s="218"/>
      <c r="E63" s="218"/>
      <c r="F63" s="218"/>
      <c r="G63" s="218"/>
      <c r="H63" s="218"/>
      <c r="I63" s="218"/>
      <c r="J63" s="218"/>
      <c r="K63" s="219"/>
      <c r="L63" s="219"/>
      <c r="M63" s="218"/>
      <c r="N63" s="218"/>
      <c r="O63" s="218"/>
      <c r="P63" s="218"/>
      <c r="Q63" s="218"/>
      <c r="R63" s="55"/>
      <c r="S63" s="55"/>
    </row>
    <row r="64" spans="1:19" ht="12.95" customHeight="1"/>
    <row r="65" ht="12.95" customHeight="1"/>
  </sheetData>
  <mergeCells count="95">
    <mergeCell ref="G5:H5"/>
    <mergeCell ref="I5:J5"/>
    <mergeCell ref="Q5:R5"/>
    <mergeCell ref="O1:P1"/>
    <mergeCell ref="F4:H4"/>
    <mergeCell ref="I4:J4"/>
    <mergeCell ref="O4:P4"/>
    <mergeCell ref="Q4:R4"/>
    <mergeCell ref="B6:E9"/>
    <mergeCell ref="F6:F9"/>
    <mergeCell ref="G6:H9"/>
    <mergeCell ref="I6:I7"/>
    <mergeCell ref="K6:N9"/>
    <mergeCell ref="C10:E11"/>
    <mergeCell ref="F10:F11"/>
    <mergeCell ref="G10:H11"/>
    <mergeCell ref="L10:N11"/>
    <mergeCell ref="O10:O11"/>
    <mergeCell ref="P12:P13"/>
    <mergeCell ref="P6:P9"/>
    <mergeCell ref="Q6:Q7"/>
    <mergeCell ref="I8:I9"/>
    <mergeCell ref="Q8:Q9"/>
    <mergeCell ref="P10:P11"/>
    <mergeCell ref="O6:O9"/>
    <mergeCell ref="C12:E13"/>
    <mergeCell ref="F12:F13"/>
    <mergeCell ref="G12:H13"/>
    <mergeCell ref="M12:N13"/>
    <mergeCell ref="O12:O13"/>
    <mergeCell ref="P16:P17"/>
    <mergeCell ref="D14:E15"/>
    <mergeCell ref="F14:F15"/>
    <mergeCell ref="G14:H15"/>
    <mergeCell ref="M14:N15"/>
    <mergeCell ref="O14:O15"/>
    <mergeCell ref="P14:P15"/>
    <mergeCell ref="C16:E17"/>
    <mergeCell ref="F16:F17"/>
    <mergeCell ref="G16:H17"/>
    <mergeCell ref="N16:N17"/>
    <mergeCell ref="O16:O17"/>
    <mergeCell ref="P20:P21"/>
    <mergeCell ref="C18:E19"/>
    <mergeCell ref="F18:F19"/>
    <mergeCell ref="G18:H19"/>
    <mergeCell ref="N18:N19"/>
    <mergeCell ref="O18:O19"/>
    <mergeCell ref="P18:P19"/>
    <mergeCell ref="C20:E21"/>
    <mergeCell ref="F20:F21"/>
    <mergeCell ref="G20:H21"/>
    <mergeCell ref="N20:N21"/>
    <mergeCell ref="O20:O21"/>
    <mergeCell ref="P24:P25"/>
    <mergeCell ref="D22:E23"/>
    <mergeCell ref="F22:F23"/>
    <mergeCell ref="G22:H23"/>
    <mergeCell ref="M22:N23"/>
    <mergeCell ref="O22:O23"/>
    <mergeCell ref="P22:P23"/>
    <mergeCell ref="C24:E25"/>
    <mergeCell ref="F24:F25"/>
    <mergeCell ref="G24:H25"/>
    <mergeCell ref="L24:N25"/>
    <mergeCell ref="O24:O25"/>
    <mergeCell ref="D26:E29"/>
    <mergeCell ref="F26:F29"/>
    <mergeCell ref="G26:H29"/>
    <mergeCell ref="I26:I27"/>
    <mergeCell ref="L26:N29"/>
    <mergeCell ref="D30:E33"/>
    <mergeCell ref="F30:F33"/>
    <mergeCell ref="G30:H33"/>
    <mergeCell ref="I30:I31"/>
    <mergeCell ref="M30:N33"/>
    <mergeCell ref="F41:G41"/>
    <mergeCell ref="P26:P29"/>
    <mergeCell ref="Q26:Q27"/>
    <mergeCell ref="I28:I29"/>
    <mergeCell ref="Q28:Q29"/>
    <mergeCell ref="O30:O33"/>
    <mergeCell ref="O26:O29"/>
    <mergeCell ref="P30:P33"/>
    <mergeCell ref="Q30:Q31"/>
    <mergeCell ref="I32:I33"/>
    <mergeCell ref="Q32:Q33"/>
    <mergeCell ref="F39:G39"/>
    <mergeCell ref="F49:G49"/>
    <mergeCell ref="F43:G43"/>
    <mergeCell ref="F45:G45"/>
    <mergeCell ref="Q45:R45"/>
    <mergeCell ref="E47:F47"/>
    <mergeCell ref="F48:G48"/>
    <mergeCell ref="Q48:R48"/>
  </mergeCells>
  <phoneticPr fontId="11"/>
  <pageMargins left="0.32" right="0.23" top="0.5" bottom="0.24" header="0" footer="0"/>
  <pageSetup paperSize="9" scale="8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Y156"/>
  <sheetViews>
    <sheetView view="pageBreakPreview" topLeftCell="A151" zoomScale="115" zoomScaleNormal="100" zoomScaleSheetLayoutView="115" workbookViewId="0">
      <selection activeCell="N5" sqref="N5"/>
    </sheetView>
  </sheetViews>
  <sheetFormatPr defaultRowHeight="13.5"/>
  <cols>
    <col min="1" max="1" width="2.85546875" style="59" customWidth="1"/>
    <col min="2" max="2" width="12.42578125" style="59" customWidth="1"/>
    <col min="3" max="3" width="2.85546875" style="59" customWidth="1"/>
    <col min="4" max="4" width="9.140625" style="59"/>
    <col min="5" max="5" width="15" style="59" customWidth="1"/>
    <col min="6" max="7" width="9.140625" style="59"/>
    <col min="8" max="8" width="15.42578125" style="59" customWidth="1"/>
    <col min="9" max="9" width="12.140625" style="59" customWidth="1"/>
    <col min="10" max="10" width="18.5703125" style="59" customWidth="1"/>
    <col min="11" max="11" width="2.85546875" style="59" customWidth="1"/>
    <col min="12" max="12" width="3.140625" style="59" customWidth="1"/>
    <col min="13" max="13" width="9.140625" style="59"/>
    <col min="14" max="14" width="11.140625" style="59" bestFit="1" customWidth="1"/>
    <col min="15" max="16384" width="9.140625" style="59"/>
  </cols>
  <sheetData>
    <row r="4" spans="1:11" ht="42.75" customHeight="1"/>
    <row r="5" spans="1:11" ht="11.25" customHeight="1">
      <c r="A5" s="60"/>
      <c r="B5" s="61"/>
      <c r="C5" s="61"/>
      <c r="D5" s="61"/>
      <c r="E5" s="61"/>
      <c r="F5" s="61"/>
      <c r="G5" s="61"/>
      <c r="H5" s="61"/>
      <c r="I5" s="61"/>
      <c r="J5" s="61"/>
      <c r="K5" s="62"/>
    </row>
    <row r="6" spans="1:11" ht="18.75">
      <c r="A6" s="63"/>
      <c r="B6" s="64" t="s">
        <v>150</v>
      </c>
      <c r="C6" s="65"/>
      <c r="D6" s="65"/>
      <c r="E6" s="65"/>
      <c r="F6" s="65"/>
      <c r="G6" s="65"/>
      <c r="H6" s="65"/>
      <c r="I6" s="65"/>
      <c r="J6" s="65"/>
      <c r="K6" s="66"/>
    </row>
    <row r="7" spans="1:11" ht="11.25" customHeight="1">
      <c r="A7" s="63"/>
      <c r="B7" s="64"/>
      <c r="C7" s="65"/>
      <c r="D7" s="67"/>
      <c r="E7" s="68"/>
      <c r="F7" s="68"/>
      <c r="G7" s="68"/>
      <c r="H7" s="68"/>
      <c r="I7" s="68"/>
      <c r="J7" s="69"/>
      <c r="K7" s="66"/>
    </row>
    <row r="8" spans="1:11" ht="15" customHeight="1">
      <c r="A8" s="63"/>
      <c r="B8" s="65"/>
      <c r="C8" s="65"/>
      <c r="D8" s="515" t="s">
        <v>322</v>
      </c>
      <c r="E8" s="516"/>
      <c r="F8" s="516"/>
      <c r="G8" s="516"/>
      <c r="H8" s="516"/>
      <c r="I8" s="516"/>
      <c r="J8" s="517"/>
      <c r="K8" s="66"/>
    </row>
    <row r="9" spans="1:11" ht="18" customHeight="1">
      <c r="A9" s="63"/>
      <c r="B9" s="284"/>
      <c r="C9" s="70"/>
      <c r="D9" s="515"/>
      <c r="E9" s="516"/>
      <c r="F9" s="516"/>
      <c r="G9" s="516"/>
      <c r="H9" s="516"/>
      <c r="I9" s="516"/>
      <c r="J9" s="517"/>
      <c r="K9" s="66"/>
    </row>
    <row r="10" spans="1:11" ht="15" customHeight="1">
      <c r="A10" s="63"/>
      <c r="B10" s="284"/>
      <c r="C10" s="65"/>
      <c r="D10" s="515"/>
      <c r="E10" s="516"/>
      <c r="F10" s="516"/>
      <c r="G10" s="516"/>
      <c r="H10" s="516"/>
      <c r="I10" s="516"/>
      <c r="J10" s="517"/>
      <c r="K10" s="66"/>
    </row>
    <row r="11" spans="1:11" ht="15" customHeight="1">
      <c r="A11" s="63"/>
      <c r="B11" s="284"/>
      <c r="C11" s="65"/>
      <c r="D11" s="515"/>
      <c r="E11" s="516"/>
      <c r="F11" s="516"/>
      <c r="G11" s="516"/>
      <c r="H11" s="516"/>
      <c r="I11" s="516"/>
      <c r="J11" s="517"/>
      <c r="K11" s="66"/>
    </row>
    <row r="12" spans="1:11" ht="15" customHeight="1">
      <c r="A12" s="63"/>
      <c r="B12" s="284"/>
      <c r="C12" s="65"/>
      <c r="D12" s="515"/>
      <c r="E12" s="516"/>
      <c r="F12" s="516"/>
      <c r="G12" s="516"/>
      <c r="H12" s="516"/>
      <c r="I12" s="516"/>
      <c r="J12" s="517"/>
      <c r="K12" s="66"/>
    </row>
    <row r="13" spans="1:11" ht="15" customHeight="1">
      <c r="A13" s="63"/>
      <c r="B13" s="65"/>
      <c r="C13" s="65"/>
      <c r="D13" s="515"/>
      <c r="E13" s="516"/>
      <c r="F13" s="516"/>
      <c r="G13" s="516"/>
      <c r="H13" s="516"/>
      <c r="I13" s="516"/>
      <c r="J13" s="517"/>
      <c r="K13" s="66"/>
    </row>
    <row r="14" spans="1:11" ht="9" customHeight="1">
      <c r="A14" s="63"/>
      <c r="B14" s="65"/>
      <c r="C14" s="65"/>
      <c r="D14" s="71"/>
      <c r="E14" s="72"/>
      <c r="F14" s="72"/>
      <c r="G14" s="72"/>
      <c r="H14" s="72"/>
      <c r="I14" s="72"/>
      <c r="J14" s="73"/>
      <c r="K14" s="66"/>
    </row>
    <row r="15" spans="1:11" ht="30" customHeight="1">
      <c r="A15" s="63"/>
      <c r="B15" s="65"/>
      <c r="C15" s="65"/>
      <c r="D15" s="65"/>
      <c r="E15" s="65"/>
      <c r="F15" s="65"/>
      <c r="G15" s="65"/>
      <c r="H15" s="65"/>
      <c r="I15" s="65"/>
      <c r="J15" s="65"/>
      <c r="K15" s="66"/>
    </row>
    <row r="16" spans="1:11" ht="11.25" customHeight="1">
      <c r="A16" s="63"/>
      <c r="B16" s="65"/>
      <c r="C16" s="65"/>
      <c r="D16" s="67"/>
      <c r="E16" s="68"/>
      <c r="F16" s="68"/>
      <c r="G16" s="68"/>
      <c r="H16" s="68"/>
      <c r="I16" s="68"/>
      <c r="J16" s="69"/>
      <c r="K16" s="66"/>
    </row>
    <row r="17" spans="1:13" ht="25.5" customHeight="1">
      <c r="A17" s="63"/>
      <c r="B17" s="65"/>
      <c r="C17" s="65"/>
      <c r="D17" s="515" t="s">
        <v>320</v>
      </c>
      <c r="E17" s="516"/>
      <c r="F17" s="516"/>
      <c r="G17" s="516"/>
      <c r="H17" s="516"/>
      <c r="I17" s="516"/>
      <c r="J17" s="517"/>
      <c r="K17" s="66"/>
      <c r="M17" s="283" t="s">
        <v>292</v>
      </c>
    </row>
    <row r="18" spans="1:13" ht="22.5" customHeight="1">
      <c r="A18" s="63"/>
      <c r="B18" s="65"/>
      <c r="C18" s="70"/>
      <c r="D18" s="515"/>
      <c r="E18" s="516"/>
      <c r="F18" s="516"/>
      <c r="G18" s="516"/>
      <c r="H18" s="516"/>
      <c r="I18" s="516"/>
      <c r="J18" s="517"/>
      <c r="K18" s="66"/>
    </row>
    <row r="19" spans="1:13" ht="22.5" customHeight="1">
      <c r="A19" s="63"/>
      <c r="B19" s="65"/>
      <c r="C19" s="70"/>
      <c r="D19" s="515"/>
      <c r="E19" s="516"/>
      <c r="F19" s="516"/>
      <c r="G19" s="516"/>
      <c r="H19" s="516"/>
      <c r="I19" s="516"/>
      <c r="J19" s="517"/>
      <c r="K19" s="66"/>
    </row>
    <row r="20" spans="1:13" ht="22.5" customHeight="1">
      <c r="A20" s="63"/>
      <c r="B20" s="65"/>
      <c r="C20" s="65"/>
      <c r="D20" s="515"/>
      <c r="E20" s="516"/>
      <c r="F20" s="516"/>
      <c r="G20" s="516"/>
      <c r="H20" s="516"/>
      <c r="I20" s="516"/>
      <c r="J20" s="517"/>
      <c r="K20" s="66"/>
    </row>
    <row r="21" spans="1:13" ht="11.25" customHeight="1">
      <c r="A21" s="63"/>
      <c r="B21" s="65"/>
      <c r="C21" s="65"/>
      <c r="D21" s="71"/>
      <c r="E21" s="72"/>
      <c r="F21" s="72"/>
      <c r="G21" s="72"/>
      <c r="H21" s="72"/>
      <c r="I21" s="72"/>
      <c r="J21" s="73"/>
      <c r="K21" s="66"/>
    </row>
    <row r="22" spans="1:13" ht="30" customHeight="1">
      <c r="A22" s="63"/>
      <c r="B22" s="65"/>
      <c r="C22" s="65"/>
      <c r="D22" s="65"/>
      <c r="E22" s="65"/>
      <c r="F22" s="65"/>
      <c r="G22" s="65"/>
      <c r="H22" s="65"/>
      <c r="I22" s="65"/>
      <c r="J22" s="65"/>
      <c r="K22" s="66"/>
    </row>
    <row r="23" spans="1:13" ht="11.25" customHeight="1">
      <c r="A23" s="63"/>
      <c r="B23" s="65"/>
      <c r="C23" s="65"/>
      <c r="D23" s="67"/>
      <c r="E23" s="68"/>
      <c r="F23" s="68"/>
      <c r="G23" s="68"/>
      <c r="H23" s="68"/>
      <c r="I23" s="68"/>
      <c r="J23" s="69"/>
      <c r="K23" s="66"/>
    </row>
    <row r="24" spans="1:13" ht="6.75" customHeight="1">
      <c r="A24" s="63"/>
      <c r="B24" s="65"/>
      <c r="C24" s="65"/>
      <c r="D24" s="518" t="s">
        <v>284</v>
      </c>
      <c r="E24" s="519"/>
      <c r="F24" s="519"/>
      <c r="G24" s="519"/>
      <c r="H24" s="519"/>
      <c r="I24" s="519"/>
      <c r="J24" s="520"/>
      <c r="K24" s="66"/>
    </row>
    <row r="25" spans="1:13" ht="28.5" customHeight="1">
      <c r="A25" s="63"/>
      <c r="B25" s="65"/>
      <c r="C25" s="70"/>
      <c r="D25" s="518"/>
      <c r="E25" s="519"/>
      <c r="F25" s="519"/>
      <c r="G25" s="519"/>
      <c r="H25" s="519"/>
      <c r="I25" s="519"/>
      <c r="J25" s="520"/>
      <c r="K25" s="66"/>
    </row>
    <row r="26" spans="1:13" ht="4.5" customHeight="1">
      <c r="A26" s="63"/>
      <c r="B26" s="65"/>
      <c r="C26" s="70"/>
      <c r="D26" s="524"/>
      <c r="E26" s="525"/>
      <c r="F26" s="525"/>
      <c r="G26" s="525"/>
      <c r="H26" s="525"/>
      <c r="I26" s="525"/>
      <c r="J26" s="526"/>
      <c r="K26" s="66"/>
    </row>
    <row r="27" spans="1:13" ht="11.25" customHeight="1">
      <c r="A27" s="63"/>
      <c r="B27" s="65"/>
      <c r="C27" s="65"/>
      <c r="D27" s="71"/>
      <c r="E27" s="72"/>
      <c r="F27" s="72"/>
      <c r="G27" s="72"/>
      <c r="H27" s="72"/>
      <c r="I27" s="72"/>
      <c r="J27" s="73"/>
      <c r="K27" s="66"/>
    </row>
    <row r="28" spans="1:13" ht="30" customHeight="1">
      <c r="A28" s="63"/>
      <c r="B28" s="65"/>
      <c r="C28" s="65"/>
      <c r="D28" s="65"/>
      <c r="E28" s="65"/>
      <c r="F28" s="65"/>
      <c r="G28" s="65"/>
      <c r="H28" s="65"/>
      <c r="I28" s="65"/>
      <c r="J28" s="65"/>
      <c r="K28" s="66"/>
    </row>
    <row r="29" spans="1:13" ht="11.25" customHeight="1">
      <c r="A29" s="63"/>
      <c r="B29" s="65"/>
      <c r="C29" s="65"/>
      <c r="D29" s="67"/>
      <c r="E29" s="68"/>
      <c r="F29" s="68"/>
      <c r="G29" s="68"/>
      <c r="H29" s="68"/>
      <c r="I29" s="68"/>
      <c r="J29" s="69"/>
      <c r="K29" s="66"/>
    </row>
    <row r="30" spans="1:13" ht="30" customHeight="1">
      <c r="A30" s="63"/>
      <c r="B30" s="65"/>
      <c r="C30" s="65"/>
      <c r="D30" s="518" t="s">
        <v>302</v>
      </c>
      <c r="E30" s="519"/>
      <c r="F30" s="519"/>
      <c r="G30" s="519"/>
      <c r="H30" s="519"/>
      <c r="I30" s="519"/>
      <c r="J30" s="520"/>
      <c r="K30" s="66"/>
    </row>
    <row r="31" spans="1:13" ht="40.5" customHeight="1">
      <c r="A31" s="63"/>
      <c r="B31" s="65"/>
      <c r="C31" s="70"/>
      <c r="D31" s="518"/>
      <c r="E31" s="519"/>
      <c r="F31" s="519"/>
      <c r="G31" s="519"/>
      <c r="H31" s="519"/>
      <c r="I31" s="519"/>
      <c r="J31" s="520"/>
      <c r="K31" s="66"/>
    </row>
    <row r="32" spans="1:13" ht="22.5" customHeight="1">
      <c r="A32" s="63"/>
      <c r="B32" s="65"/>
      <c r="C32" s="65"/>
      <c r="D32" s="518"/>
      <c r="E32" s="519"/>
      <c r="F32" s="519"/>
      <c r="G32" s="519"/>
      <c r="H32" s="519"/>
      <c r="I32" s="519"/>
      <c r="J32" s="520"/>
      <c r="K32" s="66"/>
    </row>
    <row r="33" spans="1:11" ht="11.25" customHeight="1">
      <c r="A33" s="63"/>
      <c r="B33" s="65"/>
      <c r="C33" s="65"/>
      <c r="D33" s="71"/>
      <c r="E33" s="72"/>
      <c r="F33" s="72"/>
      <c r="G33" s="72"/>
      <c r="H33" s="72"/>
      <c r="I33" s="72"/>
      <c r="J33" s="73"/>
      <c r="K33" s="66"/>
    </row>
    <row r="34" spans="1:11" ht="30" customHeight="1">
      <c r="A34" s="63"/>
      <c r="B34" s="65"/>
      <c r="C34" s="65"/>
      <c r="D34" s="74"/>
      <c r="E34" s="74"/>
      <c r="F34" s="74"/>
      <c r="G34" s="74"/>
      <c r="H34" s="74"/>
      <c r="I34" s="74"/>
      <c r="J34" s="74"/>
      <c r="K34" s="66"/>
    </row>
    <row r="35" spans="1:11" ht="11.25" customHeight="1">
      <c r="A35" s="63"/>
      <c r="B35" s="65"/>
      <c r="C35" s="65"/>
      <c r="D35" s="75"/>
      <c r="E35" s="76"/>
      <c r="F35" s="76"/>
      <c r="G35" s="76"/>
      <c r="H35" s="76"/>
      <c r="I35" s="76"/>
      <c r="J35" s="77"/>
      <c r="K35" s="66"/>
    </row>
    <row r="36" spans="1:11" ht="25.5" customHeight="1">
      <c r="A36" s="63"/>
      <c r="B36" s="65"/>
      <c r="C36" s="65"/>
      <c r="D36" s="521" t="s">
        <v>285</v>
      </c>
      <c r="E36" s="522"/>
      <c r="F36" s="522"/>
      <c r="G36" s="522"/>
      <c r="H36" s="522"/>
      <c r="I36" s="522"/>
      <c r="J36" s="523"/>
      <c r="K36" s="66"/>
    </row>
    <row r="37" spans="1:11" ht="40.5" customHeight="1">
      <c r="A37" s="63"/>
      <c r="B37" s="65"/>
      <c r="C37" s="70"/>
      <c r="D37" s="521"/>
      <c r="E37" s="522"/>
      <c r="F37" s="522"/>
      <c r="G37" s="522"/>
      <c r="H37" s="522"/>
      <c r="I37" s="522"/>
      <c r="J37" s="523"/>
      <c r="K37" s="66"/>
    </row>
    <row r="38" spans="1:11" ht="38.25" customHeight="1">
      <c r="A38" s="63"/>
      <c r="B38" s="65"/>
      <c r="C38" s="65"/>
      <c r="D38" s="521"/>
      <c r="E38" s="522"/>
      <c r="F38" s="522"/>
      <c r="G38" s="522"/>
      <c r="H38" s="522"/>
      <c r="I38" s="522"/>
      <c r="J38" s="523"/>
      <c r="K38" s="66"/>
    </row>
    <row r="39" spans="1:11" ht="11.25" customHeight="1">
      <c r="A39" s="63"/>
      <c r="B39" s="65"/>
      <c r="C39" s="65"/>
      <c r="D39" s="71"/>
      <c r="E39" s="72"/>
      <c r="F39" s="72"/>
      <c r="G39" s="72"/>
      <c r="H39" s="72"/>
      <c r="I39" s="72"/>
      <c r="J39" s="73"/>
      <c r="K39" s="66"/>
    </row>
    <row r="40" spans="1:11" ht="17.25" customHeight="1">
      <c r="A40" s="63"/>
      <c r="B40" s="65"/>
      <c r="C40" s="65"/>
      <c r="D40" s="74"/>
      <c r="E40" s="74"/>
      <c r="F40" s="74"/>
      <c r="G40" s="74"/>
      <c r="H40" s="74"/>
      <c r="I40" s="74"/>
      <c r="J40" s="74"/>
      <c r="K40" s="66"/>
    </row>
    <row r="41" spans="1:11" ht="11.25" customHeight="1">
      <c r="A41" s="78"/>
      <c r="B41" s="79"/>
      <c r="C41" s="79"/>
      <c r="D41" s="79"/>
      <c r="E41" s="79"/>
      <c r="F41" s="79"/>
      <c r="G41" s="79"/>
      <c r="H41" s="79"/>
      <c r="I41" s="79"/>
      <c r="J41" s="79"/>
      <c r="K41" s="80"/>
    </row>
    <row r="43" spans="1:11" ht="27" customHeight="1">
      <c r="B43" s="512" t="s">
        <v>152</v>
      </c>
      <c r="C43" s="512"/>
    </row>
    <row r="44" spans="1:11" ht="6.75" customHeight="1"/>
    <row r="45" spans="1:11" ht="18.75" customHeight="1"/>
    <row r="46" spans="1:11" ht="30" customHeight="1">
      <c r="B46" s="56" t="s">
        <v>286</v>
      </c>
      <c r="C46" s="56"/>
      <c r="D46" s="56"/>
      <c r="E46" s="56"/>
      <c r="F46" s="56"/>
      <c r="G46" s="56"/>
      <c r="H46" s="56"/>
      <c r="I46" s="56"/>
      <c r="J46" s="56"/>
      <c r="K46" s="56"/>
    </row>
    <row r="47" spans="1:11" ht="18.75" customHeight="1">
      <c r="B47" s="56"/>
      <c r="C47" s="56"/>
      <c r="D47" s="56"/>
      <c r="E47" s="56"/>
      <c r="F47" s="56"/>
      <c r="G47" s="56"/>
      <c r="H47" s="56"/>
      <c r="I47" s="56"/>
      <c r="J47" s="56"/>
      <c r="K47" s="56"/>
    </row>
    <row r="48" spans="1:11" ht="41.25" customHeight="1">
      <c r="B48" s="56"/>
      <c r="C48" s="56"/>
      <c r="D48" s="56"/>
      <c r="E48" s="56"/>
      <c r="F48" s="56"/>
      <c r="G48" s="56"/>
      <c r="H48" s="56"/>
      <c r="I48" s="56"/>
      <c r="J48" s="56"/>
      <c r="K48" s="56"/>
    </row>
    <row r="49" spans="2:11" ht="18.75" customHeight="1">
      <c r="B49" s="56" t="s">
        <v>153</v>
      </c>
      <c r="C49" s="56"/>
      <c r="D49" s="56"/>
      <c r="E49" s="56"/>
      <c r="F49" s="56"/>
      <c r="G49" s="56"/>
      <c r="H49" s="56"/>
      <c r="I49" s="56"/>
      <c r="J49" s="56"/>
      <c r="K49" s="56"/>
    </row>
    <row r="50" spans="2:11" ht="18.75" customHeight="1">
      <c r="B50" s="56"/>
      <c r="C50" s="56"/>
      <c r="D50" s="56"/>
      <c r="E50" s="56"/>
      <c r="F50" s="56"/>
      <c r="G50" s="56"/>
      <c r="H50" s="56"/>
      <c r="I50" s="56"/>
      <c r="J50" s="56"/>
      <c r="K50" s="56"/>
    </row>
    <row r="51" spans="2:11" ht="30" customHeight="1">
      <c r="B51" s="56" t="s">
        <v>307</v>
      </c>
      <c r="C51" s="56"/>
      <c r="D51" s="56"/>
      <c r="E51" s="56"/>
      <c r="F51" s="56"/>
      <c r="G51" s="56"/>
      <c r="H51" s="56"/>
      <c r="I51" s="56"/>
      <c r="J51" s="56"/>
      <c r="K51" s="56"/>
    </row>
    <row r="52" spans="2:11" ht="30" customHeight="1">
      <c r="B52" s="56" t="s">
        <v>308</v>
      </c>
      <c r="C52" s="56"/>
      <c r="D52" s="56"/>
      <c r="E52" s="56"/>
      <c r="F52" s="56"/>
      <c r="G52" s="56"/>
      <c r="H52" s="56"/>
      <c r="I52" s="56"/>
      <c r="J52" s="56"/>
      <c r="K52" s="56"/>
    </row>
    <row r="53" spans="2:11" ht="30" customHeight="1">
      <c r="B53" s="56" t="s">
        <v>309</v>
      </c>
      <c r="C53" s="56"/>
      <c r="D53" s="56"/>
      <c r="E53" s="56"/>
      <c r="F53" s="56"/>
      <c r="G53" s="56"/>
      <c r="H53" s="56"/>
      <c r="I53" s="56"/>
      <c r="J53" s="56"/>
      <c r="K53" s="56"/>
    </row>
    <row r="54" spans="2:11" ht="30" customHeight="1">
      <c r="B54" s="56" t="s">
        <v>310</v>
      </c>
      <c r="C54" s="56"/>
      <c r="D54" s="56"/>
      <c r="E54" s="56"/>
      <c r="F54" s="56"/>
      <c r="G54" s="56"/>
      <c r="H54" s="56"/>
      <c r="I54" s="56"/>
      <c r="J54" s="56"/>
      <c r="K54" s="56"/>
    </row>
    <row r="55" spans="2:11" ht="33.75" customHeight="1">
      <c r="B55" s="56" t="s">
        <v>154</v>
      </c>
      <c r="C55" s="56"/>
      <c r="D55" s="56"/>
      <c r="E55" s="56"/>
      <c r="F55" s="56"/>
      <c r="G55" s="56"/>
      <c r="H55" s="56"/>
      <c r="I55" s="56"/>
      <c r="J55" s="56"/>
      <c r="K55" s="56"/>
    </row>
    <row r="56" spans="2:11" ht="24.75" customHeight="1">
      <c r="B56" s="56"/>
      <c r="C56" s="56"/>
      <c r="D56" s="56"/>
      <c r="E56" s="56"/>
      <c r="F56" s="56"/>
      <c r="G56" s="56"/>
      <c r="H56" s="56"/>
      <c r="I56" s="56"/>
      <c r="J56" s="56"/>
      <c r="K56" s="56"/>
    </row>
    <row r="57" spans="2:11" ht="18.75" customHeight="1">
      <c r="B57" s="56" t="s">
        <v>155</v>
      </c>
      <c r="C57" s="56"/>
      <c r="D57" s="56"/>
      <c r="E57" s="56"/>
      <c r="F57" s="56"/>
      <c r="G57" s="56"/>
      <c r="H57" s="56"/>
      <c r="I57" s="56"/>
      <c r="J57" s="56"/>
      <c r="K57" s="56"/>
    </row>
    <row r="58" spans="2:11" ht="18.75" customHeight="1">
      <c r="B58" s="56"/>
      <c r="C58" s="56"/>
      <c r="D58" s="56"/>
      <c r="E58" s="56"/>
      <c r="F58" s="56"/>
      <c r="G58" s="56"/>
      <c r="H58" s="56"/>
      <c r="I58" s="56"/>
      <c r="J58" s="56"/>
      <c r="K58" s="56"/>
    </row>
    <row r="59" spans="2:11" ht="26.25" customHeight="1">
      <c r="B59" s="56" t="s">
        <v>326</v>
      </c>
      <c r="C59" s="56"/>
      <c r="D59" s="56"/>
      <c r="E59" s="56"/>
      <c r="F59" s="56"/>
      <c r="G59" s="56"/>
      <c r="H59" s="56"/>
      <c r="I59" s="56"/>
      <c r="J59" s="56"/>
      <c r="K59" s="56"/>
    </row>
    <row r="60" spans="2:11" ht="26.25" customHeight="1">
      <c r="B60" s="56" t="s">
        <v>327</v>
      </c>
      <c r="C60" s="56"/>
      <c r="D60" s="56"/>
      <c r="E60" s="56"/>
      <c r="F60" s="56"/>
      <c r="G60" s="56"/>
      <c r="H60" s="56"/>
      <c r="I60" s="56"/>
      <c r="J60" s="56"/>
      <c r="K60" s="56"/>
    </row>
    <row r="61" spans="2:11" ht="24.75" customHeight="1">
      <c r="B61" s="56" t="s">
        <v>328</v>
      </c>
      <c r="C61" s="56"/>
      <c r="D61" s="56"/>
      <c r="E61" s="56"/>
      <c r="F61" s="56"/>
      <c r="G61" s="56"/>
      <c r="H61" s="56"/>
      <c r="I61" s="56"/>
      <c r="J61" s="56"/>
      <c r="K61" s="56"/>
    </row>
    <row r="62" spans="2:11" ht="24.75" customHeight="1">
      <c r="B62" s="56"/>
      <c r="C62" s="56"/>
      <c r="D62" s="56"/>
      <c r="E62" s="56"/>
      <c r="F62" s="56"/>
      <c r="G62" s="56"/>
      <c r="H62" s="56"/>
      <c r="I62" s="56"/>
      <c r="J62" s="56"/>
      <c r="K62" s="56"/>
    </row>
    <row r="63" spans="2:11" ht="24.75" customHeight="1">
      <c r="B63" s="56"/>
      <c r="C63" s="56"/>
      <c r="D63" s="56"/>
      <c r="E63" s="56"/>
      <c r="F63" s="56"/>
      <c r="G63" s="56"/>
      <c r="H63" s="56"/>
      <c r="I63" s="56"/>
      <c r="J63" s="56"/>
      <c r="K63" s="56"/>
    </row>
    <row r="64" spans="2:11" ht="18.75" customHeight="1">
      <c r="B64" s="56" t="s">
        <v>156</v>
      </c>
      <c r="C64" s="56"/>
      <c r="D64" s="56"/>
      <c r="E64" s="56"/>
      <c r="F64" s="56"/>
      <c r="G64" s="56"/>
      <c r="H64" s="56"/>
      <c r="I64" s="56"/>
      <c r="J64" s="56"/>
      <c r="K64" s="56"/>
    </row>
    <row r="65" spans="2:11" ht="18.75" customHeight="1">
      <c r="B65" s="56"/>
      <c r="C65" s="56"/>
      <c r="D65" s="56"/>
      <c r="E65" s="56"/>
      <c r="F65" s="56"/>
      <c r="G65" s="56"/>
      <c r="H65" s="56"/>
      <c r="I65" s="56"/>
      <c r="J65" s="56"/>
      <c r="K65" s="56"/>
    </row>
    <row r="66" spans="2:11" ht="30" customHeight="1">
      <c r="B66" s="56" t="s">
        <v>324</v>
      </c>
      <c r="C66" s="56"/>
      <c r="D66" s="56"/>
      <c r="E66" s="56"/>
      <c r="F66" s="56"/>
      <c r="G66" s="56"/>
      <c r="H66" s="56"/>
      <c r="I66" s="56"/>
      <c r="J66" s="56"/>
      <c r="K66" s="56"/>
    </row>
    <row r="67" spans="2:11" ht="30" customHeight="1">
      <c r="B67" s="56" t="s">
        <v>303</v>
      </c>
      <c r="C67" s="56"/>
      <c r="D67" s="56"/>
      <c r="E67" s="56"/>
      <c r="F67" s="56"/>
      <c r="G67" s="56"/>
      <c r="H67" s="56"/>
      <c r="I67" s="56"/>
      <c r="J67" s="56"/>
      <c r="K67" s="56"/>
    </row>
    <row r="68" spans="2:11" ht="30" customHeight="1">
      <c r="B68" s="56"/>
      <c r="C68" s="56"/>
      <c r="D68" s="56"/>
      <c r="E68" s="56"/>
      <c r="F68" s="56"/>
      <c r="G68" s="56"/>
      <c r="H68" s="56"/>
      <c r="I68" s="56"/>
      <c r="J68" s="56"/>
      <c r="K68" s="56"/>
    </row>
    <row r="69" spans="2:11" ht="30" customHeight="1">
      <c r="B69" s="56" t="s">
        <v>244</v>
      </c>
      <c r="C69" s="56"/>
      <c r="D69" s="56"/>
      <c r="E69" s="56"/>
      <c r="F69" s="56"/>
      <c r="G69" s="56"/>
      <c r="H69" s="56"/>
      <c r="I69" s="56"/>
      <c r="J69" s="56"/>
      <c r="K69" s="56"/>
    </row>
    <row r="70" spans="2:11" ht="30" customHeight="1">
      <c r="B70" s="56"/>
      <c r="C70" s="56"/>
      <c r="D70" s="56"/>
      <c r="E70" s="56"/>
      <c r="F70" s="56"/>
      <c r="G70" s="56"/>
      <c r="H70" s="56"/>
      <c r="I70" s="56"/>
      <c r="J70" s="56"/>
      <c r="K70" s="56"/>
    </row>
    <row r="71" spans="2:11" ht="30" customHeight="1">
      <c r="B71" s="56" t="s">
        <v>154</v>
      </c>
    </row>
    <row r="72" spans="2:11">
      <c r="B72" s="93"/>
    </row>
    <row r="82" spans="2:12" ht="27" customHeight="1">
      <c r="B82" s="512" t="s">
        <v>157</v>
      </c>
      <c r="C82" s="512"/>
    </row>
    <row r="83" spans="2:12" ht="6.75" customHeight="1"/>
    <row r="84" spans="2:12" ht="18.75" customHeight="1"/>
    <row r="85" spans="2:12" ht="24" customHeight="1">
      <c r="B85" s="56" t="s">
        <v>321</v>
      </c>
      <c r="C85" s="56"/>
      <c r="D85" s="56"/>
      <c r="E85" s="56"/>
      <c r="F85" s="56"/>
      <c r="G85" s="56"/>
      <c r="H85" s="56"/>
      <c r="I85" s="56"/>
      <c r="J85" s="56"/>
      <c r="K85" s="56"/>
      <c r="L85" s="56"/>
    </row>
    <row r="86" spans="2:12" ht="16.5" customHeight="1">
      <c r="B86" s="56"/>
      <c r="C86" s="56"/>
      <c r="D86" s="56"/>
      <c r="E86" s="56"/>
      <c r="F86" s="56"/>
      <c r="G86" s="56"/>
      <c r="H86" s="56"/>
      <c r="I86" s="56"/>
      <c r="J86" s="56"/>
      <c r="K86" s="56"/>
      <c r="L86" s="56"/>
    </row>
    <row r="87" spans="2:12" ht="16.5" customHeight="1">
      <c r="B87" s="56"/>
      <c r="C87" s="56"/>
      <c r="D87" s="56"/>
      <c r="E87" s="56"/>
      <c r="F87" s="56"/>
      <c r="G87" s="56"/>
      <c r="H87" s="56"/>
      <c r="I87" s="56"/>
      <c r="J87" s="56"/>
      <c r="K87" s="56"/>
      <c r="L87" s="56"/>
    </row>
    <row r="88" spans="2:12" ht="24" customHeight="1">
      <c r="B88" s="56" t="s">
        <v>158</v>
      </c>
      <c r="C88" s="56"/>
      <c r="D88" s="56"/>
      <c r="E88" s="56"/>
      <c r="F88" s="56"/>
      <c r="G88" s="56"/>
      <c r="H88" s="56"/>
      <c r="I88" s="56"/>
      <c r="J88" s="56"/>
      <c r="K88" s="56"/>
      <c r="L88" s="56"/>
    </row>
    <row r="89" spans="2:12" ht="24" customHeight="1">
      <c r="B89" s="56" t="s">
        <v>318</v>
      </c>
      <c r="C89" s="56"/>
      <c r="D89" s="56"/>
      <c r="E89" s="56"/>
      <c r="F89" s="56"/>
      <c r="G89" s="56"/>
      <c r="H89" s="56"/>
      <c r="I89" s="56"/>
      <c r="J89" s="56"/>
      <c r="K89" s="56"/>
      <c r="L89" s="56"/>
    </row>
    <row r="90" spans="2:12" ht="24" customHeight="1">
      <c r="B90" s="56" t="s">
        <v>319</v>
      </c>
      <c r="C90" s="56"/>
      <c r="D90" s="56"/>
      <c r="E90" s="56"/>
      <c r="F90" s="56"/>
      <c r="G90" s="56"/>
      <c r="H90" s="56"/>
      <c r="I90" s="56"/>
      <c r="J90" s="56"/>
      <c r="K90" s="56"/>
      <c r="L90" s="56"/>
    </row>
    <row r="91" spans="2:12" ht="24" customHeight="1">
      <c r="B91" s="56" t="s">
        <v>293</v>
      </c>
      <c r="C91" s="56"/>
      <c r="D91" s="56"/>
      <c r="E91" s="56"/>
      <c r="F91" s="56"/>
      <c r="G91" s="56"/>
      <c r="H91" s="56"/>
      <c r="I91" s="56"/>
      <c r="J91" s="56"/>
      <c r="K91" s="56"/>
      <c r="L91" s="56"/>
    </row>
    <row r="92" spans="2:12" ht="18" customHeight="1">
      <c r="B92" s="56"/>
      <c r="C92" s="56"/>
      <c r="D92" s="56"/>
      <c r="E92" s="56"/>
      <c r="F92" s="56"/>
      <c r="G92" s="56"/>
      <c r="H92" s="56"/>
      <c r="I92" s="56"/>
      <c r="J92" s="56"/>
      <c r="K92" s="56"/>
      <c r="L92" s="56"/>
    </row>
    <row r="93" spans="2:12" ht="18" customHeight="1">
      <c r="B93" s="56"/>
      <c r="C93" s="56"/>
      <c r="D93" s="56"/>
      <c r="E93" s="56"/>
      <c r="F93" s="56"/>
      <c r="G93" s="56"/>
      <c r="H93" s="56"/>
      <c r="I93" s="56"/>
      <c r="J93" s="56"/>
      <c r="K93" s="56"/>
      <c r="L93" s="56"/>
    </row>
    <row r="94" spans="2:12" ht="24" customHeight="1">
      <c r="B94" s="56" t="s">
        <v>181</v>
      </c>
      <c r="C94" s="56"/>
      <c r="D94" s="56"/>
      <c r="E94" s="56"/>
      <c r="F94" s="56"/>
      <c r="G94" s="56"/>
      <c r="H94" s="56"/>
      <c r="I94" s="56"/>
      <c r="J94" s="56"/>
      <c r="K94" s="56"/>
      <c r="L94" s="56"/>
    </row>
    <row r="95" spans="2:12" ht="24" customHeight="1">
      <c r="B95" s="56" t="s">
        <v>311</v>
      </c>
      <c r="C95" s="56"/>
      <c r="D95" s="56"/>
      <c r="E95" s="56"/>
      <c r="F95" s="56"/>
      <c r="G95" s="56"/>
      <c r="H95" s="56"/>
      <c r="I95" s="56"/>
      <c r="J95" s="56"/>
      <c r="K95" s="56"/>
      <c r="L95" s="56"/>
    </row>
    <row r="96" spans="2:12" ht="24" customHeight="1">
      <c r="B96" s="56" t="s">
        <v>312</v>
      </c>
      <c r="C96" s="56"/>
      <c r="D96" s="56"/>
      <c r="E96" s="56"/>
      <c r="F96" s="56"/>
      <c r="G96" s="56"/>
      <c r="H96" s="56"/>
      <c r="I96" s="56"/>
      <c r="J96" s="56"/>
      <c r="K96" s="56"/>
      <c r="L96" s="56"/>
    </row>
    <row r="97" spans="2:12" ht="18" customHeight="1">
      <c r="B97" s="56"/>
      <c r="C97" s="56"/>
      <c r="D97" s="56"/>
      <c r="E97" s="56"/>
      <c r="F97" s="56"/>
      <c r="G97" s="56"/>
      <c r="H97" s="56"/>
      <c r="I97" s="56"/>
      <c r="J97" s="56"/>
      <c r="K97" s="56"/>
      <c r="L97" s="56"/>
    </row>
    <row r="98" spans="2:12" ht="18" customHeight="1">
      <c r="B98" s="56"/>
      <c r="C98" s="56"/>
      <c r="D98" s="56"/>
      <c r="E98" s="56"/>
      <c r="F98" s="56"/>
      <c r="G98" s="56"/>
      <c r="H98" s="56"/>
      <c r="I98" s="56"/>
      <c r="J98" s="56"/>
      <c r="K98" s="56"/>
      <c r="L98" s="56"/>
    </row>
    <row r="99" spans="2:12" ht="24" customHeight="1">
      <c r="B99" s="56" t="s">
        <v>159</v>
      </c>
      <c r="C99" s="56"/>
      <c r="D99" s="56"/>
      <c r="E99" s="56"/>
      <c r="F99" s="56"/>
      <c r="G99" s="56"/>
      <c r="H99" s="56"/>
      <c r="I99" s="56"/>
      <c r="J99" s="56"/>
      <c r="K99" s="56"/>
      <c r="L99" s="56"/>
    </row>
    <row r="100" spans="2:12" ht="24" customHeight="1">
      <c r="B100" s="56" t="s">
        <v>313</v>
      </c>
      <c r="C100" s="56"/>
      <c r="D100" s="56"/>
      <c r="E100" s="56"/>
      <c r="F100" s="56"/>
      <c r="G100" s="56"/>
      <c r="H100" s="56"/>
      <c r="I100" s="56"/>
      <c r="J100" s="56"/>
      <c r="K100" s="56"/>
      <c r="L100" s="56"/>
    </row>
    <row r="101" spans="2:12" ht="24" customHeight="1">
      <c r="B101" s="56" t="s">
        <v>314</v>
      </c>
      <c r="C101" s="56"/>
      <c r="D101" s="56"/>
      <c r="E101" s="56"/>
      <c r="F101" s="56"/>
      <c r="G101" s="56"/>
      <c r="H101" s="56"/>
      <c r="I101" s="56"/>
      <c r="J101" s="56"/>
      <c r="K101" s="56"/>
      <c r="L101" s="56"/>
    </row>
    <row r="102" spans="2:12" ht="24.75" customHeight="1">
      <c r="B102" s="56" t="s">
        <v>315</v>
      </c>
      <c r="C102" s="56"/>
      <c r="D102" s="56"/>
      <c r="E102" s="56"/>
      <c r="F102" s="56"/>
      <c r="G102" s="56"/>
      <c r="H102" s="56"/>
      <c r="I102" s="56"/>
      <c r="J102" s="56"/>
      <c r="K102" s="56"/>
      <c r="L102" s="56"/>
    </row>
    <row r="103" spans="2:12" ht="18" customHeight="1">
      <c r="B103" s="56"/>
      <c r="C103" s="56"/>
      <c r="D103" s="56"/>
      <c r="E103" s="56"/>
      <c r="F103" s="56"/>
      <c r="G103" s="56"/>
      <c r="H103" s="56"/>
      <c r="I103" s="56"/>
      <c r="J103" s="56"/>
      <c r="K103" s="56"/>
      <c r="L103" s="56"/>
    </row>
    <row r="104" spans="2:12" ht="18" customHeight="1">
      <c r="B104" s="56"/>
      <c r="C104" s="56"/>
      <c r="D104" s="56"/>
      <c r="E104" s="56"/>
      <c r="F104" s="56"/>
      <c r="G104" s="56"/>
      <c r="H104" s="56"/>
      <c r="I104" s="56"/>
      <c r="J104" s="56"/>
      <c r="K104" s="56"/>
      <c r="L104" s="56"/>
    </row>
    <row r="105" spans="2:12" s="138" customFormat="1" ht="24" customHeight="1">
      <c r="B105" s="56" t="s">
        <v>160</v>
      </c>
      <c r="C105" s="81"/>
      <c r="D105" s="81"/>
      <c r="E105" s="81"/>
      <c r="F105" s="81"/>
      <c r="G105" s="81"/>
      <c r="H105" s="81"/>
      <c r="I105" s="81"/>
      <c r="J105" s="81"/>
      <c r="K105" s="81"/>
      <c r="L105" s="81"/>
    </row>
    <row r="106" spans="2:12" s="138" customFormat="1" ht="24" customHeight="1">
      <c r="B106" s="81" t="s">
        <v>330</v>
      </c>
      <c r="C106" s="81"/>
      <c r="D106" s="81"/>
      <c r="E106" s="81"/>
      <c r="F106" s="81"/>
      <c r="G106" s="81"/>
      <c r="H106" s="81"/>
      <c r="I106" s="81"/>
      <c r="J106" s="81"/>
      <c r="K106" s="81"/>
      <c r="L106" s="81"/>
    </row>
    <row r="107" spans="2:12" ht="24" customHeight="1">
      <c r="B107" s="81" t="s">
        <v>329</v>
      </c>
      <c r="C107" s="81"/>
      <c r="D107" s="81"/>
      <c r="E107" s="81"/>
      <c r="F107" s="81"/>
      <c r="G107" s="81"/>
      <c r="H107" s="81"/>
      <c r="I107" s="81"/>
      <c r="J107" s="81"/>
      <c r="K107" s="81"/>
      <c r="L107" s="56"/>
    </row>
    <row r="108" spans="2:12" ht="18" customHeight="1">
      <c r="B108" s="56"/>
      <c r="C108" s="56"/>
      <c r="D108" s="56"/>
      <c r="E108" s="56"/>
      <c r="F108" s="56"/>
      <c r="G108" s="56"/>
      <c r="H108" s="56"/>
      <c r="I108" s="56"/>
      <c r="J108" s="56"/>
      <c r="K108" s="56"/>
      <c r="L108" s="56"/>
    </row>
    <row r="109" spans="2:12" ht="18" customHeight="1">
      <c r="B109" s="56"/>
      <c r="C109" s="56"/>
      <c r="D109" s="56"/>
      <c r="E109" s="56"/>
      <c r="F109" s="56"/>
      <c r="G109" s="56"/>
      <c r="H109" s="56"/>
      <c r="I109" s="56"/>
      <c r="J109" s="56"/>
      <c r="K109" s="56"/>
      <c r="L109" s="56"/>
    </row>
    <row r="110" spans="2:12" ht="24" customHeight="1">
      <c r="B110" s="56" t="s">
        <v>161</v>
      </c>
      <c r="C110" s="56"/>
      <c r="D110" s="56"/>
      <c r="E110" s="56"/>
      <c r="F110" s="56"/>
      <c r="G110" s="56"/>
      <c r="H110" s="56"/>
      <c r="I110" s="56"/>
      <c r="J110" s="56"/>
      <c r="K110" s="56"/>
      <c r="L110" s="56"/>
    </row>
    <row r="111" spans="2:12" ht="24" customHeight="1">
      <c r="B111" s="56" t="s">
        <v>316</v>
      </c>
      <c r="C111" s="56"/>
      <c r="D111" s="56"/>
      <c r="E111" s="56"/>
      <c r="F111" s="56"/>
      <c r="G111" s="56"/>
      <c r="H111" s="56"/>
      <c r="I111" s="56"/>
      <c r="J111" s="56"/>
      <c r="K111" s="56"/>
      <c r="L111" s="56"/>
    </row>
    <row r="112" spans="2:12" ht="24" customHeight="1">
      <c r="B112" s="56" t="s">
        <v>317</v>
      </c>
      <c r="C112" s="56"/>
      <c r="D112" s="56"/>
      <c r="E112" s="56"/>
      <c r="F112" s="56"/>
      <c r="G112" s="56"/>
      <c r="H112" s="56"/>
      <c r="I112" s="56"/>
      <c r="J112" s="56"/>
      <c r="K112" s="56"/>
      <c r="L112" s="56"/>
    </row>
    <row r="113" spans="2:12" ht="18" customHeight="1">
      <c r="B113" s="56" t="s">
        <v>245</v>
      </c>
      <c r="C113" s="56"/>
      <c r="D113" s="56"/>
      <c r="E113" s="56"/>
      <c r="F113" s="56"/>
      <c r="G113" s="56"/>
      <c r="H113" s="56"/>
      <c r="I113" s="56"/>
      <c r="J113" s="56"/>
      <c r="K113" s="56"/>
      <c r="L113" s="56"/>
    </row>
    <row r="114" spans="2:12" ht="18" customHeight="1">
      <c r="B114" s="56"/>
      <c r="C114" s="81"/>
      <c r="D114" s="81"/>
      <c r="E114" s="81"/>
      <c r="F114" s="81"/>
      <c r="G114" s="81"/>
      <c r="H114" s="81"/>
      <c r="I114" s="81"/>
      <c r="J114" s="81"/>
      <c r="K114" s="56"/>
      <c r="L114" s="56"/>
    </row>
    <row r="115" spans="2:12" ht="24" customHeight="1">
      <c r="B115" s="81" t="s">
        <v>162</v>
      </c>
      <c r="C115" s="81"/>
      <c r="D115" s="81"/>
      <c r="E115" s="81"/>
      <c r="F115" s="81"/>
      <c r="G115" s="81"/>
      <c r="H115" s="81"/>
      <c r="I115" s="81"/>
      <c r="J115" s="81"/>
      <c r="K115" s="56"/>
      <c r="L115" s="56"/>
    </row>
    <row r="116" spans="2:12" ht="24" customHeight="1">
      <c r="B116" s="81" t="s">
        <v>323</v>
      </c>
      <c r="C116" s="81"/>
      <c r="D116" s="81"/>
      <c r="E116" s="81"/>
      <c r="F116" s="81"/>
      <c r="G116" s="81"/>
      <c r="H116" s="81"/>
      <c r="I116" s="81"/>
      <c r="J116" s="81"/>
      <c r="K116" s="56"/>
      <c r="L116" s="56"/>
    </row>
    <row r="117" spans="2:12" ht="18" customHeight="1">
      <c r="B117" s="56" t="s">
        <v>304</v>
      </c>
      <c r="C117" s="81"/>
      <c r="D117" s="81"/>
      <c r="E117" s="81"/>
      <c r="F117" s="81"/>
      <c r="G117" s="81"/>
      <c r="H117" s="81"/>
      <c r="I117" s="81"/>
      <c r="J117" s="81"/>
      <c r="K117" s="56"/>
      <c r="L117" s="56"/>
    </row>
    <row r="118" spans="2:12" ht="24" customHeight="1">
      <c r="B118" s="81"/>
      <c r="C118" s="81"/>
      <c r="D118" s="81"/>
      <c r="E118" s="81"/>
      <c r="F118" s="81"/>
      <c r="G118" s="81"/>
      <c r="H118" s="81"/>
      <c r="I118" s="81"/>
      <c r="J118" s="81"/>
      <c r="K118" s="56"/>
      <c r="L118" s="56"/>
    </row>
    <row r="119" spans="2:12" ht="18" customHeight="1">
      <c r="B119" s="56"/>
      <c r="C119" s="81"/>
      <c r="D119" s="81"/>
      <c r="E119" s="81"/>
      <c r="F119" s="81"/>
      <c r="G119" s="81"/>
      <c r="H119" s="81"/>
      <c r="I119" s="81"/>
      <c r="J119" s="81"/>
      <c r="K119" s="56"/>
      <c r="L119" s="56"/>
    </row>
    <row r="120" spans="2:12" ht="18" customHeight="1">
      <c r="B120" s="56"/>
      <c r="C120" s="56"/>
      <c r="D120" s="56"/>
      <c r="E120" s="56"/>
      <c r="F120" s="56"/>
      <c r="G120" s="56"/>
      <c r="H120" s="56"/>
      <c r="I120" s="56"/>
      <c r="J120" s="56"/>
      <c r="K120" s="56"/>
      <c r="L120" s="56"/>
    </row>
    <row r="121" spans="2:12" ht="18" customHeight="1">
      <c r="B121" s="56"/>
      <c r="C121" s="56"/>
      <c r="D121" s="56"/>
      <c r="E121" s="56"/>
      <c r="F121" s="56"/>
      <c r="G121" s="56"/>
      <c r="H121" s="56"/>
      <c r="I121" s="56"/>
      <c r="J121" s="56"/>
      <c r="K121" s="56"/>
      <c r="L121" s="56"/>
    </row>
    <row r="122" spans="2:12">
      <c r="B122" s="56"/>
      <c r="C122" s="56"/>
      <c r="D122" s="56"/>
      <c r="E122" s="56"/>
      <c r="F122" s="56"/>
      <c r="G122" s="56"/>
      <c r="H122" s="56"/>
      <c r="I122" s="56"/>
      <c r="J122" s="56"/>
      <c r="K122" s="56"/>
      <c r="L122" s="56"/>
    </row>
    <row r="123" spans="2:12" ht="27" customHeight="1">
      <c r="B123" s="512" t="s">
        <v>163</v>
      </c>
      <c r="C123" s="512"/>
      <c r="D123" s="512"/>
    </row>
    <row r="124" spans="2:12" ht="10.5" customHeight="1"/>
    <row r="125" spans="2:12" ht="42" customHeight="1">
      <c r="B125" s="513" t="s">
        <v>287</v>
      </c>
      <c r="C125" s="513"/>
      <c r="D125" s="513"/>
      <c r="E125" s="513"/>
      <c r="F125" s="513"/>
      <c r="G125" s="513"/>
      <c r="H125" s="513"/>
      <c r="I125" s="513"/>
      <c r="J125" s="513"/>
    </row>
    <row r="126" spans="2:12" ht="18.75" customHeight="1"/>
    <row r="127" spans="2:12" ht="18.75" customHeight="1">
      <c r="B127" s="59" t="s">
        <v>164</v>
      </c>
    </row>
    <row r="128" spans="2:12">
      <c r="J128" s="82"/>
    </row>
    <row r="140" spans="2:25" ht="23.25" customHeight="1"/>
    <row r="141" spans="2:25" ht="30" customHeight="1"/>
    <row r="142" spans="2:25" ht="27" customHeight="1">
      <c r="B142" s="512" t="s">
        <v>165</v>
      </c>
      <c r="C142" s="512"/>
      <c r="D142" s="512"/>
      <c r="E142" s="512"/>
    </row>
    <row r="143" spans="2:25" ht="6.75" customHeight="1"/>
    <row r="144" spans="2:25" ht="30" customHeight="1">
      <c r="B144" s="56" t="s">
        <v>305</v>
      </c>
      <c r="N144" s="514"/>
      <c r="O144" s="514"/>
      <c r="P144" s="514"/>
      <c r="Q144" s="514"/>
      <c r="R144" s="514"/>
      <c r="S144" s="514"/>
      <c r="T144" s="514"/>
      <c r="U144" s="514"/>
      <c r="V144" s="514"/>
      <c r="W144" s="514"/>
      <c r="X144" s="514"/>
      <c r="Y144" s="514"/>
    </row>
    <row r="145" spans="1:25" ht="30" customHeight="1">
      <c r="B145" s="56" t="s">
        <v>325</v>
      </c>
      <c r="N145" s="514"/>
      <c r="O145" s="514"/>
      <c r="P145" s="514"/>
      <c r="Q145" s="514"/>
      <c r="R145" s="514"/>
      <c r="S145" s="514"/>
      <c r="T145" s="514"/>
      <c r="U145" s="514"/>
      <c r="V145" s="514"/>
      <c r="W145" s="514"/>
      <c r="X145" s="514"/>
      <c r="Y145" s="514"/>
    </row>
    <row r="146" spans="1:25" ht="30" customHeight="1">
      <c r="B146" s="56" t="s">
        <v>306</v>
      </c>
      <c r="N146" s="514"/>
      <c r="O146" s="514"/>
      <c r="P146" s="514"/>
      <c r="Q146" s="514"/>
      <c r="R146" s="514"/>
      <c r="S146" s="514"/>
      <c r="T146" s="514"/>
      <c r="U146" s="514"/>
      <c r="V146" s="514"/>
      <c r="W146" s="514"/>
      <c r="X146" s="514"/>
      <c r="Y146" s="514"/>
    </row>
    <row r="147" spans="1:25" ht="30" customHeight="1">
      <c r="B147" s="56" t="s">
        <v>229</v>
      </c>
      <c r="N147" s="514"/>
      <c r="O147" s="514"/>
      <c r="P147" s="514"/>
      <c r="Q147" s="514"/>
      <c r="R147" s="514"/>
      <c r="S147" s="514"/>
      <c r="T147" s="514"/>
      <c r="U147" s="514"/>
      <c r="V147" s="514"/>
      <c r="W147" s="514"/>
      <c r="X147" s="514"/>
      <c r="Y147" s="514"/>
    </row>
    <row r="148" spans="1:25" ht="30" customHeight="1">
      <c r="B148" s="56"/>
      <c r="N148" s="514"/>
      <c r="O148" s="514"/>
      <c r="P148" s="514"/>
      <c r="Q148" s="514"/>
      <c r="R148" s="514"/>
      <c r="S148" s="514"/>
      <c r="T148" s="514"/>
      <c r="U148" s="514"/>
      <c r="V148" s="514"/>
      <c r="W148" s="514"/>
      <c r="X148" s="514"/>
      <c r="Y148" s="514"/>
    </row>
    <row r="149" spans="1:25" ht="30" customHeight="1"/>
    <row r="150" spans="1:25" ht="27" customHeight="1">
      <c r="A150" s="94"/>
      <c r="B150" s="511" t="s">
        <v>179</v>
      </c>
      <c r="C150" s="511"/>
      <c r="D150" s="511"/>
      <c r="E150" s="94"/>
      <c r="F150" s="94"/>
      <c r="G150" s="94"/>
      <c r="H150" s="94"/>
      <c r="I150" s="94"/>
      <c r="J150" s="94"/>
      <c r="K150" s="94"/>
    </row>
    <row r="151" spans="1:25" ht="6.75" customHeight="1">
      <c r="A151" s="94"/>
      <c r="B151" s="94"/>
      <c r="C151" s="94"/>
      <c r="D151" s="94"/>
      <c r="E151" s="94"/>
      <c r="F151" s="94"/>
      <c r="G151" s="94"/>
      <c r="H151" s="94"/>
      <c r="I151" s="94"/>
      <c r="J151" s="94"/>
      <c r="K151" s="94"/>
    </row>
    <row r="152" spans="1:25" s="108" customFormat="1" ht="27" customHeight="1">
      <c r="A152" s="107"/>
      <c r="B152" s="196" t="s">
        <v>289</v>
      </c>
      <c r="C152" s="94"/>
      <c r="D152" s="94"/>
      <c r="E152" s="94"/>
      <c r="F152" s="94"/>
      <c r="G152" s="107"/>
      <c r="H152" s="107"/>
      <c r="I152" s="107"/>
      <c r="J152" s="107"/>
      <c r="K152" s="107"/>
    </row>
    <row r="153" spans="1:25" s="108" customFormat="1" ht="27" customHeight="1">
      <c r="A153" s="107"/>
      <c r="B153" s="136" t="s">
        <v>290</v>
      </c>
      <c r="C153" s="94"/>
      <c r="D153" s="94"/>
      <c r="E153" s="94"/>
      <c r="F153" s="94"/>
      <c r="G153" s="107"/>
      <c r="H153" s="107"/>
      <c r="I153" s="107"/>
      <c r="J153" s="107"/>
      <c r="K153" s="107"/>
    </row>
    <row r="154" spans="1:25" s="108" customFormat="1" ht="27" customHeight="1">
      <c r="A154" s="107"/>
      <c r="B154" s="195" t="s">
        <v>291</v>
      </c>
      <c r="C154" s="94"/>
      <c r="D154" s="94"/>
      <c r="E154" s="94"/>
      <c r="F154" s="94"/>
      <c r="G154" s="107"/>
      <c r="H154" s="107"/>
      <c r="I154" s="107"/>
      <c r="J154" s="107"/>
      <c r="K154" s="107"/>
    </row>
    <row r="155" spans="1:25" ht="27" customHeight="1">
      <c r="A155" s="94"/>
      <c r="B155" s="92"/>
      <c r="C155" s="94"/>
      <c r="D155" s="94"/>
      <c r="E155" s="94"/>
      <c r="F155" s="94"/>
      <c r="G155" s="94"/>
      <c r="H155" s="94"/>
      <c r="I155" s="94"/>
      <c r="J155" s="94"/>
      <c r="K155" s="94"/>
    </row>
    <row r="156" spans="1:25" ht="27" customHeight="1">
      <c r="A156" s="94"/>
      <c r="B156" s="95"/>
      <c r="C156" s="94"/>
      <c r="D156" s="94"/>
      <c r="E156" s="94"/>
      <c r="F156" s="94"/>
      <c r="G156" s="94"/>
      <c r="H156" s="94"/>
      <c r="I156" s="94"/>
      <c r="J156" s="94"/>
      <c r="K156" s="94"/>
    </row>
  </sheetData>
  <mergeCells count="12">
    <mergeCell ref="N144:Y148"/>
    <mergeCell ref="D8:J13"/>
    <mergeCell ref="B43:C43"/>
    <mergeCell ref="D17:J20"/>
    <mergeCell ref="D30:J32"/>
    <mergeCell ref="D36:J38"/>
    <mergeCell ref="D24:J26"/>
    <mergeCell ref="B150:D150"/>
    <mergeCell ref="B82:C82"/>
    <mergeCell ref="B123:D123"/>
    <mergeCell ref="B125:J125"/>
    <mergeCell ref="B142:E142"/>
  </mergeCells>
  <phoneticPr fontId="11"/>
  <pageMargins left="0.62992125984251968" right="0.15748031496062992" top="0.62992125984251968" bottom="0.55118110236220474" header="0.51181102362204722" footer="0.51181102362204722"/>
  <pageSetup paperSize="9" scale="91" fitToHeight="0" orientation="portrait" r:id="rId1"/>
  <headerFooter alignWithMargins="0"/>
  <rowBreaks count="3" manualBreakCount="3">
    <brk id="42" max="10" man="1"/>
    <brk id="81" max="10" man="1"/>
    <brk id="122" max="10"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AH10"/>
  <sheetViews>
    <sheetView view="pageBreakPreview" zoomScale="60" zoomScaleNormal="85" workbookViewId="0">
      <selection activeCell="O11" sqref="O11"/>
    </sheetView>
  </sheetViews>
  <sheetFormatPr defaultRowHeight="13.5"/>
  <cols>
    <col min="1" max="1" width="9.140625" style="83"/>
    <col min="2" max="2" width="13.5703125" style="83" customWidth="1"/>
    <col min="3" max="4" width="16.42578125" style="83" customWidth="1"/>
    <col min="5" max="7" width="14.28515625" style="83" customWidth="1"/>
    <col min="8" max="8" width="9.140625" style="83"/>
    <col min="9" max="34" width="7.28515625" style="83" customWidth="1"/>
    <col min="35" max="16384" width="9.140625" style="83"/>
  </cols>
  <sheetData>
    <row r="3" spans="2:34">
      <c r="G3" s="84" t="s">
        <v>166</v>
      </c>
    </row>
    <row r="4" spans="2:34" ht="39" customHeight="1">
      <c r="B4" s="85"/>
      <c r="C4" s="86" t="s">
        <v>167</v>
      </c>
      <c r="D4" s="86" t="s">
        <v>168</v>
      </c>
      <c r="E4" s="87" t="s">
        <v>169</v>
      </c>
      <c r="F4" s="88" t="s">
        <v>170</v>
      </c>
      <c r="G4" s="86" t="s">
        <v>151</v>
      </c>
    </row>
    <row r="5" spans="2:34" ht="33.75" hidden="1" customHeight="1">
      <c r="B5" s="86" t="s">
        <v>171</v>
      </c>
      <c r="C5" s="89">
        <v>1555121</v>
      </c>
      <c r="D5" s="89">
        <v>1552859</v>
      </c>
      <c r="E5" s="89">
        <f>C5-D5</f>
        <v>2262</v>
      </c>
      <c r="F5" s="89">
        <v>1813</v>
      </c>
      <c r="G5" s="89">
        <f>E5-F5</f>
        <v>449</v>
      </c>
    </row>
    <row r="6" spans="2:34" ht="33.75" customHeight="1">
      <c r="B6" s="86" t="s">
        <v>233</v>
      </c>
      <c r="C6" s="89">
        <v>1631983</v>
      </c>
      <c r="D6" s="89">
        <v>1630073</v>
      </c>
      <c r="E6" s="89">
        <f>C6-D6</f>
        <v>1910</v>
      </c>
      <c r="F6" s="89">
        <v>1509</v>
      </c>
      <c r="G6" s="89">
        <f>E6-F6</f>
        <v>401</v>
      </c>
    </row>
    <row r="7" spans="2:34" ht="33.75" customHeight="1">
      <c r="B7" s="86" t="s">
        <v>288</v>
      </c>
      <c r="C7" s="89">
        <v>1574838</v>
      </c>
      <c r="D7" s="89">
        <v>1572848</v>
      </c>
      <c r="E7" s="89">
        <v>1990</v>
      </c>
      <c r="F7" s="89">
        <v>1590</v>
      </c>
      <c r="G7" s="89">
        <f>E7-F7</f>
        <v>400</v>
      </c>
    </row>
    <row r="8" spans="2:34" ht="33.75" customHeight="1">
      <c r="B8" s="86" t="s">
        <v>172</v>
      </c>
      <c r="C8" s="140">
        <f>C7-C6</f>
        <v>-57145</v>
      </c>
      <c r="D8" s="140">
        <f>D7-D6</f>
        <v>-57225</v>
      </c>
      <c r="E8" s="140">
        <f>E7-E6</f>
        <v>80</v>
      </c>
      <c r="F8" s="140">
        <f>F7-F6</f>
        <v>81</v>
      </c>
      <c r="G8" s="140">
        <f>G7-G6</f>
        <v>-1</v>
      </c>
    </row>
    <row r="9" spans="2:34" ht="31.5" customHeight="1">
      <c r="B9" s="527"/>
      <c r="C9" s="527"/>
      <c r="D9" s="527"/>
      <c r="E9" s="527"/>
      <c r="F9" s="527"/>
    </row>
    <row r="10" spans="2:34">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row>
  </sheetData>
  <mergeCells count="1">
    <mergeCell ref="B9:F9"/>
  </mergeCells>
  <phoneticPr fontId="11"/>
  <pageMargins left="0.78700000000000003" right="0.78700000000000003" top="0.98399999999999999" bottom="0.98399999999999999" header="0.51200000000000001" footer="0.51200000000000001"/>
  <pageSetup paperSize="9" scale="83"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B1:W89"/>
  <sheetViews>
    <sheetView view="pageBreakPreview" topLeftCell="A10" zoomScale="70" zoomScaleNormal="100" zoomScaleSheetLayoutView="70" workbookViewId="0">
      <pane xSplit="2" topLeftCell="C1" activePane="topRight" state="frozen"/>
      <selection activeCell="K9" sqref="A6:K9"/>
      <selection pane="topRight" activeCell="K9" sqref="A6:K9"/>
    </sheetView>
  </sheetViews>
  <sheetFormatPr defaultColWidth="10.28515625" defaultRowHeight="13.5"/>
  <cols>
    <col min="1" max="1" width="1" style="141" customWidth="1"/>
    <col min="2" max="2" width="16.7109375" style="141" customWidth="1"/>
    <col min="3" max="4" width="11.5703125" style="141" customWidth="1"/>
    <col min="5" max="5" width="12" style="141" hidden="1" customWidth="1"/>
    <col min="6" max="6" width="11.5703125" style="141" hidden="1" customWidth="1"/>
    <col min="7" max="7" width="12" style="141" customWidth="1"/>
    <col min="8" max="8" width="11.5703125" style="141" hidden="1" customWidth="1"/>
    <col min="9" max="9" width="10.5703125" style="141" hidden="1" customWidth="1"/>
    <col min="10" max="10" width="10.5703125" style="141" customWidth="1"/>
    <col min="11" max="11" width="11.5703125" style="141" customWidth="1"/>
    <col min="12" max="12" width="11" style="141" customWidth="1"/>
    <col min="13" max="13" width="11.5703125" style="141" customWidth="1"/>
    <col min="14" max="20" width="10.7109375" style="141" customWidth="1"/>
    <col min="21" max="24" width="10.5703125" style="141" bestFit="1" customWidth="1"/>
    <col min="25" max="16384" width="10.28515625" style="141"/>
  </cols>
  <sheetData>
    <row r="1" spans="2:23">
      <c r="B1" s="141" t="s">
        <v>100</v>
      </c>
    </row>
    <row r="3" spans="2:23">
      <c r="B3" s="141" t="s">
        <v>82</v>
      </c>
    </row>
    <row r="4" spans="2:23" s="145" customFormat="1">
      <c r="B4" s="142"/>
      <c r="C4" s="143" t="s">
        <v>69</v>
      </c>
      <c r="D4" s="143" t="s">
        <v>83</v>
      </c>
      <c r="E4" s="143" t="s">
        <v>70</v>
      </c>
      <c r="F4" s="143" t="s">
        <v>84</v>
      </c>
      <c r="G4" s="143" t="s">
        <v>71</v>
      </c>
      <c r="H4" s="143" t="s">
        <v>85</v>
      </c>
      <c r="I4" s="143" t="s">
        <v>72</v>
      </c>
      <c r="J4" s="143" t="s">
        <v>86</v>
      </c>
      <c r="K4" s="143" t="s">
        <v>73</v>
      </c>
      <c r="L4" s="143" t="s">
        <v>74</v>
      </c>
      <c r="M4" s="143" t="s">
        <v>75</v>
      </c>
      <c r="N4" s="144" t="s">
        <v>110</v>
      </c>
      <c r="O4" s="144" t="s">
        <v>128</v>
      </c>
      <c r="P4" s="144" t="s">
        <v>132</v>
      </c>
      <c r="Q4" s="144" t="s">
        <v>140</v>
      </c>
      <c r="R4" s="144" t="s">
        <v>173</v>
      </c>
      <c r="S4" s="144" t="s">
        <v>183</v>
      </c>
      <c r="T4" s="144" t="s">
        <v>206</v>
      </c>
      <c r="U4" s="199" t="s">
        <v>220</v>
      </c>
      <c r="V4" s="215" t="s">
        <v>234</v>
      </c>
      <c r="W4" s="285" t="s">
        <v>294</v>
      </c>
    </row>
    <row r="5" spans="2:23" s="145" customFormat="1">
      <c r="B5" s="146" t="s">
        <v>101</v>
      </c>
      <c r="C5" s="147">
        <v>490419</v>
      </c>
      <c r="D5" s="147">
        <v>473096</v>
      </c>
      <c r="E5" s="147">
        <v>555592</v>
      </c>
      <c r="F5" s="147">
        <v>407813</v>
      </c>
      <c r="G5" s="147">
        <v>390207</v>
      </c>
      <c r="H5" s="147">
        <v>357302</v>
      </c>
      <c r="I5" s="147">
        <v>287916</v>
      </c>
      <c r="J5" s="147">
        <v>219703</v>
      </c>
      <c r="K5" s="147">
        <v>185020</v>
      </c>
      <c r="L5" s="147">
        <v>166774</v>
      </c>
      <c r="M5" s="147">
        <v>150545</v>
      </c>
      <c r="N5" s="148">
        <v>162129</v>
      </c>
      <c r="O5" s="148">
        <v>124207</v>
      </c>
      <c r="P5" s="148">
        <v>125825</v>
      </c>
      <c r="Q5" s="148">
        <v>95376</v>
      </c>
      <c r="R5" s="148">
        <v>90088</v>
      </c>
      <c r="S5" s="148">
        <v>76715</v>
      </c>
      <c r="T5" s="148">
        <v>83723</v>
      </c>
      <c r="U5" s="148">
        <v>101864</v>
      </c>
      <c r="V5" s="148">
        <v>100879</v>
      </c>
      <c r="W5" s="149">
        <v>100112</v>
      </c>
    </row>
    <row r="6" spans="2:23" s="145" customFormat="1">
      <c r="B6" s="146" t="s">
        <v>92</v>
      </c>
      <c r="C6" s="147">
        <f t="shared" ref="C6:L6" si="0">C10-C9-C8-C5-C7</f>
        <v>657571</v>
      </c>
      <c r="D6" s="147">
        <f t="shared" si="0"/>
        <v>647421</v>
      </c>
      <c r="E6" s="147">
        <f t="shared" si="0"/>
        <v>658464</v>
      </c>
      <c r="F6" s="147">
        <f t="shared" si="0"/>
        <v>699410</v>
      </c>
      <c r="G6" s="147">
        <f t="shared" si="0"/>
        <v>672493</v>
      </c>
      <c r="H6" s="147">
        <f t="shared" si="0"/>
        <v>672899</v>
      </c>
      <c r="I6" s="147">
        <f t="shared" si="0"/>
        <v>641302</v>
      </c>
      <c r="J6" s="147">
        <f t="shared" si="0"/>
        <v>629351</v>
      </c>
      <c r="K6" s="147">
        <f t="shared" si="0"/>
        <v>640522</v>
      </c>
      <c r="L6" s="147">
        <f t="shared" si="0"/>
        <v>635380</v>
      </c>
      <c r="M6" s="147">
        <v>587893</v>
      </c>
      <c r="N6" s="148">
        <v>553627</v>
      </c>
      <c r="O6" s="148">
        <v>573465</v>
      </c>
      <c r="P6" s="148">
        <v>652275</v>
      </c>
      <c r="Q6" s="148">
        <v>602938</v>
      </c>
      <c r="R6" s="148">
        <v>584309</v>
      </c>
      <c r="S6" s="148">
        <v>631833</v>
      </c>
      <c r="T6" s="149">
        <v>576794</v>
      </c>
      <c r="U6" s="149">
        <v>543322</v>
      </c>
      <c r="V6" s="149">
        <v>518938</v>
      </c>
      <c r="W6" s="149">
        <v>468576</v>
      </c>
    </row>
    <row r="7" spans="2:23" s="145" customFormat="1">
      <c r="B7" s="146" t="s">
        <v>102</v>
      </c>
      <c r="C7" s="147">
        <v>145516</v>
      </c>
      <c r="D7" s="147">
        <v>160175</v>
      </c>
      <c r="E7" s="147">
        <v>166464</v>
      </c>
      <c r="F7" s="147">
        <v>189404</v>
      </c>
      <c r="G7" s="147">
        <v>199166</v>
      </c>
      <c r="H7" s="147">
        <v>209993</v>
      </c>
      <c r="I7" s="147">
        <v>233813</v>
      </c>
      <c r="J7" s="147">
        <v>218849</v>
      </c>
      <c r="K7" s="147">
        <v>217563</v>
      </c>
      <c r="L7" s="147">
        <v>210400</v>
      </c>
      <c r="M7" s="147">
        <v>207507</v>
      </c>
      <c r="N7" s="148">
        <v>207387</v>
      </c>
      <c r="O7" s="148">
        <v>213802</v>
      </c>
      <c r="P7" s="148">
        <v>221510</v>
      </c>
      <c r="Q7" s="148">
        <v>222238</v>
      </c>
      <c r="R7" s="148">
        <v>237153</v>
      </c>
      <c r="S7" s="148">
        <v>260026</v>
      </c>
      <c r="T7" s="148">
        <v>279755</v>
      </c>
      <c r="U7" s="148">
        <v>265954</v>
      </c>
      <c r="V7" s="148">
        <v>278423</v>
      </c>
      <c r="W7" s="149">
        <v>265961</v>
      </c>
    </row>
    <row r="8" spans="2:23" s="145" customFormat="1">
      <c r="B8" s="146" t="s">
        <v>103</v>
      </c>
      <c r="C8" s="147">
        <v>217325</v>
      </c>
      <c r="D8" s="147">
        <v>231951</v>
      </c>
      <c r="E8" s="147">
        <v>246904</v>
      </c>
      <c r="F8" s="147">
        <v>264778</v>
      </c>
      <c r="G8" s="147">
        <v>255380</v>
      </c>
      <c r="H8" s="147">
        <v>275392</v>
      </c>
      <c r="I8" s="147">
        <v>296340</v>
      </c>
      <c r="J8" s="147">
        <v>327848</v>
      </c>
      <c r="K8" s="147">
        <v>346732</v>
      </c>
      <c r="L8" s="147">
        <v>356313</v>
      </c>
      <c r="M8" s="147">
        <v>363149</v>
      </c>
      <c r="N8" s="148">
        <v>374569</v>
      </c>
      <c r="O8" s="148">
        <v>384863</v>
      </c>
      <c r="P8" s="148">
        <v>426249</v>
      </c>
      <c r="Q8" s="148">
        <v>481221</v>
      </c>
      <c r="R8" s="148">
        <v>496850</v>
      </c>
      <c r="S8" s="148">
        <v>498403</v>
      </c>
      <c r="T8" s="148">
        <v>501060</v>
      </c>
      <c r="U8" s="148">
        <v>517168</v>
      </c>
      <c r="V8" s="148">
        <v>528188</v>
      </c>
      <c r="W8" s="149">
        <v>541680</v>
      </c>
    </row>
    <row r="9" spans="2:23" s="145" customFormat="1">
      <c r="B9" s="146" t="s">
        <v>104</v>
      </c>
      <c r="C9" s="147">
        <v>333494</v>
      </c>
      <c r="D9" s="147">
        <v>339766</v>
      </c>
      <c r="E9" s="147">
        <v>344027</v>
      </c>
      <c r="F9" s="147">
        <v>344624</v>
      </c>
      <c r="G9" s="147">
        <v>343620</v>
      </c>
      <c r="H9" s="147">
        <v>342117</v>
      </c>
      <c r="I9" s="147">
        <v>328600</v>
      </c>
      <c r="J9" s="147">
        <v>324236</v>
      </c>
      <c r="K9" s="147">
        <v>312114</v>
      </c>
      <c r="L9" s="147">
        <v>295822</v>
      </c>
      <c r="M9" s="147">
        <v>278549</v>
      </c>
      <c r="N9" s="148">
        <v>275570</v>
      </c>
      <c r="O9" s="148">
        <v>256522</v>
      </c>
      <c r="P9" s="148">
        <v>243904</v>
      </c>
      <c r="Q9" s="148">
        <v>239462</v>
      </c>
      <c r="R9" s="148">
        <v>241497</v>
      </c>
      <c r="S9" s="148">
        <v>232278</v>
      </c>
      <c r="T9" s="148">
        <v>209070</v>
      </c>
      <c r="U9" s="148">
        <v>207535</v>
      </c>
      <c r="V9" s="148">
        <v>203645</v>
      </c>
      <c r="W9" s="149">
        <v>196519</v>
      </c>
    </row>
    <row r="10" spans="2:23" s="145" customFormat="1">
      <c r="B10" s="146" t="s">
        <v>93</v>
      </c>
      <c r="C10" s="147">
        <v>1844325</v>
      </c>
      <c r="D10" s="147">
        <v>1852409</v>
      </c>
      <c r="E10" s="147">
        <v>1971451</v>
      </c>
      <c r="F10" s="147">
        <v>1906029</v>
      </c>
      <c r="G10" s="147">
        <v>1860866</v>
      </c>
      <c r="H10" s="147">
        <v>1857703</v>
      </c>
      <c r="I10" s="147">
        <v>1787971</v>
      </c>
      <c r="J10" s="147">
        <v>1719987</v>
      </c>
      <c r="K10" s="147">
        <v>1701951</v>
      </c>
      <c r="L10" s="147">
        <v>1664689</v>
      </c>
      <c r="M10" s="147">
        <v>1587643</v>
      </c>
      <c r="N10" s="148">
        <v>1573282</v>
      </c>
      <c r="O10" s="148">
        <v>1552859</v>
      </c>
      <c r="P10" s="148">
        <v>1669763</v>
      </c>
      <c r="Q10" s="148">
        <v>1641235</v>
      </c>
      <c r="R10" s="148">
        <v>1649897</v>
      </c>
      <c r="S10" s="148">
        <v>1699255</v>
      </c>
      <c r="T10" s="148">
        <v>1650402</v>
      </c>
      <c r="U10" s="148">
        <v>1635843</v>
      </c>
      <c r="V10" s="148">
        <v>1630073</v>
      </c>
      <c r="W10" s="149">
        <v>1572848</v>
      </c>
    </row>
    <row r="11" spans="2:23" s="145" customFormat="1">
      <c r="B11" s="150"/>
      <c r="C11" s="151">
        <f>SUM(C5:C9)-C10</f>
        <v>0</v>
      </c>
      <c r="D11" s="151">
        <f t="shared" ref="D11:P11" si="1">SUM(D5:D9)-D10</f>
        <v>0</v>
      </c>
      <c r="E11" s="151">
        <f t="shared" si="1"/>
        <v>0</v>
      </c>
      <c r="F11" s="151">
        <f t="shared" si="1"/>
        <v>0</v>
      </c>
      <c r="G11" s="151">
        <f t="shared" si="1"/>
        <v>0</v>
      </c>
      <c r="H11" s="151">
        <f t="shared" si="1"/>
        <v>0</v>
      </c>
      <c r="I11" s="151">
        <f t="shared" si="1"/>
        <v>0</v>
      </c>
      <c r="J11" s="151">
        <f t="shared" si="1"/>
        <v>0</v>
      </c>
      <c r="K11" s="151">
        <f t="shared" si="1"/>
        <v>0</v>
      </c>
      <c r="L11" s="151">
        <f t="shared" si="1"/>
        <v>0</v>
      </c>
      <c r="M11" s="151">
        <f t="shared" si="1"/>
        <v>0</v>
      </c>
      <c r="N11" s="151">
        <f t="shared" si="1"/>
        <v>0</v>
      </c>
      <c r="O11" s="151">
        <f t="shared" si="1"/>
        <v>0</v>
      </c>
      <c r="P11" s="151">
        <f t="shared" si="1"/>
        <v>0</v>
      </c>
      <c r="Q11" s="151">
        <f t="shared" ref="Q11:W11" si="2">SUM(Q5:Q9)-Q10</f>
        <v>0</v>
      </c>
      <c r="R11" s="151">
        <f t="shared" si="2"/>
        <v>0</v>
      </c>
      <c r="S11" s="151">
        <f t="shared" si="2"/>
        <v>0</v>
      </c>
      <c r="T11" s="151">
        <f t="shared" si="2"/>
        <v>0</v>
      </c>
      <c r="U11" s="151">
        <f t="shared" si="2"/>
        <v>0</v>
      </c>
      <c r="V11" s="151">
        <f t="shared" ref="V11" si="3">SUM(V5:V9)-V10</f>
        <v>0</v>
      </c>
      <c r="W11" s="182">
        <f t="shared" si="2"/>
        <v>0</v>
      </c>
    </row>
    <row r="13" spans="2:23">
      <c r="B13" s="528" t="s">
        <v>105</v>
      </c>
      <c r="C13" s="528"/>
      <c r="D13" s="528"/>
      <c r="E13" s="528"/>
    </row>
    <row r="14" spans="2:23">
      <c r="B14" s="142"/>
      <c r="C14" s="143" t="s">
        <v>69</v>
      </c>
      <c r="D14" s="143" t="s">
        <v>83</v>
      </c>
      <c r="E14" s="143" t="s">
        <v>70</v>
      </c>
      <c r="F14" s="143" t="s">
        <v>84</v>
      </c>
      <c r="G14" s="143" t="s">
        <v>71</v>
      </c>
      <c r="H14" s="143" t="s">
        <v>85</v>
      </c>
      <c r="I14" s="143" t="s">
        <v>72</v>
      </c>
      <c r="J14" s="143" t="s">
        <v>86</v>
      </c>
      <c r="K14" s="143" t="s">
        <v>73</v>
      </c>
      <c r="L14" s="143" t="s">
        <v>74</v>
      </c>
      <c r="M14" s="143" t="s">
        <v>75</v>
      </c>
      <c r="N14" s="152" t="s">
        <v>110</v>
      </c>
      <c r="O14" s="152" t="s">
        <v>128</v>
      </c>
      <c r="P14" s="152" t="s">
        <v>132</v>
      </c>
      <c r="Q14" s="152" t="s">
        <v>140</v>
      </c>
      <c r="R14" s="152" t="s">
        <v>173</v>
      </c>
      <c r="S14" s="144" t="s">
        <v>183</v>
      </c>
      <c r="T14" s="152" t="s">
        <v>206</v>
      </c>
      <c r="U14" s="200" t="s">
        <v>220</v>
      </c>
      <c r="V14" s="215" t="s">
        <v>234</v>
      </c>
      <c r="W14" s="285" t="s">
        <v>294</v>
      </c>
    </row>
    <row r="15" spans="2:23">
      <c r="B15" s="146" t="s">
        <v>102</v>
      </c>
      <c r="C15" s="147">
        <v>145516</v>
      </c>
      <c r="D15" s="147">
        <v>160175</v>
      </c>
      <c r="E15" s="147">
        <v>166464</v>
      </c>
      <c r="F15" s="147">
        <v>189404</v>
      </c>
      <c r="G15" s="147">
        <v>199166</v>
      </c>
      <c r="H15" s="147">
        <v>209993</v>
      </c>
      <c r="I15" s="147">
        <v>233813</v>
      </c>
      <c r="J15" s="147">
        <v>218849</v>
      </c>
      <c r="K15" s="147">
        <v>217563</v>
      </c>
      <c r="L15" s="147">
        <v>210400</v>
      </c>
      <c r="M15" s="147">
        <v>207507</v>
      </c>
      <c r="N15" s="147">
        <v>207387</v>
      </c>
      <c r="O15" s="147">
        <v>213802</v>
      </c>
      <c r="P15" s="147">
        <f t="shared" ref="P15:T17" si="4">P7</f>
        <v>221510</v>
      </c>
      <c r="Q15" s="147">
        <f t="shared" si="4"/>
        <v>222238</v>
      </c>
      <c r="R15" s="147">
        <f t="shared" si="4"/>
        <v>237153</v>
      </c>
      <c r="S15" s="147">
        <f t="shared" si="4"/>
        <v>260026</v>
      </c>
      <c r="T15" s="147">
        <f t="shared" si="4"/>
        <v>279755</v>
      </c>
      <c r="U15" s="147">
        <f t="shared" ref="U15:W17" si="5">U7</f>
        <v>265954</v>
      </c>
      <c r="V15" s="147">
        <f t="shared" ref="V15" si="6">V7</f>
        <v>278423</v>
      </c>
      <c r="W15" s="287">
        <f t="shared" si="5"/>
        <v>265961</v>
      </c>
    </row>
    <row r="16" spans="2:23">
      <c r="B16" s="146" t="s">
        <v>103</v>
      </c>
      <c r="C16" s="147">
        <v>217325</v>
      </c>
      <c r="D16" s="147">
        <v>231951</v>
      </c>
      <c r="E16" s="147">
        <v>246904</v>
      </c>
      <c r="F16" s="147">
        <v>264778</v>
      </c>
      <c r="G16" s="147">
        <v>255380</v>
      </c>
      <c r="H16" s="147">
        <v>275392</v>
      </c>
      <c r="I16" s="147">
        <v>296340</v>
      </c>
      <c r="J16" s="147">
        <v>327848</v>
      </c>
      <c r="K16" s="147">
        <v>346732</v>
      </c>
      <c r="L16" s="147">
        <v>356313</v>
      </c>
      <c r="M16" s="147">
        <v>363149</v>
      </c>
      <c r="N16" s="147">
        <v>374569</v>
      </c>
      <c r="O16" s="147">
        <v>384863</v>
      </c>
      <c r="P16" s="147">
        <f t="shared" si="4"/>
        <v>426249</v>
      </c>
      <c r="Q16" s="147">
        <f t="shared" si="4"/>
        <v>481221</v>
      </c>
      <c r="R16" s="147">
        <f t="shared" si="4"/>
        <v>496850</v>
      </c>
      <c r="S16" s="147">
        <f t="shared" si="4"/>
        <v>498403</v>
      </c>
      <c r="T16" s="147">
        <f>T8</f>
        <v>501060</v>
      </c>
      <c r="U16" s="147">
        <f t="shared" si="5"/>
        <v>517168</v>
      </c>
      <c r="V16" s="147">
        <f t="shared" ref="V16" si="7">V8</f>
        <v>528188</v>
      </c>
      <c r="W16" s="287">
        <f t="shared" si="5"/>
        <v>541680</v>
      </c>
    </row>
    <row r="17" spans="2:23">
      <c r="B17" s="146" t="s">
        <v>104</v>
      </c>
      <c r="C17" s="147">
        <v>333494</v>
      </c>
      <c r="D17" s="147">
        <v>339766</v>
      </c>
      <c r="E17" s="147">
        <v>344027</v>
      </c>
      <c r="F17" s="147">
        <v>344624</v>
      </c>
      <c r="G17" s="147">
        <v>343620</v>
      </c>
      <c r="H17" s="147">
        <v>342117</v>
      </c>
      <c r="I17" s="147">
        <v>328600</v>
      </c>
      <c r="J17" s="147">
        <v>324236</v>
      </c>
      <c r="K17" s="147">
        <v>312114</v>
      </c>
      <c r="L17" s="147">
        <v>295822</v>
      </c>
      <c r="M17" s="147">
        <v>278549</v>
      </c>
      <c r="N17" s="147">
        <v>275570</v>
      </c>
      <c r="O17" s="147">
        <v>256522</v>
      </c>
      <c r="P17" s="147">
        <f t="shared" si="4"/>
        <v>243904</v>
      </c>
      <c r="Q17" s="147">
        <f t="shared" si="4"/>
        <v>239462</v>
      </c>
      <c r="R17" s="147">
        <f t="shared" si="4"/>
        <v>241497</v>
      </c>
      <c r="S17" s="147">
        <f t="shared" si="4"/>
        <v>232278</v>
      </c>
      <c r="T17" s="147">
        <f t="shared" si="4"/>
        <v>209070</v>
      </c>
      <c r="U17" s="147">
        <f t="shared" si="5"/>
        <v>207535</v>
      </c>
      <c r="V17" s="147">
        <f t="shared" ref="V17" si="8">V9</f>
        <v>203645</v>
      </c>
      <c r="W17" s="287">
        <f t="shared" si="5"/>
        <v>196519</v>
      </c>
    </row>
    <row r="18" spans="2:23" ht="27">
      <c r="B18" s="146" t="s">
        <v>106</v>
      </c>
      <c r="C18" s="147">
        <f>SUM(C15:C17)</f>
        <v>696335</v>
      </c>
      <c r="D18" s="147">
        <f t="shared" ref="D18:T18" si="9">SUM(D15:D17)</f>
        <v>731892</v>
      </c>
      <c r="E18" s="147">
        <f t="shared" si="9"/>
        <v>757395</v>
      </c>
      <c r="F18" s="147">
        <f t="shared" si="9"/>
        <v>798806</v>
      </c>
      <c r="G18" s="147">
        <f t="shared" si="9"/>
        <v>798166</v>
      </c>
      <c r="H18" s="147">
        <f t="shared" si="9"/>
        <v>827502</v>
      </c>
      <c r="I18" s="147">
        <f t="shared" si="9"/>
        <v>858753</v>
      </c>
      <c r="J18" s="147">
        <f t="shared" si="9"/>
        <v>870933</v>
      </c>
      <c r="K18" s="147">
        <f t="shared" si="9"/>
        <v>876409</v>
      </c>
      <c r="L18" s="147">
        <f t="shared" si="9"/>
        <v>862535</v>
      </c>
      <c r="M18" s="147">
        <f t="shared" si="9"/>
        <v>849205</v>
      </c>
      <c r="N18" s="147">
        <f t="shared" si="9"/>
        <v>857526</v>
      </c>
      <c r="O18" s="147">
        <f t="shared" si="9"/>
        <v>855187</v>
      </c>
      <c r="P18" s="147">
        <f t="shared" si="9"/>
        <v>891663</v>
      </c>
      <c r="Q18" s="147">
        <f t="shared" si="9"/>
        <v>942921</v>
      </c>
      <c r="R18" s="147">
        <f t="shared" si="9"/>
        <v>975500</v>
      </c>
      <c r="S18" s="147">
        <f t="shared" si="9"/>
        <v>990707</v>
      </c>
      <c r="T18" s="147">
        <f t="shared" si="9"/>
        <v>989885</v>
      </c>
      <c r="U18" s="147">
        <f>SUM(U15:U17)</f>
        <v>990657</v>
      </c>
      <c r="V18" s="147">
        <f>SUM(V15:V17)</f>
        <v>1010256</v>
      </c>
      <c r="W18" s="287">
        <f>SUM(W15:W17)</f>
        <v>1004160</v>
      </c>
    </row>
    <row r="19" spans="2:23">
      <c r="B19" s="150"/>
      <c r="C19" s="151"/>
      <c r="D19" s="151"/>
      <c r="E19" s="151"/>
      <c r="F19" s="151"/>
      <c r="G19" s="151"/>
      <c r="H19" s="151"/>
      <c r="I19" s="151"/>
      <c r="J19" s="151"/>
      <c r="K19" s="151"/>
      <c r="L19" s="151"/>
      <c r="M19" s="151"/>
    </row>
    <row r="20" spans="2:23">
      <c r="B20" s="529" t="s">
        <v>97</v>
      </c>
      <c r="C20" s="529"/>
      <c r="D20" s="529"/>
      <c r="E20" s="529"/>
    </row>
    <row r="21" spans="2:23">
      <c r="B21" s="142"/>
      <c r="C21" s="143" t="s">
        <v>69</v>
      </c>
      <c r="D21" s="143" t="s">
        <v>83</v>
      </c>
      <c r="E21" s="143" t="s">
        <v>70</v>
      </c>
      <c r="F21" s="143" t="s">
        <v>84</v>
      </c>
      <c r="G21" s="143" t="s">
        <v>71</v>
      </c>
      <c r="H21" s="143" t="s">
        <v>85</v>
      </c>
      <c r="I21" s="143" t="s">
        <v>72</v>
      </c>
      <c r="J21" s="143" t="s">
        <v>86</v>
      </c>
      <c r="K21" s="143" t="s">
        <v>73</v>
      </c>
      <c r="L21" s="143" t="s">
        <v>74</v>
      </c>
      <c r="M21" s="143" t="s">
        <v>75</v>
      </c>
      <c r="N21" s="152" t="s">
        <v>110</v>
      </c>
      <c r="O21" s="152" t="s">
        <v>128</v>
      </c>
      <c r="P21" s="152" t="s">
        <v>132</v>
      </c>
      <c r="Q21" s="152" t="s">
        <v>140</v>
      </c>
      <c r="R21" s="152" t="s">
        <v>173</v>
      </c>
      <c r="S21" s="144" t="s">
        <v>183</v>
      </c>
      <c r="T21" s="152" t="s">
        <v>206</v>
      </c>
      <c r="U21" s="200" t="s">
        <v>220</v>
      </c>
      <c r="V21" s="215" t="s">
        <v>234</v>
      </c>
      <c r="W21" s="285" t="s">
        <v>294</v>
      </c>
    </row>
    <row r="22" spans="2:23">
      <c r="B22" s="146" t="s">
        <v>101</v>
      </c>
      <c r="C22" s="153">
        <f>C5/C$10*100</f>
        <v>26.590703916066854</v>
      </c>
      <c r="D22" s="153">
        <f t="shared" ref="D22:S26" si="10">D5/D$10*100</f>
        <v>25.539500185974045</v>
      </c>
      <c r="E22" s="153">
        <f t="shared" si="10"/>
        <v>28.181882278585675</v>
      </c>
      <c r="F22" s="153">
        <f t="shared" si="10"/>
        <v>21.395949379573974</v>
      </c>
      <c r="G22" s="153">
        <f t="shared" si="10"/>
        <v>20.969107931468468</v>
      </c>
      <c r="H22" s="153">
        <f t="shared" si="10"/>
        <v>19.233537330778923</v>
      </c>
      <c r="I22" s="153">
        <f t="shared" si="10"/>
        <v>16.102945741289986</v>
      </c>
      <c r="J22" s="153">
        <f t="shared" si="10"/>
        <v>12.773526776655869</v>
      </c>
      <c r="K22" s="153">
        <f t="shared" si="10"/>
        <v>10.87105327944224</v>
      </c>
      <c r="L22" s="153">
        <f t="shared" si="10"/>
        <v>10.018327747705428</v>
      </c>
      <c r="M22" s="153">
        <f t="shared" si="10"/>
        <v>9.482295453071</v>
      </c>
      <c r="N22" s="153">
        <f t="shared" si="10"/>
        <v>10.305145549240377</v>
      </c>
      <c r="O22" s="153">
        <f t="shared" si="10"/>
        <v>7.9986012896212726</v>
      </c>
      <c r="P22" s="153">
        <f t="shared" si="10"/>
        <v>7.5355005470836272</v>
      </c>
      <c r="Q22" s="153">
        <f t="shared" si="10"/>
        <v>5.8112336137116261</v>
      </c>
      <c r="R22" s="153">
        <f t="shared" si="10"/>
        <v>5.4602196379531573</v>
      </c>
      <c r="S22" s="153">
        <f t="shared" si="10"/>
        <v>4.5146255270692155</v>
      </c>
      <c r="T22" s="153">
        <f>T5/T$10*100</f>
        <v>5.0728852728002023</v>
      </c>
      <c r="U22" s="153">
        <f>U5/U$10*100</f>
        <v>6.2270034471523248</v>
      </c>
      <c r="V22" s="153">
        <f>V5/V$10*100</f>
        <v>6.1886185465313517</v>
      </c>
      <c r="W22" s="288">
        <f>W5/W$10*100</f>
        <v>6.3650142925444797</v>
      </c>
    </row>
    <row r="23" spans="2:23">
      <c r="B23" s="146" t="s">
        <v>92</v>
      </c>
      <c r="C23" s="153">
        <f t="shared" ref="C23:K26" si="11">C6/C$10*100</f>
        <v>35.653748661434399</v>
      </c>
      <c r="D23" s="153">
        <f t="shared" si="11"/>
        <v>34.950218877148622</v>
      </c>
      <c r="E23" s="153">
        <f t="shared" si="11"/>
        <v>33.399967840945578</v>
      </c>
      <c r="F23" s="153">
        <f t="shared" si="11"/>
        <v>36.69461482485314</v>
      </c>
      <c r="G23" s="153">
        <f t="shared" si="11"/>
        <v>36.138711761083279</v>
      </c>
      <c r="H23" s="153">
        <f t="shared" si="11"/>
        <v>36.222097934922857</v>
      </c>
      <c r="I23" s="153">
        <f t="shared" si="11"/>
        <v>35.867583982066826</v>
      </c>
      <c r="J23" s="153">
        <f t="shared" si="11"/>
        <v>36.590450974338765</v>
      </c>
      <c r="K23" s="153">
        <f t="shared" si="11"/>
        <v>37.634573498296952</v>
      </c>
      <c r="L23" s="153">
        <f t="shared" si="10"/>
        <v>38.168090255897646</v>
      </c>
      <c r="M23" s="153">
        <f t="shared" si="10"/>
        <v>37.029294369074158</v>
      </c>
      <c r="N23" s="153">
        <f t="shared" si="10"/>
        <v>35.189304905287166</v>
      </c>
      <c r="O23" s="153">
        <f t="shared" si="10"/>
        <v>36.929624647183033</v>
      </c>
      <c r="P23" s="153">
        <f t="shared" si="10"/>
        <v>39.063927036351863</v>
      </c>
      <c r="Q23" s="153">
        <f t="shared" si="10"/>
        <v>36.736847556870281</v>
      </c>
      <c r="R23" s="153">
        <f t="shared" si="10"/>
        <v>35.414877413559751</v>
      </c>
      <c r="S23" s="153">
        <f t="shared" si="10"/>
        <v>37.182941936319153</v>
      </c>
      <c r="T23" s="153">
        <f t="shared" ref="T23:T26" si="12">T6/T$10*100</f>
        <v>34.948697347676507</v>
      </c>
      <c r="U23" s="153">
        <f t="shared" ref="U23:W26" si="13">U6/U$10*100</f>
        <v>33.213578564691112</v>
      </c>
      <c r="V23" s="153">
        <f t="shared" ref="V23" si="14">V6/V$10*100</f>
        <v>31.835261365595287</v>
      </c>
      <c r="W23" s="288">
        <f t="shared" si="13"/>
        <v>29.791562821073619</v>
      </c>
    </row>
    <row r="24" spans="2:23">
      <c r="B24" s="146" t="s">
        <v>102</v>
      </c>
      <c r="C24" s="153">
        <f t="shared" si="11"/>
        <v>7.8899326311794287</v>
      </c>
      <c r="D24" s="153">
        <f t="shared" si="11"/>
        <v>8.6468485091575342</v>
      </c>
      <c r="E24" s="153">
        <f t="shared" si="11"/>
        <v>8.4437300242308826</v>
      </c>
      <c r="F24" s="153">
        <f t="shared" si="11"/>
        <v>9.9370995929232979</v>
      </c>
      <c r="G24" s="153">
        <f t="shared" si="11"/>
        <v>10.702866299884032</v>
      </c>
      <c r="H24" s="153">
        <f t="shared" si="11"/>
        <v>11.303905952673812</v>
      </c>
      <c r="I24" s="153">
        <f t="shared" si="11"/>
        <v>13.077001808194877</v>
      </c>
      <c r="J24" s="153">
        <f t="shared" si="11"/>
        <v>12.723875238591919</v>
      </c>
      <c r="K24" s="153">
        <f t="shared" si="11"/>
        <v>12.783152981490067</v>
      </c>
      <c r="L24" s="153">
        <f t="shared" si="10"/>
        <v>12.638997434355606</v>
      </c>
      <c r="M24" s="153">
        <f t="shared" si="10"/>
        <v>13.070129745792977</v>
      </c>
      <c r="N24" s="153">
        <f t="shared" si="10"/>
        <v>13.181807203031623</v>
      </c>
      <c r="O24" s="153">
        <f t="shared" si="10"/>
        <v>13.768281601871129</v>
      </c>
      <c r="P24" s="153">
        <f t="shared" si="10"/>
        <v>13.265954509711857</v>
      </c>
      <c r="Q24" s="153">
        <f t="shared" si="10"/>
        <v>13.540900602290348</v>
      </c>
      <c r="R24" s="153">
        <f t="shared" si="10"/>
        <v>14.373806364882173</v>
      </c>
      <c r="S24" s="153">
        <f t="shared" si="10"/>
        <v>15.302353090030632</v>
      </c>
      <c r="T24" s="153">
        <f t="shared" si="12"/>
        <v>16.950718673389879</v>
      </c>
      <c r="U24" s="153">
        <f t="shared" si="13"/>
        <v>16.257917171757924</v>
      </c>
      <c r="V24" s="153">
        <f t="shared" ref="V24" si="15">V7/V$10*100</f>
        <v>17.080400693711265</v>
      </c>
      <c r="W24" s="288">
        <f t="shared" si="13"/>
        <v>16.909517003550249</v>
      </c>
    </row>
    <row r="25" spans="2:23">
      <c r="B25" s="146" t="s">
        <v>103</v>
      </c>
      <c r="C25" s="153">
        <f t="shared" si="11"/>
        <v>11.783443807354994</v>
      </c>
      <c r="D25" s="153">
        <f t="shared" si="11"/>
        <v>12.521586755408768</v>
      </c>
      <c r="E25" s="153">
        <f t="shared" si="11"/>
        <v>12.523973459142528</v>
      </c>
      <c r="F25" s="153">
        <f t="shared" si="11"/>
        <v>13.891603957757201</v>
      </c>
      <c r="G25" s="153">
        <f t="shared" si="11"/>
        <v>13.723717881889399</v>
      </c>
      <c r="H25" s="153">
        <f t="shared" si="11"/>
        <v>14.824328754381083</v>
      </c>
      <c r="I25" s="153">
        <f t="shared" si="11"/>
        <v>16.574094322558921</v>
      </c>
      <c r="J25" s="153">
        <f t="shared" si="11"/>
        <v>19.061074298817374</v>
      </c>
      <c r="K25" s="153">
        <f t="shared" si="11"/>
        <v>20.37261942323839</v>
      </c>
      <c r="L25" s="153">
        <f t="shared" si="10"/>
        <v>21.404178197849568</v>
      </c>
      <c r="M25" s="153">
        <f t="shared" si="10"/>
        <v>22.873467145951576</v>
      </c>
      <c r="N25" s="153">
        <f t="shared" si="10"/>
        <v>23.808128485548043</v>
      </c>
      <c r="O25" s="153">
        <f t="shared" si="10"/>
        <v>24.78415619190152</v>
      </c>
      <c r="P25" s="153">
        <f t="shared" si="10"/>
        <v>25.527514982665206</v>
      </c>
      <c r="Q25" s="153">
        <f t="shared" si="10"/>
        <v>29.320664012161572</v>
      </c>
      <c r="R25" s="153">
        <f t="shared" si="10"/>
        <v>30.114001055823486</v>
      </c>
      <c r="S25" s="153">
        <f t="shared" si="10"/>
        <v>29.330677267390708</v>
      </c>
      <c r="T25" s="153">
        <f t="shared" si="12"/>
        <v>30.359875957493994</v>
      </c>
      <c r="U25" s="153">
        <f t="shared" si="13"/>
        <v>31.614769877060329</v>
      </c>
      <c r="V25" s="153">
        <f t="shared" ref="V25" si="16">V8/V$10*100</f>
        <v>32.402720614352852</v>
      </c>
      <c r="W25" s="288">
        <f t="shared" si="13"/>
        <v>34.439437250134787</v>
      </c>
    </row>
    <row r="26" spans="2:23">
      <c r="B26" s="146" t="s">
        <v>104</v>
      </c>
      <c r="C26" s="153">
        <f t="shared" si="11"/>
        <v>18.082170983964325</v>
      </c>
      <c r="D26" s="153">
        <f t="shared" si="11"/>
        <v>18.341845672311027</v>
      </c>
      <c r="E26" s="153">
        <f t="shared" si="11"/>
        <v>17.450446397095337</v>
      </c>
      <c r="F26" s="153">
        <f t="shared" si="11"/>
        <v>18.080732244892392</v>
      </c>
      <c r="G26" s="153">
        <f t="shared" si="11"/>
        <v>18.465596125674821</v>
      </c>
      <c r="H26" s="153">
        <f t="shared" si="11"/>
        <v>18.416130027243323</v>
      </c>
      <c r="I26" s="153">
        <f t="shared" si="11"/>
        <v>18.378374145889389</v>
      </c>
      <c r="J26" s="153">
        <f t="shared" si="11"/>
        <v>18.851072711596075</v>
      </c>
      <c r="K26" s="153">
        <f t="shared" si="11"/>
        <v>18.338600817532349</v>
      </c>
      <c r="L26" s="153">
        <f t="shared" si="10"/>
        <v>17.77040636419175</v>
      </c>
      <c r="M26" s="153">
        <f t="shared" si="10"/>
        <v>17.544813286110291</v>
      </c>
      <c r="N26" s="153">
        <f t="shared" si="10"/>
        <v>17.515613856892788</v>
      </c>
      <c r="O26" s="153">
        <f t="shared" si="10"/>
        <v>16.519336269423047</v>
      </c>
      <c r="P26" s="153">
        <f t="shared" si="10"/>
        <v>14.607102924187446</v>
      </c>
      <c r="Q26" s="153">
        <f t="shared" si="10"/>
        <v>14.590354214966169</v>
      </c>
      <c r="R26" s="153">
        <f t="shared" si="10"/>
        <v>14.637095527781433</v>
      </c>
      <c r="S26" s="153">
        <f t="shared" si="10"/>
        <v>13.669402179190293</v>
      </c>
      <c r="T26" s="153">
        <f t="shared" si="12"/>
        <v>12.667822748639423</v>
      </c>
      <c r="U26" s="153">
        <f t="shared" si="13"/>
        <v>12.686730939338311</v>
      </c>
      <c r="V26" s="153">
        <f t="shared" ref="V26" si="17">V9/V$10*100</f>
        <v>12.492998779809247</v>
      </c>
      <c r="W26" s="288">
        <f t="shared" si="13"/>
        <v>12.494468632696867</v>
      </c>
    </row>
    <row r="27" spans="2:23">
      <c r="B27" s="146" t="s">
        <v>93</v>
      </c>
      <c r="C27" s="153">
        <f>SUM(C22:C26)</f>
        <v>100</v>
      </c>
      <c r="D27" s="153">
        <f t="shared" ref="D27:P27" si="18">SUM(D22:D26)</f>
        <v>99.999999999999986</v>
      </c>
      <c r="E27" s="153">
        <f t="shared" si="18"/>
        <v>100</v>
      </c>
      <c r="F27" s="153">
        <f t="shared" si="18"/>
        <v>100</v>
      </c>
      <c r="G27" s="153">
        <f t="shared" si="18"/>
        <v>100</v>
      </c>
      <c r="H27" s="153">
        <f t="shared" si="18"/>
        <v>100</v>
      </c>
      <c r="I27" s="153">
        <f t="shared" si="18"/>
        <v>100</v>
      </c>
      <c r="J27" s="153">
        <f t="shared" si="18"/>
        <v>100</v>
      </c>
      <c r="K27" s="153">
        <f t="shared" si="18"/>
        <v>100</v>
      </c>
      <c r="L27" s="153">
        <f t="shared" si="18"/>
        <v>100</v>
      </c>
      <c r="M27" s="153">
        <f t="shared" si="18"/>
        <v>100</v>
      </c>
      <c r="N27" s="153">
        <f t="shared" si="18"/>
        <v>100</v>
      </c>
      <c r="O27" s="153">
        <f t="shared" si="18"/>
        <v>100</v>
      </c>
      <c r="P27" s="153">
        <f t="shared" si="18"/>
        <v>100</v>
      </c>
      <c r="Q27" s="153">
        <f t="shared" ref="Q27:W27" si="19">SUM(Q22:Q26)</f>
        <v>100</v>
      </c>
      <c r="R27" s="153">
        <f t="shared" si="19"/>
        <v>100</v>
      </c>
      <c r="S27" s="153">
        <f t="shared" si="19"/>
        <v>100</v>
      </c>
      <c r="T27" s="153">
        <f t="shared" si="19"/>
        <v>100</v>
      </c>
      <c r="U27" s="153">
        <f t="shared" si="19"/>
        <v>100</v>
      </c>
      <c r="V27" s="153">
        <f t="shared" ref="V27" si="20">SUM(V22:V26)</f>
        <v>99.999999999999986</v>
      </c>
      <c r="W27" s="288">
        <f t="shared" si="19"/>
        <v>100</v>
      </c>
    </row>
    <row r="29" spans="2:23">
      <c r="B29" s="529" t="s">
        <v>98</v>
      </c>
      <c r="C29" s="529"/>
      <c r="D29" s="529"/>
      <c r="E29" s="529"/>
    </row>
    <row r="30" spans="2:23">
      <c r="B30" s="142"/>
      <c r="C30" s="143" t="s">
        <v>69</v>
      </c>
      <c r="D30" s="143" t="s">
        <v>83</v>
      </c>
      <c r="E30" s="143" t="s">
        <v>70</v>
      </c>
      <c r="F30" s="143" t="s">
        <v>84</v>
      </c>
      <c r="G30" s="143" t="s">
        <v>71</v>
      </c>
      <c r="H30" s="143" t="s">
        <v>85</v>
      </c>
      <c r="I30" s="143" t="s">
        <v>72</v>
      </c>
      <c r="J30" s="143" t="s">
        <v>86</v>
      </c>
      <c r="K30" s="143" t="s">
        <v>73</v>
      </c>
      <c r="L30" s="143" t="s">
        <v>74</v>
      </c>
      <c r="M30" s="143" t="s">
        <v>75</v>
      </c>
      <c r="N30" s="152" t="s">
        <v>110</v>
      </c>
      <c r="O30" s="152" t="s">
        <v>128</v>
      </c>
      <c r="P30" s="152" t="s">
        <v>132</v>
      </c>
      <c r="Q30" s="152" t="s">
        <v>140</v>
      </c>
      <c r="R30" s="152" t="s">
        <v>173</v>
      </c>
      <c r="S30" s="144" t="s">
        <v>183</v>
      </c>
      <c r="T30" s="152" t="s">
        <v>206</v>
      </c>
      <c r="U30" s="200" t="s">
        <v>220</v>
      </c>
      <c r="V30" s="215" t="s">
        <v>234</v>
      </c>
      <c r="W30" s="285" t="s">
        <v>294</v>
      </c>
    </row>
    <row r="31" spans="2:23">
      <c r="B31" s="146" t="s">
        <v>101</v>
      </c>
      <c r="C31" s="154">
        <f>ROUND(C22,1)</f>
        <v>26.6</v>
      </c>
      <c r="D31" s="154">
        <f t="shared" ref="D31:T35" si="21">ROUND(D22,1)</f>
        <v>25.5</v>
      </c>
      <c r="E31" s="154">
        <f t="shared" si="21"/>
        <v>28.2</v>
      </c>
      <c r="F31" s="154">
        <f t="shared" si="21"/>
        <v>21.4</v>
      </c>
      <c r="G31" s="154">
        <f t="shared" si="21"/>
        <v>21</v>
      </c>
      <c r="H31" s="154">
        <f t="shared" si="21"/>
        <v>19.2</v>
      </c>
      <c r="I31" s="154">
        <f t="shared" si="21"/>
        <v>16.100000000000001</v>
      </c>
      <c r="J31" s="154">
        <f t="shared" si="21"/>
        <v>12.8</v>
      </c>
      <c r="K31" s="154">
        <f t="shared" si="21"/>
        <v>10.9</v>
      </c>
      <c r="L31" s="154">
        <f t="shared" si="21"/>
        <v>10</v>
      </c>
      <c r="M31" s="154">
        <f t="shared" si="21"/>
        <v>9.5</v>
      </c>
      <c r="N31" s="154">
        <f t="shared" si="21"/>
        <v>10.3</v>
      </c>
      <c r="O31" s="154">
        <f t="shared" si="21"/>
        <v>8</v>
      </c>
      <c r="P31" s="154">
        <f t="shared" si="21"/>
        <v>7.5</v>
      </c>
      <c r="Q31" s="154">
        <f t="shared" si="21"/>
        <v>5.8</v>
      </c>
      <c r="R31" s="154">
        <f t="shared" si="21"/>
        <v>5.5</v>
      </c>
      <c r="S31" s="154">
        <f t="shared" si="21"/>
        <v>4.5</v>
      </c>
      <c r="T31" s="154">
        <f t="shared" si="21"/>
        <v>5.0999999999999996</v>
      </c>
      <c r="U31" s="154">
        <f t="shared" ref="U31:W35" si="22">ROUND(U22,1)</f>
        <v>6.2</v>
      </c>
      <c r="V31" s="154">
        <f t="shared" ref="V31" si="23">ROUND(V22,1)</f>
        <v>6.2</v>
      </c>
      <c r="W31" s="181">
        <f t="shared" si="22"/>
        <v>6.4</v>
      </c>
    </row>
    <row r="32" spans="2:23">
      <c r="B32" s="146" t="s">
        <v>92</v>
      </c>
      <c r="C32" s="154">
        <f>ROUND(C23,1)-0.1</f>
        <v>35.6</v>
      </c>
      <c r="D32" s="154">
        <f t="shared" si="21"/>
        <v>35</v>
      </c>
      <c r="E32" s="154">
        <f t="shared" si="21"/>
        <v>33.4</v>
      </c>
      <c r="F32" s="154">
        <f t="shared" si="21"/>
        <v>36.700000000000003</v>
      </c>
      <c r="G32" s="154">
        <f t="shared" si="21"/>
        <v>36.1</v>
      </c>
      <c r="H32" s="154">
        <f>ROUND(H23,1)+0.1</f>
        <v>36.300000000000004</v>
      </c>
      <c r="I32" s="154">
        <f>ROUND(I23,1)-0.1</f>
        <v>35.799999999999997</v>
      </c>
      <c r="J32" s="154">
        <f t="shared" si="21"/>
        <v>36.6</v>
      </c>
      <c r="K32" s="154">
        <f t="shared" si="21"/>
        <v>37.6</v>
      </c>
      <c r="L32" s="154">
        <f t="shared" si="21"/>
        <v>38.200000000000003</v>
      </c>
      <c r="M32" s="154">
        <f t="shared" si="21"/>
        <v>37</v>
      </c>
      <c r="N32" s="154">
        <f t="shared" si="21"/>
        <v>35.200000000000003</v>
      </c>
      <c r="O32" s="154">
        <f t="shared" si="21"/>
        <v>36.9</v>
      </c>
      <c r="P32" s="154">
        <f t="shared" si="21"/>
        <v>39.1</v>
      </c>
      <c r="Q32" s="155">
        <f>ROUND(Q23,1)+0.1</f>
        <v>36.800000000000004</v>
      </c>
      <c r="R32" s="156">
        <f>ROUND(R23,1)</f>
        <v>35.4</v>
      </c>
      <c r="S32" s="156">
        <f>ROUND(S23,1)</f>
        <v>37.200000000000003</v>
      </c>
      <c r="T32" s="156">
        <f>ROUND(T23,1)</f>
        <v>34.9</v>
      </c>
      <c r="U32" s="156">
        <f t="shared" si="22"/>
        <v>33.200000000000003</v>
      </c>
      <c r="V32" s="156">
        <f t="shared" ref="V32" si="24">ROUND(V23,1)</f>
        <v>31.8</v>
      </c>
      <c r="W32" s="289">
        <f t="shared" si="22"/>
        <v>29.8</v>
      </c>
    </row>
    <row r="33" spans="2:23">
      <c r="B33" s="146" t="s">
        <v>102</v>
      </c>
      <c r="C33" s="154">
        <f t="shared" ref="C33:K35" si="25">ROUND(C24,1)</f>
        <v>7.9</v>
      </c>
      <c r="D33" s="154">
        <f>ROUND(D24,1)+0.1</f>
        <v>8.6999999999999993</v>
      </c>
      <c r="E33" s="154">
        <f t="shared" si="25"/>
        <v>8.4</v>
      </c>
      <c r="F33" s="154">
        <f t="shared" si="25"/>
        <v>9.9</v>
      </c>
      <c r="G33" s="154">
        <f t="shared" si="25"/>
        <v>10.7</v>
      </c>
      <c r="H33" s="154">
        <f t="shared" si="25"/>
        <v>11.3</v>
      </c>
      <c r="I33" s="154">
        <f t="shared" si="25"/>
        <v>13.1</v>
      </c>
      <c r="J33" s="154">
        <f t="shared" si="25"/>
        <v>12.7</v>
      </c>
      <c r="K33" s="154">
        <f t="shared" si="25"/>
        <v>12.8</v>
      </c>
      <c r="L33" s="154">
        <f t="shared" si="21"/>
        <v>12.6</v>
      </c>
      <c r="M33" s="154">
        <f t="shared" si="21"/>
        <v>13.1</v>
      </c>
      <c r="N33" s="154">
        <f t="shared" si="21"/>
        <v>13.2</v>
      </c>
      <c r="O33" s="154">
        <f t="shared" si="21"/>
        <v>13.8</v>
      </c>
      <c r="P33" s="154">
        <f t="shared" si="21"/>
        <v>13.3</v>
      </c>
      <c r="Q33" s="154">
        <f t="shared" si="21"/>
        <v>13.5</v>
      </c>
      <c r="R33" s="154">
        <f t="shared" si="21"/>
        <v>14.4</v>
      </c>
      <c r="S33" s="154">
        <f t="shared" si="21"/>
        <v>15.3</v>
      </c>
      <c r="T33" s="155">
        <f>ROUND(T24,1)-0.1</f>
        <v>16.899999999999999</v>
      </c>
      <c r="U33" s="201">
        <f t="shared" si="22"/>
        <v>16.3</v>
      </c>
      <c r="V33" s="201">
        <f t="shared" ref="V33" si="26">ROUND(V24,1)</f>
        <v>17.100000000000001</v>
      </c>
      <c r="W33" s="290">
        <f t="shared" si="22"/>
        <v>16.899999999999999</v>
      </c>
    </row>
    <row r="34" spans="2:23">
      <c r="B34" s="146" t="s">
        <v>103</v>
      </c>
      <c r="C34" s="154">
        <f t="shared" si="25"/>
        <v>11.8</v>
      </c>
      <c r="D34" s="154">
        <f t="shared" si="25"/>
        <v>12.5</v>
      </c>
      <c r="E34" s="154">
        <f t="shared" si="25"/>
        <v>12.5</v>
      </c>
      <c r="F34" s="154">
        <f t="shared" si="25"/>
        <v>13.9</v>
      </c>
      <c r="G34" s="154">
        <f t="shared" si="25"/>
        <v>13.7</v>
      </c>
      <c r="H34" s="154">
        <f t="shared" si="25"/>
        <v>14.8</v>
      </c>
      <c r="I34" s="154">
        <f t="shared" si="25"/>
        <v>16.600000000000001</v>
      </c>
      <c r="J34" s="154">
        <f t="shared" si="25"/>
        <v>19.100000000000001</v>
      </c>
      <c r="K34" s="154">
        <f t="shared" si="25"/>
        <v>20.399999999999999</v>
      </c>
      <c r="L34" s="154">
        <f t="shared" si="21"/>
        <v>21.4</v>
      </c>
      <c r="M34" s="154">
        <f t="shared" si="21"/>
        <v>22.9</v>
      </c>
      <c r="N34" s="154">
        <f t="shared" si="21"/>
        <v>23.8</v>
      </c>
      <c r="O34" s="154">
        <f t="shared" si="21"/>
        <v>24.8</v>
      </c>
      <c r="P34" s="154">
        <f t="shared" si="21"/>
        <v>25.5</v>
      </c>
      <c r="Q34" s="154">
        <f t="shared" si="21"/>
        <v>29.3</v>
      </c>
      <c r="R34" s="154">
        <f t="shared" si="21"/>
        <v>30.1</v>
      </c>
      <c r="S34" s="154">
        <f t="shared" si="21"/>
        <v>29.3</v>
      </c>
      <c r="T34" s="154">
        <f t="shared" si="21"/>
        <v>30.4</v>
      </c>
      <c r="U34" s="154">
        <f t="shared" si="22"/>
        <v>31.6</v>
      </c>
      <c r="V34" s="154">
        <f t="shared" ref="V34" si="27">ROUND(V25,1)</f>
        <v>32.4</v>
      </c>
      <c r="W34" s="181">
        <f t="shared" si="22"/>
        <v>34.4</v>
      </c>
    </row>
    <row r="35" spans="2:23">
      <c r="B35" s="146" t="s">
        <v>104</v>
      </c>
      <c r="C35" s="154">
        <f t="shared" si="25"/>
        <v>18.100000000000001</v>
      </c>
      <c r="D35" s="154">
        <f t="shared" si="25"/>
        <v>18.3</v>
      </c>
      <c r="E35" s="154">
        <f t="shared" si="25"/>
        <v>17.5</v>
      </c>
      <c r="F35" s="154">
        <f t="shared" si="25"/>
        <v>18.100000000000001</v>
      </c>
      <c r="G35" s="154">
        <f t="shared" si="25"/>
        <v>18.5</v>
      </c>
      <c r="H35" s="154">
        <f t="shared" si="25"/>
        <v>18.399999999999999</v>
      </c>
      <c r="I35" s="154">
        <f t="shared" si="25"/>
        <v>18.399999999999999</v>
      </c>
      <c r="J35" s="154">
        <f>ROUND(J26,1)-0.1</f>
        <v>18.799999999999997</v>
      </c>
      <c r="K35" s="154">
        <f t="shared" si="25"/>
        <v>18.3</v>
      </c>
      <c r="L35" s="154">
        <f t="shared" si="21"/>
        <v>17.8</v>
      </c>
      <c r="M35" s="154">
        <f t="shared" si="21"/>
        <v>17.5</v>
      </c>
      <c r="N35" s="154">
        <f t="shared" si="21"/>
        <v>17.5</v>
      </c>
      <c r="O35" s="154">
        <f t="shared" si="21"/>
        <v>16.5</v>
      </c>
      <c r="P35" s="154">
        <f t="shared" si="21"/>
        <v>14.6</v>
      </c>
      <c r="Q35" s="154">
        <f t="shared" si="21"/>
        <v>14.6</v>
      </c>
      <c r="R35" s="154">
        <f t="shared" si="21"/>
        <v>14.6</v>
      </c>
      <c r="S35" s="154">
        <f t="shared" si="21"/>
        <v>13.7</v>
      </c>
      <c r="T35" s="154">
        <f t="shared" si="21"/>
        <v>12.7</v>
      </c>
      <c r="U35" s="154">
        <f t="shared" si="22"/>
        <v>12.7</v>
      </c>
      <c r="V35" s="154">
        <f t="shared" ref="V35" si="28">ROUND(V26,1)</f>
        <v>12.5</v>
      </c>
      <c r="W35" s="181">
        <f t="shared" si="22"/>
        <v>12.5</v>
      </c>
    </row>
    <row r="36" spans="2:23">
      <c r="B36" s="146" t="s">
        <v>93</v>
      </c>
      <c r="C36" s="154">
        <f t="shared" ref="C36:P36" si="29">SUM(C31:C35)</f>
        <v>100</v>
      </c>
      <c r="D36" s="154">
        <f t="shared" si="29"/>
        <v>100</v>
      </c>
      <c r="E36" s="154">
        <f t="shared" si="29"/>
        <v>100</v>
      </c>
      <c r="F36" s="154">
        <f t="shared" si="29"/>
        <v>100</v>
      </c>
      <c r="G36" s="154">
        <f t="shared" si="29"/>
        <v>100</v>
      </c>
      <c r="H36" s="154">
        <f t="shared" si="29"/>
        <v>100</v>
      </c>
      <c r="I36" s="154">
        <f t="shared" si="29"/>
        <v>100</v>
      </c>
      <c r="J36" s="154">
        <f t="shared" si="29"/>
        <v>100.00000000000001</v>
      </c>
      <c r="K36" s="154">
        <f t="shared" si="29"/>
        <v>99.999999999999986</v>
      </c>
      <c r="L36" s="154">
        <f t="shared" si="29"/>
        <v>100</v>
      </c>
      <c r="M36" s="154">
        <f t="shared" si="29"/>
        <v>100</v>
      </c>
      <c r="N36" s="154">
        <f t="shared" si="29"/>
        <v>100</v>
      </c>
      <c r="O36" s="154">
        <f t="shared" si="29"/>
        <v>100</v>
      </c>
      <c r="P36" s="154">
        <f t="shared" si="29"/>
        <v>100</v>
      </c>
      <c r="Q36" s="154">
        <f t="shared" ref="Q36:W36" si="30">SUM(Q31:Q35)</f>
        <v>100</v>
      </c>
      <c r="R36" s="154">
        <f t="shared" si="30"/>
        <v>100</v>
      </c>
      <c r="S36" s="154">
        <f t="shared" si="30"/>
        <v>100</v>
      </c>
      <c r="T36" s="154">
        <f t="shared" si="30"/>
        <v>100</v>
      </c>
      <c r="U36" s="154">
        <f t="shared" si="30"/>
        <v>100.00000000000001</v>
      </c>
      <c r="V36" s="154">
        <f t="shared" ref="V36" si="31">SUM(V31:V35)</f>
        <v>100</v>
      </c>
      <c r="W36" s="181">
        <f t="shared" si="30"/>
        <v>100</v>
      </c>
    </row>
    <row r="38" spans="2:23">
      <c r="B38" s="141" t="s">
        <v>82</v>
      </c>
    </row>
    <row r="39" spans="2:23" s="145" customFormat="1">
      <c r="B39" s="142"/>
      <c r="C39" s="152" t="s">
        <v>69</v>
      </c>
      <c r="D39" s="143" t="s">
        <v>70</v>
      </c>
      <c r="E39" s="143" t="s">
        <v>71</v>
      </c>
      <c r="F39" s="143" t="s">
        <v>72</v>
      </c>
      <c r="G39" s="152" t="s">
        <v>86</v>
      </c>
      <c r="H39" s="143" t="s">
        <v>75</v>
      </c>
      <c r="I39" s="144" t="s">
        <v>128</v>
      </c>
      <c r="J39" s="152" t="s">
        <v>128</v>
      </c>
      <c r="K39" s="157" t="s">
        <v>221</v>
      </c>
      <c r="L39" s="202" t="s">
        <v>220</v>
      </c>
      <c r="M39" s="216" t="s">
        <v>235</v>
      </c>
      <c r="N39" s="285" t="s">
        <v>294</v>
      </c>
    </row>
    <row r="40" spans="2:23" s="145" customFormat="1">
      <c r="B40" s="146" t="s">
        <v>101</v>
      </c>
      <c r="C40" s="147">
        <v>490419</v>
      </c>
      <c r="D40" s="147">
        <v>555592</v>
      </c>
      <c r="E40" s="147">
        <v>390207</v>
      </c>
      <c r="F40" s="147">
        <v>287916</v>
      </c>
      <c r="G40" s="147">
        <v>219703</v>
      </c>
      <c r="H40" s="147">
        <f>M5</f>
        <v>150545</v>
      </c>
      <c r="I40" s="148">
        <f>O5</f>
        <v>124207</v>
      </c>
      <c r="J40" s="148">
        <f t="shared" ref="J40:J45" si="32">O5</f>
        <v>124207</v>
      </c>
      <c r="K40" s="148">
        <f t="shared" ref="K40:N45" si="33">T5</f>
        <v>83723</v>
      </c>
      <c r="L40" s="148">
        <f t="shared" si="33"/>
        <v>101864</v>
      </c>
      <c r="M40" s="148">
        <f t="shared" si="33"/>
        <v>100879</v>
      </c>
      <c r="N40" s="149">
        <f t="shared" si="33"/>
        <v>100112</v>
      </c>
    </row>
    <row r="41" spans="2:23" s="145" customFormat="1">
      <c r="B41" s="146" t="s">
        <v>92</v>
      </c>
      <c r="C41" s="147">
        <f>C45-C44-C43-C40-C42</f>
        <v>657571</v>
      </c>
      <c r="D41" s="147">
        <f>D45-D44-D43-D40-D42</f>
        <v>658464</v>
      </c>
      <c r="E41" s="147">
        <f>E45-E44-E43-E40-E42</f>
        <v>672493</v>
      </c>
      <c r="F41" s="147">
        <f>F45-F44-F43-F40-F42</f>
        <v>641302</v>
      </c>
      <c r="G41" s="147">
        <f>G45-G44-G43-G40-G42</f>
        <v>629351</v>
      </c>
      <c r="H41" s="147">
        <f>M6</f>
        <v>587893</v>
      </c>
      <c r="I41" s="148">
        <f>O6</f>
        <v>573465</v>
      </c>
      <c r="J41" s="148">
        <f t="shared" si="32"/>
        <v>573465</v>
      </c>
      <c r="K41" s="148">
        <f t="shared" si="33"/>
        <v>576794</v>
      </c>
      <c r="L41" s="148">
        <f t="shared" si="33"/>
        <v>543322</v>
      </c>
      <c r="M41" s="148">
        <f t="shared" si="33"/>
        <v>518938</v>
      </c>
      <c r="N41" s="149">
        <f t="shared" si="33"/>
        <v>468576</v>
      </c>
    </row>
    <row r="42" spans="2:23" s="145" customFormat="1">
      <c r="B42" s="146" t="s">
        <v>102</v>
      </c>
      <c r="C42" s="147">
        <v>145516</v>
      </c>
      <c r="D42" s="147">
        <v>166464</v>
      </c>
      <c r="E42" s="147">
        <v>199166</v>
      </c>
      <c r="F42" s="147">
        <v>233813</v>
      </c>
      <c r="G42" s="147">
        <v>218849</v>
      </c>
      <c r="H42" s="147">
        <f>M7</f>
        <v>207507</v>
      </c>
      <c r="I42" s="148">
        <f>O7</f>
        <v>213802</v>
      </c>
      <c r="J42" s="148">
        <f t="shared" si="32"/>
        <v>213802</v>
      </c>
      <c r="K42" s="148">
        <f t="shared" si="33"/>
        <v>279755</v>
      </c>
      <c r="L42" s="148">
        <f t="shared" si="33"/>
        <v>265954</v>
      </c>
      <c r="M42" s="148">
        <f t="shared" si="33"/>
        <v>278423</v>
      </c>
      <c r="N42" s="149">
        <f t="shared" si="33"/>
        <v>265961</v>
      </c>
    </row>
    <row r="43" spans="2:23" s="145" customFormat="1">
      <c r="B43" s="146" t="s">
        <v>103</v>
      </c>
      <c r="C43" s="147">
        <v>217325</v>
      </c>
      <c r="D43" s="147">
        <v>246904</v>
      </c>
      <c r="E43" s="147">
        <v>255380</v>
      </c>
      <c r="F43" s="147">
        <v>296340</v>
      </c>
      <c r="G43" s="147">
        <v>327848</v>
      </c>
      <c r="H43" s="147">
        <f>M8</f>
        <v>363149</v>
      </c>
      <c r="I43" s="148">
        <f>O8</f>
        <v>384863</v>
      </c>
      <c r="J43" s="148">
        <f t="shared" si="32"/>
        <v>384863</v>
      </c>
      <c r="K43" s="148">
        <f t="shared" si="33"/>
        <v>501060</v>
      </c>
      <c r="L43" s="148">
        <f t="shared" si="33"/>
        <v>517168</v>
      </c>
      <c r="M43" s="148">
        <f t="shared" si="33"/>
        <v>528188</v>
      </c>
      <c r="N43" s="149">
        <f t="shared" si="33"/>
        <v>541680</v>
      </c>
    </row>
    <row r="44" spans="2:23" s="145" customFormat="1">
      <c r="B44" s="146" t="s">
        <v>104</v>
      </c>
      <c r="C44" s="147">
        <v>333494</v>
      </c>
      <c r="D44" s="147">
        <v>344027</v>
      </c>
      <c r="E44" s="147">
        <v>343620</v>
      </c>
      <c r="F44" s="147">
        <v>328600</v>
      </c>
      <c r="G44" s="147">
        <v>324236</v>
      </c>
      <c r="H44" s="147">
        <f>M9</f>
        <v>278549</v>
      </c>
      <c r="I44" s="148">
        <f>O9</f>
        <v>256522</v>
      </c>
      <c r="J44" s="148">
        <f t="shared" si="32"/>
        <v>256522</v>
      </c>
      <c r="K44" s="148">
        <f t="shared" si="33"/>
        <v>209070</v>
      </c>
      <c r="L44" s="148">
        <f t="shared" si="33"/>
        <v>207535</v>
      </c>
      <c r="M44" s="148">
        <f t="shared" si="33"/>
        <v>203645</v>
      </c>
      <c r="N44" s="149">
        <f t="shared" si="33"/>
        <v>196519</v>
      </c>
    </row>
    <row r="45" spans="2:23" s="145" customFormat="1">
      <c r="B45" s="146" t="s">
        <v>93</v>
      </c>
      <c r="C45" s="147">
        <v>1844325</v>
      </c>
      <c r="D45" s="147">
        <v>1971451</v>
      </c>
      <c r="E45" s="147">
        <v>1860866</v>
      </c>
      <c r="F45" s="147">
        <v>1787971</v>
      </c>
      <c r="G45" s="147">
        <v>1719987</v>
      </c>
      <c r="H45" s="147">
        <f t="shared" ref="H45:I45" si="34">SUM(H40:H44)</f>
        <v>1587643</v>
      </c>
      <c r="I45" s="147">
        <f t="shared" si="34"/>
        <v>1552859</v>
      </c>
      <c r="J45" s="147">
        <f t="shared" si="32"/>
        <v>1552859</v>
      </c>
      <c r="K45" s="147">
        <f t="shared" si="33"/>
        <v>1650402</v>
      </c>
      <c r="L45" s="147">
        <f t="shared" si="33"/>
        <v>1635843</v>
      </c>
      <c r="M45" s="147">
        <f t="shared" si="33"/>
        <v>1630073</v>
      </c>
      <c r="N45" s="287">
        <f t="shared" si="33"/>
        <v>1572848</v>
      </c>
    </row>
    <row r="46" spans="2:23" s="145" customFormat="1">
      <c r="B46" s="150"/>
      <c r="C46" s="151">
        <f t="shared" ref="C46:L46" si="35">SUM(C40:C44)-C45</f>
        <v>0</v>
      </c>
      <c r="D46" s="151">
        <f t="shared" si="35"/>
        <v>0</v>
      </c>
      <c r="E46" s="151">
        <f t="shared" si="35"/>
        <v>0</v>
      </c>
      <c r="F46" s="151">
        <f t="shared" si="35"/>
        <v>0</v>
      </c>
      <c r="G46" s="151">
        <f t="shared" si="35"/>
        <v>0</v>
      </c>
      <c r="H46" s="151">
        <f t="shared" si="35"/>
        <v>0</v>
      </c>
      <c r="I46" s="151">
        <f t="shared" si="35"/>
        <v>0</v>
      </c>
      <c r="J46" s="151">
        <f t="shared" ref="J46" si="36">SUM(J40:J44)-J45</f>
        <v>0</v>
      </c>
      <c r="K46" s="151">
        <f t="shared" ref="K46" si="37">SUM(K40:K44)-K45</f>
        <v>0</v>
      </c>
      <c r="L46" s="151">
        <f t="shared" si="35"/>
        <v>0</v>
      </c>
      <c r="M46" s="151">
        <f>SUM(M40:M44)-M45</f>
        <v>0</v>
      </c>
      <c r="N46" s="151">
        <f>SUM(N40:N44)-N45</f>
        <v>0</v>
      </c>
    </row>
    <row r="47" spans="2:23">
      <c r="B47" s="295" t="s">
        <v>142</v>
      </c>
    </row>
    <row r="48" spans="2:23" s="145" customFormat="1">
      <c r="B48" s="142"/>
      <c r="C48" s="143" t="s">
        <v>69</v>
      </c>
      <c r="D48" s="143" t="s">
        <v>70</v>
      </c>
      <c r="E48" s="143" t="s">
        <v>71</v>
      </c>
      <c r="F48" s="143" t="s">
        <v>72</v>
      </c>
      <c r="G48" s="152" t="s">
        <v>86</v>
      </c>
      <c r="H48" s="143" t="s">
        <v>75</v>
      </c>
      <c r="I48" s="144" t="s">
        <v>128</v>
      </c>
      <c r="J48" s="152" t="s">
        <v>128</v>
      </c>
      <c r="K48" s="144" t="s">
        <v>221</v>
      </c>
      <c r="L48" s="203" t="s">
        <v>222</v>
      </c>
      <c r="M48" s="216" t="s">
        <v>236</v>
      </c>
      <c r="N48" s="285" t="s">
        <v>294</v>
      </c>
    </row>
    <row r="49" spans="2:14" s="145" customFormat="1">
      <c r="B49" s="146" t="s">
        <v>101</v>
      </c>
      <c r="C49" s="147">
        <f>ROUND(C40/100,0)</f>
        <v>4904</v>
      </c>
      <c r="D49" s="147">
        <f t="shared" ref="D49:J51" si="38">ROUND(D40/100,0)</f>
        <v>5556</v>
      </c>
      <c r="E49" s="147">
        <f t="shared" si="38"/>
        <v>3902</v>
      </c>
      <c r="F49" s="147">
        <f t="shared" si="38"/>
        <v>2879</v>
      </c>
      <c r="G49" s="147">
        <f t="shared" si="38"/>
        <v>2197</v>
      </c>
      <c r="H49" s="147">
        <f t="shared" si="38"/>
        <v>1505</v>
      </c>
      <c r="I49" s="147">
        <f t="shared" si="38"/>
        <v>1242</v>
      </c>
      <c r="J49" s="147">
        <f t="shared" si="38"/>
        <v>1242</v>
      </c>
      <c r="K49" s="147">
        <f t="shared" ref="K49:N50" si="39">ROUND(K40/100,0)</f>
        <v>837</v>
      </c>
      <c r="L49" s="147">
        <f t="shared" si="39"/>
        <v>1019</v>
      </c>
      <c r="M49" s="159">
        <f t="shared" si="39"/>
        <v>1009</v>
      </c>
      <c r="N49" s="291">
        <f t="shared" si="39"/>
        <v>1001</v>
      </c>
    </row>
    <row r="50" spans="2:14" s="145" customFormat="1">
      <c r="B50" s="146" t="s">
        <v>92</v>
      </c>
      <c r="C50" s="147">
        <f t="shared" ref="C50:J54" si="40">ROUND(C41/100,0)</f>
        <v>6576</v>
      </c>
      <c r="D50" s="147">
        <f t="shared" si="40"/>
        <v>6585</v>
      </c>
      <c r="E50" s="147">
        <f t="shared" si="40"/>
        <v>6725</v>
      </c>
      <c r="F50" s="147">
        <f t="shared" si="40"/>
        <v>6413</v>
      </c>
      <c r="G50" s="159">
        <f>ROUND(G41/100,0)+1</f>
        <v>6295</v>
      </c>
      <c r="H50" s="147">
        <f t="shared" si="40"/>
        <v>5879</v>
      </c>
      <c r="I50" s="147">
        <f t="shared" si="40"/>
        <v>5735</v>
      </c>
      <c r="J50" s="147">
        <f t="shared" si="38"/>
        <v>5735</v>
      </c>
      <c r="K50" s="160">
        <f t="shared" si="39"/>
        <v>5768</v>
      </c>
      <c r="L50" s="147">
        <f t="shared" si="39"/>
        <v>5433</v>
      </c>
      <c r="M50" s="158">
        <f t="shared" si="39"/>
        <v>5189</v>
      </c>
      <c r="N50" s="291">
        <f t="shared" si="39"/>
        <v>4686</v>
      </c>
    </row>
    <row r="51" spans="2:14" s="145" customFormat="1">
      <c r="B51" s="146" t="s">
        <v>102</v>
      </c>
      <c r="C51" s="147">
        <f t="shared" si="40"/>
        <v>1455</v>
      </c>
      <c r="D51" s="147">
        <f t="shared" si="40"/>
        <v>1665</v>
      </c>
      <c r="E51" s="147">
        <f t="shared" si="40"/>
        <v>1992</v>
      </c>
      <c r="F51" s="147">
        <f t="shared" si="40"/>
        <v>2338</v>
      </c>
      <c r="G51" s="147">
        <f t="shared" si="40"/>
        <v>2188</v>
      </c>
      <c r="H51" s="147">
        <f t="shared" si="40"/>
        <v>2075</v>
      </c>
      <c r="I51" s="147">
        <f t="shared" si="40"/>
        <v>2138</v>
      </c>
      <c r="J51" s="147">
        <f t="shared" si="38"/>
        <v>2138</v>
      </c>
      <c r="K51" s="159">
        <f>ROUND(K42/100,0)-1</f>
        <v>2797</v>
      </c>
      <c r="L51" s="159">
        <f>ROUND(L42/100,0)</f>
        <v>2660</v>
      </c>
      <c r="M51" s="159">
        <f>ROUND(M42/100,0)+1</f>
        <v>2785</v>
      </c>
      <c r="N51" s="291">
        <f>ROUND(N42/100,0)</f>
        <v>2660</v>
      </c>
    </row>
    <row r="52" spans="2:14" s="145" customFormat="1">
      <c r="B52" s="146" t="s">
        <v>103</v>
      </c>
      <c r="C52" s="147">
        <f t="shared" si="40"/>
        <v>2173</v>
      </c>
      <c r="D52" s="147">
        <f t="shared" si="40"/>
        <v>2469</v>
      </c>
      <c r="E52" s="147">
        <f t="shared" si="40"/>
        <v>2554</v>
      </c>
      <c r="F52" s="159">
        <f>ROUND(F43/100,0)+1</f>
        <v>2964</v>
      </c>
      <c r="G52" s="160">
        <f>ROUND(G43/100,0)</f>
        <v>3278</v>
      </c>
      <c r="H52" s="147">
        <f t="shared" si="40"/>
        <v>3631</v>
      </c>
      <c r="I52" s="147">
        <f t="shared" si="40"/>
        <v>3849</v>
      </c>
      <c r="J52" s="159">
        <f>ROUND(J43/100,0)+1</f>
        <v>3850</v>
      </c>
      <c r="K52" s="147">
        <f>ROUND(K43/100,0)</f>
        <v>5011</v>
      </c>
      <c r="L52" s="158">
        <f>ROUND(L43/100,0)</f>
        <v>5172</v>
      </c>
      <c r="M52" s="158">
        <f>ROUND(M43/100,0)</f>
        <v>5282</v>
      </c>
      <c r="N52" s="178">
        <f>ROUND(N43/100,0)</f>
        <v>5417</v>
      </c>
    </row>
    <row r="53" spans="2:14" s="145" customFormat="1">
      <c r="B53" s="146" t="s">
        <v>104</v>
      </c>
      <c r="C53" s="147">
        <f t="shared" si="40"/>
        <v>3335</v>
      </c>
      <c r="D53" s="147">
        <f t="shared" si="40"/>
        <v>3440</v>
      </c>
      <c r="E53" s="147">
        <f t="shared" si="40"/>
        <v>3436</v>
      </c>
      <c r="F53" s="147">
        <f t="shared" si="40"/>
        <v>3286</v>
      </c>
      <c r="G53" s="147">
        <f t="shared" si="40"/>
        <v>3242</v>
      </c>
      <c r="H53" s="159">
        <f>ROUND(H44/100,0)+1</f>
        <v>2786</v>
      </c>
      <c r="I53" s="147">
        <f t="shared" si="40"/>
        <v>2565</v>
      </c>
      <c r="J53" s="147">
        <f t="shared" si="40"/>
        <v>2565</v>
      </c>
      <c r="K53" s="147">
        <f t="shared" ref="K53:L53" si="41">ROUND(K44/100,0)</f>
        <v>2091</v>
      </c>
      <c r="L53" s="147">
        <f t="shared" si="41"/>
        <v>2075</v>
      </c>
      <c r="M53" s="160">
        <f>ROUND(M44/100,0)</f>
        <v>2036</v>
      </c>
      <c r="N53" s="291">
        <f>ROUND(N44/100,0)</f>
        <v>1965</v>
      </c>
    </row>
    <row r="54" spans="2:14" s="145" customFormat="1">
      <c r="B54" s="146" t="s">
        <v>93</v>
      </c>
      <c r="C54" s="147">
        <f t="shared" si="40"/>
        <v>18443</v>
      </c>
      <c r="D54" s="147">
        <f t="shared" si="40"/>
        <v>19715</v>
      </c>
      <c r="E54" s="147">
        <f t="shared" si="40"/>
        <v>18609</v>
      </c>
      <c r="F54" s="147">
        <f t="shared" si="40"/>
        <v>17880</v>
      </c>
      <c r="G54" s="147">
        <f t="shared" si="40"/>
        <v>17200</v>
      </c>
      <c r="H54" s="147">
        <f t="shared" si="40"/>
        <v>15876</v>
      </c>
      <c r="I54" s="147">
        <f t="shared" si="40"/>
        <v>15529</v>
      </c>
      <c r="J54" s="147">
        <f t="shared" si="40"/>
        <v>15529</v>
      </c>
      <c r="K54" s="147">
        <f>ROUND(K45/100,0)</f>
        <v>16504</v>
      </c>
      <c r="L54" s="147">
        <f>ROUND(L45/100,0)</f>
        <v>16358</v>
      </c>
      <c r="M54" s="147">
        <f>ROUND(M45/100,0)</f>
        <v>16301</v>
      </c>
      <c r="N54" s="287">
        <f>ROUND(N45/100,0)</f>
        <v>15728</v>
      </c>
    </row>
    <row r="55" spans="2:14">
      <c r="N55" s="292"/>
    </row>
    <row r="56" spans="2:14">
      <c r="B56" s="161" t="s">
        <v>105</v>
      </c>
      <c r="C56" s="161"/>
      <c r="D56" s="161"/>
      <c r="E56" s="162"/>
      <c r="F56" s="162"/>
      <c r="G56" s="162"/>
      <c r="N56" s="292"/>
    </row>
    <row r="57" spans="2:14">
      <c r="B57" s="163"/>
      <c r="C57" s="286" t="s">
        <v>69</v>
      </c>
      <c r="D57" s="286" t="s">
        <v>70</v>
      </c>
      <c r="E57" s="286" t="s">
        <v>71</v>
      </c>
      <c r="F57" s="286" t="s">
        <v>72</v>
      </c>
      <c r="G57" s="286" t="s">
        <v>86</v>
      </c>
      <c r="H57" s="286" t="s">
        <v>75</v>
      </c>
      <c r="I57" s="286" t="s">
        <v>128</v>
      </c>
      <c r="J57" s="286" t="s">
        <v>128</v>
      </c>
      <c r="K57" s="285" t="s">
        <v>221</v>
      </c>
      <c r="L57" s="285" t="s">
        <v>223</v>
      </c>
      <c r="M57" s="285" t="s">
        <v>237</v>
      </c>
      <c r="N57" s="293" t="s">
        <v>295</v>
      </c>
    </row>
    <row r="58" spans="2:14">
      <c r="B58" s="164" t="s">
        <v>102</v>
      </c>
      <c r="C58" s="165">
        <v>145516</v>
      </c>
      <c r="D58" s="165">
        <v>166464</v>
      </c>
      <c r="E58" s="165">
        <v>199166</v>
      </c>
      <c r="F58" s="165">
        <v>233813</v>
      </c>
      <c r="G58" s="165">
        <v>218849</v>
      </c>
      <c r="H58" s="165">
        <f>M15</f>
        <v>207507</v>
      </c>
      <c r="I58" s="165">
        <f>O15</f>
        <v>213802</v>
      </c>
      <c r="J58" s="165">
        <f>O15</f>
        <v>213802</v>
      </c>
      <c r="K58" s="165">
        <f t="shared" ref="K58:N60" si="42">T15</f>
        <v>279755</v>
      </c>
      <c r="L58" s="165">
        <f t="shared" si="42"/>
        <v>265954</v>
      </c>
      <c r="M58" s="165">
        <f t="shared" si="42"/>
        <v>278423</v>
      </c>
      <c r="N58" s="294">
        <f t="shared" si="42"/>
        <v>265961</v>
      </c>
    </row>
    <row r="59" spans="2:14">
      <c r="B59" s="164" t="s">
        <v>103</v>
      </c>
      <c r="C59" s="165">
        <v>217325</v>
      </c>
      <c r="D59" s="165">
        <v>246904</v>
      </c>
      <c r="E59" s="165">
        <v>255380</v>
      </c>
      <c r="F59" s="165">
        <v>296340</v>
      </c>
      <c r="G59" s="165">
        <v>327848</v>
      </c>
      <c r="H59" s="165">
        <f>M16</f>
        <v>363149</v>
      </c>
      <c r="I59" s="165">
        <f>O16</f>
        <v>384863</v>
      </c>
      <c r="J59" s="165">
        <f>O16</f>
        <v>384863</v>
      </c>
      <c r="K59" s="165">
        <f t="shared" si="42"/>
        <v>501060</v>
      </c>
      <c r="L59" s="165">
        <f t="shared" si="42"/>
        <v>517168</v>
      </c>
      <c r="M59" s="165">
        <f t="shared" si="42"/>
        <v>528188</v>
      </c>
      <c r="N59" s="294">
        <f t="shared" si="42"/>
        <v>541680</v>
      </c>
    </row>
    <row r="60" spans="2:14">
      <c r="B60" s="164" t="s">
        <v>104</v>
      </c>
      <c r="C60" s="165">
        <v>333494</v>
      </c>
      <c r="D60" s="165">
        <v>344027</v>
      </c>
      <c r="E60" s="165">
        <v>343620</v>
      </c>
      <c r="F60" s="165">
        <v>328600</v>
      </c>
      <c r="G60" s="165">
        <v>324236</v>
      </c>
      <c r="H60" s="165">
        <f>M17</f>
        <v>278549</v>
      </c>
      <c r="I60" s="165">
        <f>O17</f>
        <v>256522</v>
      </c>
      <c r="J60" s="165">
        <f>O17</f>
        <v>256522</v>
      </c>
      <c r="K60" s="165">
        <f t="shared" si="42"/>
        <v>209070</v>
      </c>
      <c r="L60" s="165">
        <f t="shared" si="42"/>
        <v>207535</v>
      </c>
      <c r="M60" s="165">
        <f t="shared" si="42"/>
        <v>203645</v>
      </c>
      <c r="N60" s="294">
        <f t="shared" si="42"/>
        <v>196519</v>
      </c>
    </row>
    <row r="61" spans="2:14">
      <c r="B61" s="164" t="s">
        <v>106</v>
      </c>
      <c r="C61" s="165">
        <f t="shared" ref="C61:J61" si="43">SUM(C58:C60)</f>
        <v>696335</v>
      </c>
      <c r="D61" s="165">
        <f t="shared" si="43"/>
        <v>757395</v>
      </c>
      <c r="E61" s="165">
        <f t="shared" si="43"/>
        <v>798166</v>
      </c>
      <c r="F61" s="165">
        <f t="shared" si="43"/>
        <v>858753</v>
      </c>
      <c r="G61" s="165">
        <f t="shared" si="43"/>
        <v>870933</v>
      </c>
      <c r="H61" s="165">
        <f t="shared" si="43"/>
        <v>849205</v>
      </c>
      <c r="I61" s="165">
        <f t="shared" si="43"/>
        <v>855187</v>
      </c>
      <c r="J61" s="165">
        <f t="shared" si="43"/>
        <v>855187</v>
      </c>
      <c r="K61" s="165">
        <f>SUM(K58:K60)</f>
        <v>989885</v>
      </c>
      <c r="L61" s="165">
        <f>SUM(L58:L60)</f>
        <v>990657</v>
      </c>
      <c r="M61" s="165">
        <f>SUM(M58:M60)</f>
        <v>1010256</v>
      </c>
      <c r="N61" s="294">
        <f>SUM(N58:N60)</f>
        <v>1004160</v>
      </c>
    </row>
    <row r="62" spans="2:14">
      <c r="B62" s="150"/>
      <c r="C62" s="151"/>
      <c r="D62" s="151"/>
      <c r="E62" s="151"/>
      <c r="F62" s="151"/>
      <c r="G62" s="151"/>
    </row>
    <row r="63" spans="2:14">
      <c r="B63" s="150"/>
      <c r="C63" s="151"/>
      <c r="D63" s="151"/>
      <c r="E63" s="151"/>
      <c r="F63" s="151"/>
      <c r="G63" s="151"/>
    </row>
    <row r="64" spans="2:14">
      <c r="B64" s="166" t="s">
        <v>105</v>
      </c>
      <c r="C64" s="167"/>
      <c r="D64" s="167"/>
      <c r="E64" s="168"/>
      <c r="F64" s="168"/>
      <c r="G64" s="168"/>
      <c r="H64" s="169"/>
      <c r="I64" s="169"/>
      <c r="J64" s="169"/>
      <c r="K64" s="169"/>
      <c r="L64" s="169"/>
      <c r="M64" s="169"/>
      <c r="N64" s="169"/>
    </row>
    <row r="65" spans="2:14">
      <c r="B65" s="170"/>
      <c r="C65" s="286" t="s">
        <v>69</v>
      </c>
      <c r="D65" s="286" t="s">
        <v>70</v>
      </c>
      <c r="E65" s="286" t="s">
        <v>71</v>
      </c>
      <c r="F65" s="286" t="s">
        <v>72</v>
      </c>
      <c r="G65" s="286" t="s">
        <v>86</v>
      </c>
      <c r="H65" s="286" t="s">
        <v>75</v>
      </c>
      <c r="I65" s="286" t="s">
        <v>128</v>
      </c>
      <c r="J65" s="286" t="s">
        <v>128</v>
      </c>
      <c r="K65" s="285" t="s">
        <v>221</v>
      </c>
      <c r="L65" s="285" t="s">
        <v>223</v>
      </c>
      <c r="M65" s="285" t="s">
        <v>237</v>
      </c>
      <c r="N65" s="293" t="s">
        <v>295</v>
      </c>
    </row>
    <row r="66" spans="2:14" ht="14.25">
      <c r="B66" s="171" t="s">
        <v>102</v>
      </c>
      <c r="C66" s="172">
        <f>C51</f>
        <v>1455</v>
      </c>
      <c r="D66" s="172">
        <f t="shared" ref="D66:L68" si="44">D51</f>
        <v>1665</v>
      </c>
      <c r="E66" s="172">
        <f t="shared" si="44"/>
        <v>1992</v>
      </c>
      <c r="F66" s="172">
        <f t="shared" si="44"/>
        <v>2338</v>
      </c>
      <c r="G66" s="172">
        <f>G51+1</f>
        <v>2189</v>
      </c>
      <c r="H66" s="172">
        <f t="shared" si="44"/>
        <v>2075</v>
      </c>
      <c r="I66" s="172">
        <f t="shared" si="44"/>
        <v>2138</v>
      </c>
      <c r="J66" s="172">
        <f t="shared" si="44"/>
        <v>2138</v>
      </c>
      <c r="K66" s="172">
        <f>K51</f>
        <v>2797</v>
      </c>
      <c r="L66" s="172">
        <f t="shared" si="44"/>
        <v>2660</v>
      </c>
      <c r="M66" s="172">
        <f t="shared" ref="M66:N68" si="45">M51</f>
        <v>2785</v>
      </c>
      <c r="N66" s="296">
        <f t="shared" si="45"/>
        <v>2660</v>
      </c>
    </row>
    <row r="67" spans="2:14" ht="14.25">
      <c r="B67" s="171" t="s">
        <v>103</v>
      </c>
      <c r="C67" s="172">
        <f>C52</f>
        <v>2173</v>
      </c>
      <c r="D67" s="172">
        <f t="shared" si="44"/>
        <v>2469</v>
      </c>
      <c r="E67" s="172">
        <f t="shared" si="44"/>
        <v>2554</v>
      </c>
      <c r="F67" s="172">
        <f t="shared" si="44"/>
        <v>2964</v>
      </c>
      <c r="G67" s="172">
        <f t="shared" si="44"/>
        <v>3278</v>
      </c>
      <c r="H67" s="172">
        <f t="shared" si="44"/>
        <v>3631</v>
      </c>
      <c r="I67" s="172">
        <f t="shared" si="44"/>
        <v>3849</v>
      </c>
      <c r="J67" s="172">
        <f>J52-1</f>
        <v>3849</v>
      </c>
      <c r="K67" s="172">
        <f>K52</f>
        <v>5011</v>
      </c>
      <c r="L67" s="172">
        <f>L52</f>
        <v>5172</v>
      </c>
      <c r="M67" s="172">
        <f t="shared" si="45"/>
        <v>5282</v>
      </c>
      <c r="N67" s="296">
        <f t="shared" si="45"/>
        <v>5417</v>
      </c>
    </row>
    <row r="68" spans="2:14" ht="14.25">
      <c r="B68" s="171" t="s">
        <v>104</v>
      </c>
      <c r="C68" s="172">
        <f>C53</f>
        <v>3335</v>
      </c>
      <c r="D68" s="172">
        <f t="shared" si="44"/>
        <v>3440</v>
      </c>
      <c r="E68" s="172">
        <f t="shared" si="44"/>
        <v>3436</v>
      </c>
      <c r="F68" s="172">
        <f t="shared" si="44"/>
        <v>3286</v>
      </c>
      <c r="G68" s="172">
        <f t="shared" si="44"/>
        <v>3242</v>
      </c>
      <c r="H68" s="172">
        <f t="shared" si="44"/>
        <v>2786</v>
      </c>
      <c r="I68" s="172">
        <f t="shared" si="44"/>
        <v>2565</v>
      </c>
      <c r="J68" s="172">
        <f t="shared" si="44"/>
        <v>2565</v>
      </c>
      <c r="K68" s="172">
        <f t="shared" si="44"/>
        <v>2091</v>
      </c>
      <c r="L68" s="172">
        <f t="shared" si="44"/>
        <v>2075</v>
      </c>
      <c r="M68" s="172">
        <f t="shared" si="45"/>
        <v>2036</v>
      </c>
      <c r="N68" s="296">
        <f t="shared" si="45"/>
        <v>1965</v>
      </c>
    </row>
    <row r="69" spans="2:14" ht="14.25">
      <c r="B69" s="171" t="s">
        <v>106</v>
      </c>
      <c r="C69" s="172">
        <f>SUM(C66:C68)</f>
        <v>6963</v>
      </c>
      <c r="D69" s="172">
        <f t="shared" ref="D69:J69" si="46">SUM(D66:D68)</f>
        <v>7574</v>
      </c>
      <c r="E69" s="172">
        <f t="shared" si="46"/>
        <v>7982</v>
      </c>
      <c r="F69" s="172">
        <f t="shared" si="46"/>
        <v>8588</v>
      </c>
      <c r="G69" s="172">
        <f t="shared" si="46"/>
        <v>8709</v>
      </c>
      <c r="H69" s="172">
        <f t="shared" si="46"/>
        <v>8492</v>
      </c>
      <c r="I69" s="172">
        <f t="shared" si="46"/>
        <v>8552</v>
      </c>
      <c r="J69" s="172">
        <f t="shared" si="46"/>
        <v>8552</v>
      </c>
      <c r="K69" s="172">
        <f>SUM(K66:K68)</f>
        <v>9899</v>
      </c>
      <c r="L69" s="172">
        <f>SUM(L66:L68)</f>
        <v>9907</v>
      </c>
      <c r="M69" s="172">
        <f>SUM(M66:M68)</f>
        <v>10103</v>
      </c>
      <c r="N69" s="296">
        <f>SUM(N66:N68)</f>
        <v>10042</v>
      </c>
    </row>
    <row r="70" spans="2:14" ht="14.25">
      <c r="B70" s="173" t="s">
        <v>143</v>
      </c>
      <c r="C70" s="174">
        <f>ROUND(C61/100,0)</f>
        <v>6963</v>
      </c>
      <c r="D70" s="174">
        <f t="shared" ref="D70:L70" si="47">ROUND(D61/100,0)</f>
        <v>7574</v>
      </c>
      <c r="E70" s="174">
        <f t="shared" si="47"/>
        <v>7982</v>
      </c>
      <c r="F70" s="174">
        <f t="shared" si="47"/>
        <v>8588</v>
      </c>
      <c r="G70" s="174">
        <f t="shared" si="47"/>
        <v>8709</v>
      </c>
      <c r="H70" s="174">
        <f t="shared" si="47"/>
        <v>8492</v>
      </c>
      <c r="I70" s="174">
        <f t="shared" si="47"/>
        <v>8552</v>
      </c>
      <c r="J70" s="174">
        <f t="shared" si="47"/>
        <v>8552</v>
      </c>
      <c r="K70" s="174">
        <f t="shared" si="47"/>
        <v>9899</v>
      </c>
      <c r="L70" s="174">
        <f t="shared" si="47"/>
        <v>9907</v>
      </c>
      <c r="M70" s="174">
        <f>ROUND(M61/100,0)</f>
        <v>10103</v>
      </c>
      <c r="N70" s="174">
        <f>ROUND(N61/100,0)</f>
        <v>10042</v>
      </c>
    </row>
    <row r="71" spans="2:14" ht="14.25">
      <c r="B71" s="175"/>
      <c r="C71" s="176">
        <f>C69-C70</f>
        <v>0</v>
      </c>
      <c r="D71" s="176">
        <f t="shared" ref="D71:L71" si="48">D69-D70</f>
        <v>0</v>
      </c>
      <c r="E71" s="176">
        <f t="shared" si="48"/>
        <v>0</v>
      </c>
      <c r="F71" s="176">
        <f t="shared" si="48"/>
        <v>0</v>
      </c>
      <c r="G71" s="176">
        <f t="shared" si="48"/>
        <v>0</v>
      </c>
      <c r="H71" s="176">
        <f t="shared" si="48"/>
        <v>0</v>
      </c>
      <c r="I71" s="176">
        <f t="shared" si="48"/>
        <v>0</v>
      </c>
      <c r="J71" s="176">
        <f t="shared" si="48"/>
        <v>0</v>
      </c>
      <c r="K71" s="176">
        <f t="shared" si="48"/>
        <v>0</v>
      </c>
      <c r="L71" s="176">
        <f t="shared" si="48"/>
        <v>0</v>
      </c>
      <c r="M71" s="176">
        <f>M69-M70</f>
        <v>0</v>
      </c>
      <c r="N71" s="176">
        <f>N69-N70</f>
        <v>0</v>
      </c>
    </row>
    <row r="72" spans="2:14">
      <c r="B72" s="150"/>
      <c r="C72" s="151"/>
      <c r="D72" s="151"/>
      <c r="E72" s="151"/>
      <c r="F72" s="151"/>
      <c r="G72" s="151"/>
    </row>
    <row r="73" spans="2:14">
      <c r="B73" s="177" t="s">
        <v>97</v>
      </c>
      <c r="C73" s="177"/>
      <c r="D73" s="177"/>
    </row>
    <row r="74" spans="2:14">
      <c r="B74" s="142"/>
      <c r="C74" s="286" t="s">
        <v>69</v>
      </c>
      <c r="D74" s="286" t="s">
        <v>70</v>
      </c>
      <c r="E74" s="286" t="s">
        <v>71</v>
      </c>
      <c r="F74" s="286" t="s">
        <v>72</v>
      </c>
      <c r="G74" s="286" t="s">
        <v>86</v>
      </c>
      <c r="H74" s="286" t="s">
        <v>75</v>
      </c>
      <c r="I74" s="286" t="s">
        <v>128</v>
      </c>
      <c r="J74" s="286" t="s">
        <v>128</v>
      </c>
      <c r="K74" s="285" t="s">
        <v>221</v>
      </c>
      <c r="L74" s="285" t="s">
        <v>223</v>
      </c>
      <c r="M74" s="285" t="s">
        <v>237</v>
      </c>
      <c r="N74" s="285" t="s">
        <v>295</v>
      </c>
    </row>
    <row r="75" spans="2:14">
      <c r="B75" s="146" t="s">
        <v>101</v>
      </c>
      <c r="C75" s="153">
        <f>C40/C$10*100</f>
        <v>26.590703916066854</v>
      </c>
      <c r="D75" s="153">
        <f>D40/E$10*100</f>
        <v>28.181882278585675</v>
      </c>
      <c r="E75" s="153">
        <f>E40/G$10*100</f>
        <v>20.969107931468468</v>
      </c>
      <c r="F75" s="153">
        <f>F40/I$10*100</f>
        <v>16.102945741289986</v>
      </c>
      <c r="G75" s="153">
        <f>G40/K$10*100</f>
        <v>12.908891031527936</v>
      </c>
      <c r="H75" s="153">
        <f>H40/M$10*100</f>
        <v>9.482295453071</v>
      </c>
      <c r="I75" s="153">
        <f>I40/O$10*100</f>
        <v>7.9986012896212726</v>
      </c>
      <c r="J75" s="153">
        <f>J40/O$10*100</f>
        <v>7.9986012896212726</v>
      </c>
      <c r="K75" s="153">
        <f t="shared" ref="K75:N79" si="49">K40/T$10*100</f>
        <v>5.0728852728002023</v>
      </c>
      <c r="L75" s="153">
        <f t="shared" si="49"/>
        <v>6.2270034471523248</v>
      </c>
      <c r="M75" s="153">
        <f t="shared" si="49"/>
        <v>6.1886185465313517</v>
      </c>
      <c r="N75" s="288">
        <f t="shared" si="49"/>
        <v>6.3650142925444797</v>
      </c>
    </row>
    <row r="76" spans="2:14">
      <c r="B76" s="146" t="s">
        <v>92</v>
      </c>
      <c r="C76" s="153">
        <f>C41/C$10*100</f>
        <v>35.653748661434399</v>
      </c>
      <c r="D76" s="153">
        <f>D41/E$10*100</f>
        <v>33.399967840945578</v>
      </c>
      <c r="E76" s="153">
        <f>E41/G$10*100</f>
        <v>36.138711761083279</v>
      </c>
      <c r="F76" s="153">
        <f>F41/I$10*100</f>
        <v>35.867583982066826</v>
      </c>
      <c r="G76" s="153">
        <f>G41/K$10*100</f>
        <v>36.978209125879651</v>
      </c>
      <c r="H76" s="153">
        <f>H41/M$10*100</f>
        <v>37.029294369074158</v>
      </c>
      <c r="I76" s="153">
        <f>I41/O$10*100</f>
        <v>36.929624647183033</v>
      </c>
      <c r="J76" s="153">
        <f>J41/O$10*100</f>
        <v>36.929624647183033</v>
      </c>
      <c r="K76" s="153">
        <f t="shared" si="49"/>
        <v>34.948697347676507</v>
      </c>
      <c r="L76" s="153">
        <f t="shared" si="49"/>
        <v>33.213578564691112</v>
      </c>
      <c r="M76" s="153">
        <f t="shared" si="49"/>
        <v>31.835261365595287</v>
      </c>
      <c r="N76" s="288">
        <f t="shared" si="49"/>
        <v>29.791562821073619</v>
      </c>
    </row>
    <row r="77" spans="2:14">
      <c r="B77" s="146" t="s">
        <v>102</v>
      </c>
      <c r="C77" s="153">
        <f>C42/C$10*100</f>
        <v>7.8899326311794287</v>
      </c>
      <c r="D77" s="153">
        <f>D42/E$10*100</f>
        <v>8.4437300242308826</v>
      </c>
      <c r="E77" s="153">
        <f>E42/G$10*100</f>
        <v>10.702866299884032</v>
      </c>
      <c r="F77" s="153">
        <f>F42/I$10*100</f>
        <v>13.077001808194877</v>
      </c>
      <c r="G77" s="153">
        <f>G42/K$10*100</f>
        <v>12.858713323709084</v>
      </c>
      <c r="H77" s="153">
        <f>H42/M$10*100</f>
        <v>13.070129745792977</v>
      </c>
      <c r="I77" s="153">
        <f>I42/O$10*100</f>
        <v>13.768281601871129</v>
      </c>
      <c r="J77" s="153">
        <f>J42/O$10*100</f>
        <v>13.768281601871129</v>
      </c>
      <c r="K77" s="153">
        <f t="shared" si="49"/>
        <v>16.950718673389879</v>
      </c>
      <c r="L77" s="153">
        <f t="shared" si="49"/>
        <v>16.257917171757924</v>
      </c>
      <c r="M77" s="153">
        <f t="shared" si="49"/>
        <v>17.080400693711265</v>
      </c>
      <c r="N77" s="288">
        <f t="shared" si="49"/>
        <v>16.909517003550249</v>
      </c>
    </row>
    <row r="78" spans="2:14">
      <c r="B78" s="146" t="s">
        <v>103</v>
      </c>
      <c r="C78" s="153">
        <f>C43/C$10*100</f>
        <v>11.783443807354994</v>
      </c>
      <c r="D78" s="153">
        <f>D43/E$10*100</f>
        <v>12.523973459142528</v>
      </c>
      <c r="E78" s="153">
        <f>E43/G$10*100</f>
        <v>13.723717881889399</v>
      </c>
      <c r="F78" s="153">
        <f>F43/I$10*100</f>
        <v>16.574094322558921</v>
      </c>
      <c r="G78" s="153">
        <f>G43/K$10*100</f>
        <v>19.263069265801423</v>
      </c>
      <c r="H78" s="153">
        <f>H43/M$10*100</f>
        <v>22.873467145951576</v>
      </c>
      <c r="I78" s="153">
        <f>I43/O$10*100</f>
        <v>24.78415619190152</v>
      </c>
      <c r="J78" s="153">
        <f>J43/O$10*100</f>
        <v>24.78415619190152</v>
      </c>
      <c r="K78" s="153">
        <f t="shared" si="49"/>
        <v>30.359875957493994</v>
      </c>
      <c r="L78" s="153">
        <f t="shared" si="49"/>
        <v>31.614769877060329</v>
      </c>
      <c r="M78" s="153">
        <f t="shared" si="49"/>
        <v>32.402720614352852</v>
      </c>
      <c r="N78" s="288">
        <f t="shared" si="49"/>
        <v>34.439437250134787</v>
      </c>
    </row>
    <row r="79" spans="2:14">
      <c r="B79" s="146" t="s">
        <v>104</v>
      </c>
      <c r="C79" s="153">
        <f>C44/C$10*100</f>
        <v>18.082170983964325</v>
      </c>
      <c r="D79" s="153">
        <f>D44/E$10*100</f>
        <v>17.450446397095337</v>
      </c>
      <c r="E79" s="153">
        <f>E44/G$10*100</f>
        <v>18.465596125674821</v>
      </c>
      <c r="F79" s="153">
        <f>F44/I$10*100</f>
        <v>18.378374145889389</v>
      </c>
      <c r="G79" s="153">
        <f>G44/K$10*100</f>
        <v>19.050842239288908</v>
      </c>
      <c r="H79" s="153">
        <f>H44/M$10*100</f>
        <v>17.544813286110291</v>
      </c>
      <c r="I79" s="153">
        <f>I44/O$10*100</f>
        <v>16.519336269423047</v>
      </c>
      <c r="J79" s="153">
        <f>J44/O$10*100</f>
        <v>16.519336269423047</v>
      </c>
      <c r="K79" s="153">
        <f t="shared" si="49"/>
        <v>12.667822748639423</v>
      </c>
      <c r="L79" s="153">
        <f t="shared" si="49"/>
        <v>12.686730939338311</v>
      </c>
      <c r="M79" s="153">
        <f t="shared" si="49"/>
        <v>12.492998779809247</v>
      </c>
      <c r="N79" s="288">
        <f t="shared" si="49"/>
        <v>12.494468632696867</v>
      </c>
    </row>
    <row r="80" spans="2:14">
      <c r="B80" s="146" t="s">
        <v>93</v>
      </c>
      <c r="C80" s="153">
        <f t="shared" ref="C80:I80" si="50">SUM(C75:C79)</f>
        <v>100</v>
      </c>
      <c r="D80" s="153">
        <f t="shared" si="50"/>
        <v>100</v>
      </c>
      <c r="E80" s="153">
        <f t="shared" si="50"/>
        <v>100</v>
      </c>
      <c r="F80" s="153">
        <f t="shared" si="50"/>
        <v>100</v>
      </c>
      <c r="G80" s="153">
        <f t="shared" si="50"/>
        <v>101.059724986207</v>
      </c>
      <c r="H80" s="153">
        <f t="shared" si="50"/>
        <v>100</v>
      </c>
      <c r="I80" s="153">
        <f t="shared" si="50"/>
        <v>100</v>
      </c>
      <c r="J80" s="153">
        <f t="shared" ref="J80" si="51">SUM(J75:J79)</f>
        <v>100</v>
      </c>
      <c r="K80" s="153">
        <f>SUM(K75:K79)</f>
        <v>100</v>
      </c>
      <c r="L80" s="153">
        <f>SUM(L75:L79)</f>
        <v>100</v>
      </c>
      <c r="M80" s="153">
        <f>SUM(M75:M79)</f>
        <v>99.999999999999986</v>
      </c>
      <c r="N80" s="153">
        <f>SUM(N75:N79)</f>
        <v>100</v>
      </c>
    </row>
    <row r="82" spans="2:14">
      <c r="B82" s="177" t="s">
        <v>98</v>
      </c>
      <c r="C82" s="177"/>
      <c r="D82" s="177"/>
    </row>
    <row r="83" spans="2:14">
      <c r="B83" s="142"/>
      <c r="C83" s="286" t="s">
        <v>69</v>
      </c>
      <c r="D83" s="286" t="s">
        <v>70</v>
      </c>
      <c r="E83" s="286" t="s">
        <v>71</v>
      </c>
      <c r="F83" s="286" t="s">
        <v>72</v>
      </c>
      <c r="G83" s="286" t="s">
        <v>86</v>
      </c>
      <c r="H83" s="286" t="s">
        <v>75</v>
      </c>
      <c r="I83" s="286" t="s">
        <v>128</v>
      </c>
      <c r="J83" s="286" t="s">
        <v>128</v>
      </c>
      <c r="K83" s="285" t="s">
        <v>221</v>
      </c>
      <c r="L83" s="285" t="s">
        <v>223</v>
      </c>
      <c r="M83" s="285" t="s">
        <v>237</v>
      </c>
      <c r="N83" s="285" t="s">
        <v>295</v>
      </c>
    </row>
    <row r="84" spans="2:14">
      <c r="B84" s="146" t="s">
        <v>101</v>
      </c>
      <c r="C84" s="154">
        <f t="shared" ref="C84:L88" si="52">ROUND(C75,1)</f>
        <v>26.6</v>
      </c>
      <c r="D84" s="154">
        <f t="shared" si="52"/>
        <v>28.2</v>
      </c>
      <c r="E84" s="154">
        <f t="shared" si="52"/>
        <v>21</v>
      </c>
      <c r="F84" s="154">
        <f t="shared" si="52"/>
        <v>16.100000000000001</v>
      </c>
      <c r="G84" s="154">
        <f t="shared" si="52"/>
        <v>12.9</v>
      </c>
      <c r="H84" s="154">
        <f t="shared" si="52"/>
        <v>9.5</v>
      </c>
      <c r="I84" s="154">
        <f t="shared" si="52"/>
        <v>8</v>
      </c>
      <c r="J84" s="154">
        <f t="shared" si="52"/>
        <v>8</v>
      </c>
      <c r="K84" s="154">
        <f t="shared" si="52"/>
        <v>5.0999999999999996</v>
      </c>
      <c r="L84" s="154">
        <f t="shared" si="52"/>
        <v>6.2</v>
      </c>
      <c r="M84" s="154">
        <f t="shared" ref="M84:N88" si="53">ROUND(M75,1)</f>
        <v>6.2</v>
      </c>
      <c r="N84" s="181">
        <f t="shared" si="53"/>
        <v>6.4</v>
      </c>
    </row>
    <row r="85" spans="2:14">
      <c r="B85" s="146" t="s">
        <v>92</v>
      </c>
      <c r="C85" s="154">
        <f>ROUND(C76,1)-0.1</f>
        <v>35.6</v>
      </c>
      <c r="D85" s="154">
        <f t="shared" si="52"/>
        <v>33.4</v>
      </c>
      <c r="E85" s="154">
        <f t="shared" si="52"/>
        <v>36.1</v>
      </c>
      <c r="F85" s="154">
        <f>ROUND(F76,1)-0.1</f>
        <v>35.799999999999997</v>
      </c>
      <c r="G85" s="154">
        <f t="shared" si="52"/>
        <v>37</v>
      </c>
      <c r="H85" s="154">
        <f t="shared" si="52"/>
        <v>37</v>
      </c>
      <c r="I85" s="154">
        <f t="shared" si="52"/>
        <v>36.9</v>
      </c>
      <c r="J85" s="154">
        <f t="shared" si="52"/>
        <v>36.9</v>
      </c>
      <c r="K85" s="154">
        <f t="shared" si="52"/>
        <v>34.9</v>
      </c>
      <c r="L85" s="154">
        <f t="shared" si="52"/>
        <v>33.200000000000003</v>
      </c>
      <c r="M85" s="154">
        <f t="shared" si="53"/>
        <v>31.8</v>
      </c>
      <c r="N85" s="181">
        <f t="shared" si="53"/>
        <v>29.8</v>
      </c>
    </row>
    <row r="86" spans="2:14">
      <c r="B86" s="146" t="s">
        <v>102</v>
      </c>
      <c r="C86" s="154">
        <f t="shared" si="52"/>
        <v>7.9</v>
      </c>
      <c r="D86" s="154">
        <f t="shared" si="52"/>
        <v>8.4</v>
      </c>
      <c r="E86" s="154">
        <f t="shared" si="52"/>
        <v>10.7</v>
      </c>
      <c r="F86" s="154">
        <f t="shared" si="52"/>
        <v>13.1</v>
      </c>
      <c r="G86" s="154">
        <f t="shared" si="52"/>
        <v>12.9</v>
      </c>
      <c r="H86" s="154">
        <f t="shared" si="52"/>
        <v>13.1</v>
      </c>
      <c r="I86" s="154">
        <f t="shared" si="52"/>
        <v>13.8</v>
      </c>
      <c r="J86" s="154">
        <f t="shared" si="52"/>
        <v>13.8</v>
      </c>
      <c r="K86" s="155">
        <f>ROUND(K77,1)-0.1</f>
        <v>16.899999999999999</v>
      </c>
      <c r="L86" s="155">
        <f>ROUND(L77,1)</f>
        <v>16.3</v>
      </c>
      <c r="M86" s="154">
        <f t="shared" si="53"/>
        <v>17.100000000000001</v>
      </c>
      <c r="N86" s="181">
        <f t="shared" si="53"/>
        <v>16.899999999999999</v>
      </c>
    </row>
    <row r="87" spans="2:14">
      <c r="B87" s="146" t="s">
        <v>103</v>
      </c>
      <c r="C87" s="154">
        <f t="shared" si="52"/>
        <v>11.8</v>
      </c>
      <c r="D87" s="154">
        <f t="shared" si="52"/>
        <v>12.5</v>
      </c>
      <c r="E87" s="154">
        <f t="shared" si="52"/>
        <v>13.7</v>
      </c>
      <c r="F87" s="154">
        <f t="shared" si="52"/>
        <v>16.600000000000001</v>
      </c>
      <c r="G87" s="154">
        <f t="shared" si="52"/>
        <v>19.3</v>
      </c>
      <c r="H87" s="154">
        <f t="shared" si="52"/>
        <v>22.9</v>
      </c>
      <c r="I87" s="154">
        <f t="shared" si="52"/>
        <v>24.8</v>
      </c>
      <c r="J87" s="154">
        <f t="shared" si="52"/>
        <v>24.8</v>
      </c>
      <c r="K87" s="154">
        <f t="shared" si="52"/>
        <v>30.4</v>
      </c>
      <c r="L87" s="154">
        <f t="shared" si="52"/>
        <v>31.6</v>
      </c>
      <c r="M87" s="154">
        <f t="shared" si="53"/>
        <v>32.4</v>
      </c>
      <c r="N87" s="181">
        <f t="shared" si="53"/>
        <v>34.4</v>
      </c>
    </row>
    <row r="88" spans="2:14">
      <c r="B88" s="146" t="s">
        <v>104</v>
      </c>
      <c r="C88" s="154">
        <f t="shared" si="52"/>
        <v>18.100000000000001</v>
      </c>
      <c r="D88" s="154">
        <f t="shared" si="52"/>
        <v>17.5</v>
      </c>
      <c r="E88" s="154">
        <f t="shared" si="52"/>
        <v>18.5</v>
      </c>
      <c r="F88" s="154">
        <f t="shared" si="52"/>
        <v>18.399999999999999</v>
      </c>
      <c r="G88" s="154">
        <f t="shared" si="52"/>
        <v>19.100000000000001</v>
      </c>
      <c r="H88" s="154">
        <f t="shared" si="52"/>
        <v>17.5</v>
      </c>
      <c r="I88" s="154">
        <f t="shared" si="52"/>
        <v>16.5</v>
      </c>
      <c r="J88" s="154">
        <f t="shared" si="52"/>
        <v>16.5</v>
      </c>
      <c r="K88" s="154">
        <f t="shared" si="52"/>
        <v>12.7</v>
      </c>
      <c r="L88" s="154">
        <f t="shared" si="52"/>
        <v>12.7</v>
      </c>
      <c r="M88" s="154">
        <f t="shared" si="53"/>
        <v>12.5</v>
      </c>
      <c r="N88" s="181">
        <f t="shared" si="53"/>
        <v>12.5</v>
      </c>
    </row>
    <row r="89" spans="2:14">
      <c r="B89" s="146" t="s">
        <v>93</v>
      </c>
      <c r="C89" s="154">
        <f t="shared" ref="C89:J89" si="54">SUM(C84:C88)</f>
        <v>100</v>
      </c>
      <c r="D89" s="154">
        <f t="shared" si="54"/>
        <v>100</v>
      </c>
      <c r="E89" s="154">
        <f t="shared" si="54"/>
        <v>100</v>
      </c>
      <c r="F89" s="154">
        <f t="shared" si="54"/>
        <v>100</v>
      </c>
      <c r="G89" s="154">
        <f t="shared" si="54"/>
        <v>101.19999999999999</v>
      </c>
      <c r="H89" s="154">
        <f t="shared" si="54"/>
        <v>100</v>
      </c>
      <c r="I89" s="154">
        <f t="shared" si="54"/>
        <v>100</v>
      </c>
      <c r="J89" s="154">
        <f t="shared" si="54"/>
        <v>100</v>
      </c>
      <c r="K89" s="154">
        <f>SUM(K84:K88)</f>
        <v>100</v>
      </c>
      <c r="L89" s="154">
        <f>SUM(L84:L88)</f>
        <v>100.00000000000001</v>
      </c>
      <c r="M89" s="154">
        <f>SUM(M84:M88)</f>
        <v>100</v>
      </c>
      <c r="N89" s="181">
        <f>SUM(N84:N88)</f>
        <v>100</v>
      </c>
    </row>
  </sheetData>
  <mergeCells count="3">
    <mergeCell ref="B13:E13"/>
    <mergeCell ref="B20:E20"/>
    <mergeCell ref="B29:E29"/>
  </mergeCells>
  <phoneticPr fontId="11"/>
  <pageMargins left="0" right="0" top="0.98425196850393704" bottom="0.98425196850393704" header="0.51181102362204722" footer="0.51181102362204722"/>
  <pageSetup paperSize="9" scale="50" orientation="portrait" horizontalDpi="300" verticalDpi="300" r:id="rId1"/>
  <headerFooter alignWithMargins="0"/>
  <ignoredErrors>
    <ignoredError sqref="G66 J67" formula="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
  <sheetViews>
    <sheetView view="pageBreakPreview" topLeftCell="A40" zoomScale="70" zoomScaleNormal="100" zoomScaleSheetLayoutView="70" workbookViewId="0">
      <pane xSplit="1" topLeftCell="B1" activePane="topRight" state="frozen"/>
      <selection activeCell="K9" sqref="A6:K9"/>
      <selection pane="topRight" activeCell="M24" sqref="M24"/>
    </sheetView>
  </sheetViews>
  <sheetFormatPr defaultColWidth="10.28515625" defaultRowHeight="13.5"/>
  <cols>
    <col min="1" max="1" width="17.28515625" style="141" bestFit="1" customWidth="1"/>
    <col min="2" max="8" width="10" style="141" customWidth="1"/>
    <col min="9" max="9" width="12" style="141" customWidth="1"/>
    <col min="10" max="12" width="12" style="141" bestFit="1" customWidth="1"/>
    <col min="13" max="18" width="12" style="141" customWidth="1"/>
    <col min="19" max="19" width="11.140625" style="141" customWidth="1"/>
    <col min="20" max="22" width="10.5703125" style="141" bestFit="1" customWidth="1"/>
    <col min="23" max="16384" width="10.28515625" style="141"/>
  </cols>
  <sheetData>
    <row r="1" spans="1:22">
      <c r="A1" s="141" t="s">
        <v>81</v>
      </c>
    </row>
    <row r="3" spans="1:22">
      <c r="A3" s="141" t="s">
        <v>82</v>
      </c>
    </row>
    <row r="4" spans="1:22" s="145" customFormat="1">
      <c r="A4" s="314"/>
      <c r="B4" s="315" t="s">
        <v>69</v>
      </c>
      <c r="C4" s="315" t="s">
        <v>83</v>
      </c>
      <c r="D4" s="315" t="s">
        <v>70</v>
      </c>
      <c r="E4" s="315" t="s">
        <v>84</v>
      </c>
      <c r="F4" s="315" t="s">
        <v>71</v>
      </c>
      <c r="G4" s="315" t="s">
        <v>85</v>
      </c>
      <c r="H4" s="315" t="s">
        <v>72</v>
      </c>
      <c r="I4" s="315" t="s">
        <v>86</v>
      </c>
      <c r="J4" s="315" t="s">
        <v>73</v>
      </c>
      <c r="K4" s="315" t="s">
        <v>74</v>
      </c>
      <c r="L4" s="315" t="s">
        <v>207</v>
      </c>
      <c r="M4" s="316" t="s">
        <v>110</v>
      </c>
      <c r="N4" s="316" t="s">
        <v>128</v>
      </c>
      <c r="O4" s="316" t="s">
        <v>134</v>
      </c>
      <c r="P4" s="316" t="s">
        <v>139</v>
      </c>
      <c r="Q4" s="316" t="s">
        <v>174</v>
      </c>
      <c r="R4" s="316" t="s">
        <v>184</v>
      </c>
      <c r="S4" s="316" t="s">
        <v>208</v>
      </c>
      <c r="T4" s="317" t="s">
        <v>224</v>
      </c>
      <c r="U4" s="318" t="s">
        <v>239</v>
      </c>
      <c r="V4" s="293" t="s">
        <v>297</v>
      </c>
    </row>
    <row r="5" spans="1:22" s="145" customFormat="1">
      <c r="A5" s="319" t="s">
        <v>176</v>
      </c>
      <c r="B5" s="287">
        <v>777637</v>
      </c>
      <c r="C5" s="287">
        <v>775187</v>
      </c>
      <c r="D5" s="287">
        <v>738656</v>
      </c>
      <c r="E5" s="287">
        <v>712955</v>
      </c>
      <c r="F5" s="287">
        <v>686522</v>
      </c>
      <c r="G5" s="287">
        <v>665501</v>
      </c>
      <c r="H5" s="287">
        <v>635039</v>
      </c>
      <c r="I5" s="287">
        <v>613049</v>
      </c>
      <c r="J5" s="287">
        <v>618500</v>
      </c>
      <c r="K5" s="287">
        <v>628573</v>
      </c>
      <c r="L5" s="287">
        <v>652624</v>
      </c>
      <c r="M5" s="149">
        <v>678485</v>
      </c>
      <c r="N5" s="149">
        <v>670787</v>
      </c>
      <c r="O5" s="149">
        <v>623613</v>
      </c>
      <c r="P5" s="149">
        <v>626018</v>
      </c>
      <c r="Q5" s="149">
        <v>636066</v>
      </c>
      <c r="R5" s="149">
        <v>627006</v>
      </c>
      <c r="S5" s="149">
        <v>641870</v>
      </c>
      <c r="T5" s="149">
        <v>659256</v>
      </c>
      <c r="U5" s="149">
        <v>660088</v>
      </c>
      <c r="V5" s="149">
        <v>659473</v>
      </c>
    </row>
    <row r="6" spans="1:22" s="145" customFormat="1">
      <c r="A6" s="319" t="s">
        <v>87</v>
      </c>
      <c r="B6" s="287">
        <v>12844</v>
      </c>
      <c r="C6" s="287">
        <v>3779</v>
      </c>
      <c r="D6" s="287">
        <v>15155</v>
      </c>
      <c r="E6" s="287">
        <v>58810</v>
      </c>
      <c r="F6" s="287">
        <v>76659</v>
      </c>
      <c r="G6" s="287">
        <v>79853</v>
      </c>
      <c r="H6" s="287">
        <v>84384</v>
      </c>
      <c r="I6" s="287">
        <v>80475</v>
      </c>
      <c r="J6" s="287">
        <v>72843</v>
      </c>
      <c r="K6" s="287">
        <v>60716</v>
      </c>
      <c r="L6" s="287">
        <v>47208</v>
      </c>
      <c r="M6" s="149">
        <v>10499</v>
      </c>
      <c r="N6" s="149">
        <v>16903</v>
      </c>
      <c r="O6" s="149">
        <v>38032</v>
      </c>
      <c r="P6" s="149">
        <v>47970</v>
      </c>
      <c r="Q6" s="149">
        <v>54195</v>
      </c>
      <c r="R6" s="149">
        <v>50172</v>
      </c>
      <c r="S6" s="149">
        <v>48640</v>
      </c>
      <c r="T6" s="149">
        <v>36787</v>
      </c>
      <c r="U6" s="149">
        <v>41891</v>
      </c>
      <c r="V6" s="149">
        <v>32905</v>
      </c>
    </row>
    <row r="7" spans="1:22" s="145" customFormat="1">
      <c r="A7" s="319" t="s">
        <v>88</v>
      </c>
      <c r="B7" s="287">
        <v>72801</v>
      </c>
      <c r="C7" s="287">
        <v>65665</v>
      </c>
      <c r="D7" s="287">
        <v>86341</v>
      </c>
      <c r="E7" s="287">
        <v>90488</v>
      </c>
      <c r="F7" s="287">
        <v>106576</v>
      </c>
      <c r="G7" s="287">
        <v>103628</v>
      </c>
      <c r="H7" s="287">
        <v>86693</v>
      </c>
      <c r="I7" s="287">
        <v>87878</v>
      </c>
      <c r="J7" s="287">
        <v>97431</v>
      </c>
      <c r="K7" s="287">
        <v>101895</v>
      </c>
      <c r="L7" s="287">
        <v>107866</v>
      </c>
      <c r="M7" s="149">
        <v>77359</v>
      </c>
      <c r="N7" s="149">
        <v>73366</v>
      </c>
      <c r="O7" s="149">
        <v>70908</v>
      </c>
      <c r="P7" s="149">
        <v>68134</v>
      </c>
      <c r="Q7" s="149">
        <v>67480</v>
      </c>
      <c r="R7" s="149">
        <v>64840</v>
      </c>
      <c r="S7" s="149">
        <f>6305+58065+1964+924</f>
        <v>67258</v>
      </c>
      <c r="T7" s="149">
        <f>5987+63133+1804+815</f>
        <v>71739</v>
      </c>
      <c r="U7" s="149">
        <f>6149+1622+87348+877</f>
        <v>95996</v>
      </c>
      <c r="V7" s="149">
        <v>86249</v>
      </c>
    </row>
    <row r="8" spans="1:22" s="145" customFormat="1">
      <c r="A8" s="319" t="s">
        <v>89</v>
      </c>
      <c r="B8" s="287">
        <v>219549</v>
      </c>
      <c r="C8" s="287">
        <v>229498</v>
      </c>
      <c r="D8" s="287">
        <v>250785</v>
      </c>
      <c r="E8" s="287">
        <v>278818</v>
      </c>
      <c r="F8" s="287">
        <v>247802</v>
      </c>
      <c r="G8" s="287">
        <v>254842</v>
      </c>
      <c r="H8" s="287">
        <v>250342</v>
      </c>
      <c r="I8" s="287">
        <v>263563</v>
      </c>
      <c r="J8" s="287">
        <v>273692</v>
      </c>
      <c r="K8" s="287">
        <v>273575</v>
      </c>
      <c r="L8" s="287">
        <v>252668</v>
      </c>
      <c r="M8" s="149">
        <v>257413</v>
      </c>
      <c r="N8" s="149">
        <v>258256</v>
      </c>
      <c r="O8" s="149">
        <v>345023</v>
      </c>
      <c r="P8" s="149">
        <v>333440</v>
      </c>
      <c r="Q8" s="149">
        <v>344384</v>
      </c>
      <c r="R8" s="149">
        <v>333309</v>
      </c>
      <c r="S8" s="149">
        <v>348442</v>
      </c>
      <c r="T8" s="149">
        <v>349428</v>
      </c>
      <c r="U8" s="149">
        <v>357597</v>
      </c>
      <c r="V8" s="149">
        <v>366554</v>
      </c>
    </row>
    <row r="9" spans="1:22" s="145" customFormat="1">
      <c r="A9" s="319" t="s">
        <v>90</v>
      </c>
      <c r="B9" s="287">
        <v>228236</v>
      </c>
      <c r="C9" s="287">
        <v>239120</v>
      </c>
      <c r="D9" s="287">
        <v>316678</v>
      </c>
      <c r="E9" s="287">
        <v>195979</v>
      </c>
      <c r="F9" s="287">
        <v>206034</v>
      </c>
      <c r="G9" s="287">
        <v>182995</v>
      </c>
      <c r="H9" s="287">
        <v>169411</v>
      </c>
      <c r="I9" s="287">
        <v>133221</v>
      </c>
      <c r="J9" s="287">
        <v>121194</v>
      </c>
      <c r="K9" s="287">
        <v>117210</v>
      </c>
      <c r="L9" s="287">
        <v>90315</v>
      </c>
      <c r="M9" s="149">
        <v>67958</v>
      </c>
      <c r="N9" s="149">
        <v>64878</v>
      </c>
      <c r="O9" s="149">
        <v>50198</v>
      </c>
      <c r="P9" s="149">
        <v>33538</v>
      </c>
      <c r="Q9" s="530">
        <v>164084</v>
      </c>
      <c r="R9" s="530">
        <v>129579</v>
      </c>
      <c r="S9" s="530">
        <v>154833</v>
      </c>
      <c r="T9" s="530">
        <v>121124</v>
      </c>
      <c r="U9" s="530">
        <v>101857</v>
      </c>
      <c r="V9" s="530">
        <v>91432</v>
      </c>
    </row>
    <row r="10" spans="1:22" s="145" customFormat="1">
      <c r="A10" s="319" t="s">
        <v>91</v>
      </c>
      <c r="B10" s="287">
        <v>57633</v>
      </c>
      <c r="C10" s="287">
        <v>70028</v>
      </c>
      <c r="D10" s="287">
        <v>90586</v>
      </c>
      <c r="E10" s="287">
        <v>66805</v>
      </c>
      <c r="F10" s="287">
        <v>38553</v>
      </c>
      <c r="G10" s="287">
        <v>49494</v>
      </c>
      <c r="H10" s="287">
        <v>81705</v>
      </c>
      <c r="I10" s="287">
        <v>109678</v>
      </c>
      <c r="J10" s="287">
        <v>96554</v>
      </c>
      <c r="K10" s="287">
        <v>69787</v>
      </c>
      <c r="L10" s="287">
        <v>51873</v>
      </c>
      <c r="M10" s="149">
        <v>73058</v>
      </c>
      <c r="N10" s="149">
        <v>80197</v>
      </c>
      <c r="O10" s="149">
        <v>104121</v>
      </c>
      <c r="P10" s="149">
        <v>113831</v>
      </c>
      <c r="Q10" s="531"/>
      <c r="R10" s="531"/>
      <c r="S10" s="531"/>
      <c r="T10" s="531"/>
      <c r="U10" s="531"/>
      <c r="V10" s="531"/>
    </row>
    <row r="11" spans="1:22" s="145" customFormat="1">
      <c r="A11" s="319" t="s">
        <v>92</v>
      </c>
      <c r="B11" s="287">
        <v>489083</v>
      </c>
      <c r="C11" s="287">
        <v>477612</v>
      </c>
      <c r="D11" s="287">
        <f>D12-D5-D6-D7-D8-D9-D10</f>
        <v>487374</v>
      </c>
      <c r="E11" s="287">
        <f t="shared" ref="E11:J11" si="0">E12-E5-E6-E7-E8-E9-E10</f>
        <v>506475</v>
      </c>
      <c r="F11" s="287">
        <f t="shared" si="0"/>
        <v>507486</v>
      </c>
      <c r="G11" s="287">
        <f t="shared" si="0"/>
        <v>525814</v>
      </c>
      <c r="H11" s="287">
        <f t="shared" si="0"/>
        <v>483132</v>
      </c>
      <c r="I11" s="287">
        <f t="shared" si="0"/>
        <v>434793</v>
      </c>
      <c r="J11" s="287">
        <f t="shared" si="0"/>
        <v>423651</v>
      </c>
      <c r="K11" s="287">
        <f>K12-K5-K6-K7-K8-K9-K10</f>
        <v>414619</v>
      </c>
      <c r="L11" s="287">
        <f>L12-L5-L6-L7-L8-L9-L10</f>
        <v>387952</v>
      </c>
      <c r="M11" s="287">
        <f>M12-M5-M6-M7-M8-M9-M10</f>
        <v>412513</v>
      </c>
      <c r="N11" s="287">
        <v>390734</v>
      </c>
      <c r="O11" s="287">
        <v>439752</v>
      </c>
      <c r="P11" s="287">
        <v>419712</v>
      </c>
      <c r="Q11" s="287">
        <v>384947</v>
      </c>
      <c r="R11" s="287">
        <v>495875</v>
      </c>
      <c r="S11" s="178">
        <f>61828+53265+47472+1526+251556-924</f>
        <v>414723</v>
      </c>
      <c r="T11" s="178">
        <f>62205+56187+50918+25364+208965-815</f>
        <v>402824</v>
      </c>
      <c r="U11" s="178">
        <f>U12-SUM(U5:U10)</f>
        <v>374554</v>
      </c>
      <c r="V11" s="178">
        <f>V12-SUM(V5:V10)</f>
        <v>338225</v>
      </c>
    </row>
    <row r="12" spans="1:22" s="145" customFormat="1">
      <c r="A12" s="319" t="s">
        <v>93</v>
      </c>
      <c r="B12" s="287">
        <v>1857783</v>
      </c>
      <c r="C12" s="287">
        <v>1860889</v>
      </c>
      <c r="D12" s="287">
        <v>1985575</v>
      </c>
      <c r="E12" s="287">
        <v>1910330</v>
      </c>
      <c r="F12" s="287">
        <v>1869632</v>
      </c>
      <c r="G12" s="287">
        <v>1862127</v>
      </c>
      <c r="H12" s="287">
        <v>1790706</v>
      </c>
      <c r="I12" s="287">
        <v>1722657</v>
      </c>
      <c r="J12" s="287">
        <v>1703865</v>
      </c>
      <c r="K12" s="287">
        <v>1666375</v>
      </c>
      <c r="L12" s="287">
        <v>1590506</v>
      </c>
      <c r="M12" s="149">
        <v>1577285</v>
      </c>
      <c r="N12" s="149">
        <v>1555121</v>
      </c>
      <c r="O12" s="149">
        <v>1671647</v>
      </c>
      <c r="P12" s="149">
        <v>1642643</v>
      </c>
      <c r="Q12" s="149">
        <v>1651156</v>
      </c>
      <c r="R12" s="149">
        <v>1700781</v>
      </c>
      <c r="S12" s="149">
        <v>1675766</v>
      </c>
      <c r="T12" s="149">
        <v>1641158</v>
      </c>
      <c r="U12" s="149">
        <v>1631983</v>
      </c>
      <c r="V12" s="149">
        <v>1574838</v>
      </c>
    </row>
    <row r="13" spans="1:22">
      <c r="A13" s="292"/>
      <c r="B13" s="320">
        <f>SUM(B5:B11)-B12</f>
        <v>0</v>
      </c>
      <c r="C13" s="320">
        <f t="shared" ref="C13:O13" si="1">SUM(C5:C11)-C12</f>
        <v>0</v>
      </c>
      <c r="D13" s="320">
        <f t="shared" si="1"/>
        <v>0</v>
      </c>
      <c r="E13" s="320">
        <f t="shared" si="1"/>
        <v>0</v>
      </c>
      <c r="F13" s="320">
        <f t="shared" si="1"/>
        <v>0</v>
      </c>
      <c r="G13" s="320">
        <f t="shared" si="1"/>
        <v>0</v>
      </c>
      <c r="H13" s="320">
        <f t="shared" si="1"/>
        <v>0</v>
      </c>
      <c r="I13" s="320">
        <f t="shared" si="1"/>
        <v>0</v>
      </c>
      <c r="J13" s="320">
        <f t="shared" si="1"/>
        <v>0</v>
      </c>
      <c r="K13" s="320">
        <f t="shared" si="1"/>
        <v>0</v>
      </c>
      <c r="L13" s="320">
        <f t="shared" si="1"/>
        <v>0</v>
      </c>
      <c r="M13" s="320">
        <f t="shared" si="1"/>
        <v>0</v>
      </c>
      <c r="N13" s="320">
        <f t="shared" si="1"/>
        <v>0</v>
      </c>
      <c r="O13" s="320">
        <f t="shared" si="1"/>
        <v>0</v>
      </c>
      <c r="P13" s="320">
        <f t="shared" ref="P13:U13" si="2">SUM(P5:P11)-P12</f>
        <v>0</v>
      </c>
      <c r="Q13" s="320">
        <f t="shared" si="2"/>
        <v>0</v>
      </c>
      <c r="R13" s="320">
        <f t="shared" si="2"/>
        <v>0</v>
      </c>
      <c r="S13" s="320">
        <f t="shared" si="2"/>
        <v>0</v>
      </c>
      <c r="T13" s="320">
        <f t="shared" si="2"/>
        <v>0</v>
      </c>
      <c r="U13" s="320">
        <f t="shared" si="2"/>
        <v>0</v>
      </c>
      <c r="V13" s="320">
        <f t="shared" ref="V13" si="3">SUM(V5:V11)-V12</f>
        <v>0</v>
      </c>
    </row>
    <row r="14" spans="1:22">
      <c r="A14" s="179" t="s">
        <v>94</v>
      </c>
      <c r="B14" s="287">
        <v>285869</v>
      </c>
      <c r="C14" s="287">
        <v>309148</v>
      </c>
      <c r="D14" s="287">
        <v>407264</v>
      </c>
      <c r="E14" s="287">
        <v>262784</v>
      </c>
      <c r="F14" s="287">
        <v>244587</v>
      </c>
      <c r="G14" s="287">
        <v>232489</v>
      </c>
      <c r="H14" s="287">
        <v>251116</v>
      </c>
      <c r="I14" s="287">
        <v>242899</v>
      </c>
      <c r="J14" s="287">
        <v>217748</v>
      </c>
      <c r="K14" s="287">
        <v>186997</v>
      </c>
      <c r="L14" s="287">
        <f>90315+51873</f>
        <v>142188</v>
      </c>
      <c r="M14" s="287">
        <f>67958+73058</f>
        <v>141016</v>
      </c>
      <c r="N14" s="287">
        <f>64878+80197</f>
        <v>145075</v>
      </c>
      <c r="O14" s="287">
        <v>154319</v>
      </c>
      <c r="P14" s="287">
        <v>147369</v>
      </c>
      <c r="Q14" s="178" t="s">
        <v>209</v>
      </c>
      <c r="R14" s="178" t="s">
        <v>209</v>
      </c>
      <c r="S14" s="178" t="s">
        <v>80</v>
      </c>
      <c r="T14" s="178" t="s">
        <v>80</v>
      </c>
      <c r="U14" s="178" t="s">
        <v>80</v>
      </c>
      <c r="V14" s="178" t="s">
        <v>80</v>
      </c>
    </row>
    <row r="15" spans="1:22">
      <c r="A15" s="179"/>
      <c r="B15" s="182">
        <f>B14-B9-B10</f>
        <v>0</v>
      </c>
      <c r="C15" s="182">
        <f t="shared" ref="C15:K15" si="4">C14-C9-C10</f>
        <v>0</v>
      </c>
      <c r="D15" s="182">
        <f t="shared" si="4"/>
        <v>0</v>
      </c>
      <c r="E15" s="182">
        <f t="shared" si="4"/>
        <v>0</v>
      </c>
      <c r="F15" s="182">
        <f t="shared" si="4"/>
        <v>0</v>
      </c>
      <c r="G15" s="182">
        <f t="shared" si="4"/>
        <v>0</v>
      </c>
      <c r="H15" s="182">
        <f t="shared" si="4"/>
        <v>0</v>
      </c>
      <c r="I15" s="182">
        <f t="shared" si="4"/>
        <v>0</v>
      </c>
      <c r="J15" s="182">
        <f t="shared" si="4"/>
        <v>0</v>
      </c>
      <c r="K15" s="182">
        <f t="shared" si="4"/>
        <v>0</v>
      </c>
      <c r="L15" s="182">
        <f>L14-L9-L10</f>
        <v>0</v>
      </c>
      <c r="M15" s="182">
        <f>M14-M9-M10</f>
        <v>0</v>
      </c>
      <c r="N15" s="182">
        <f>N14-N9-N10</f>
        <v>0</v>
      </c>
      <c r="O15" s="182">
        <f>O14-O9-O10</f>
        <v>0</v>
      </c>
      <c r="P15" s="182">
        <f>P14-P9-P10</f>
        <v>0</v>
      </c>
      <c r="Q15" s="182"/>
      <c r="R15" s="182"/>
      <c r="S15" s="182"/>
      <c r="T15" s="292"/>
      <c r="U15" s="292"/>
      <c r="V15" s="292"/>
    </row>
    <row r="16" spans="1:22">
      <c r="A16" s="292"/>
      <c r="B16" s="320"/>
      <c r="C16" s="320"/>
      <c r="D16" s="320"/>
      <c r="E16" s="320"/>
      <c r="F16" s="320"/>
      <c r="G16" s="320"/>
      <c r="H16" s="320"/>
      <c r="I16" s="320"/>
      <c r="J16" s="320"/>
      <c r="K16" s="320"/>
      <c r="L16" s="320"/>
      <c r="M16" s="292"/>
      <c r="N16" s="292"/>
      <c r="O16" s="292"/>
      <c r="P16" s="292"/>
      <c r="Q16" s="292"/>
      <c r="R16" s="292"/>
      <c r="S16" s="292"/>
      <c r="T16" s="292"/>
      <c r="U16" s="292"/>
      <c r="V16" s="292"/>
    </row>
    <row r="17" spans="1:22" ht="13.5" hidden="1" customHeight="1">
      <c r="A17" s="529" t="s">
        <v>95</v>
      </c>
      <c r="B17" s="529"/>
      <c r="C17" s="529"/>
      <c r="D17" s="529"/>
      <c r="E17" s="292"/>
      <c r="F17" s="292"/>
      <c r="G17" s="292"/>
      <c r="H17" s="292"/>
      <c r="I17" s="292"/>
      <c r="J17" s="292"/>
      <c r="K17" s="292"/>
      <c r="L17" s="292"/>
      <c r="M17" s="292"/>
      <c r="N17" s="292"/>
      <c r="O17" s="292"/>
      <c r="P17" s="292"/>
      <c r="Q17" s="292"/>
      <c r="R17" s="292"/>
      <c r="S17" s="292"/>
      <c r="T17" s="292"/>
      <c r="U17" s="292"/>
      <c r="V17" s="292"/>
    </row>
    <row r="18" spans="1:22" ht="13.5" hidden="1" customHeight="1">
      <c r="A18" s="314"/>
      <c r="B18" s="315" t="s">
        <v>69</v>
      </c>
      <c r="C18" s="315" t="s">
        <v>83</v>
      </c>
      <c r="D18" s="315" t="s">
        <v>70</v>
      </c>
      <c r="E18" s="315" t="s">
        <v>84</v>
      </c>
      <c r="F18" s="315" t="s">
        <v>71</v>
      </c>
      <c r="G18" s="315" t="s">
        <v>85</v>
      </c>
      <c r="H18" s="315" t="s">
        <v>72</v>
      </c>
      <c r="I18" s="315" t="s">
        <v>86</v>
      </c>
      <c r="J18" s="315" t="s">
        <v>73</v>
      </c>
      <c r="K18" s="315" t="s">
        <v>74</v>
      </c>
      <c r="L18" s="315" t="s">
        <v>207</v>
      </c>
      <c r="M18" s="292"/>
      <c r="N18" s="292"/>
      <c r="O18" s="292"/>
      <c r="P18" s="292"/>
      <c r="Q18" s="292"/>
      <c r="R18" s="292"/>
      <c r="S18" s="292"/>
      <c r="T18" s="292"/>
      <c r="U18" s="292"/>
      <c r="V18" s="292"/>
    </row>
    <row r="19" spans="1:22" ht="13.5" hidden="1" customHeight="1">
      <c r="A19" s="319" t="s">
        <v>176</v>
      </c>
      <c r="B19" s="287">
        <v>777637</v>
      </c>
      <c r="C19" s="287">
        <v>775187</v>
      </c>
      <c r="D19" s="287">
        <v>738656</v>
      </c>
      <c r="E19" s="287">
        <v>712955</v>
      </c>
      <c r="F19" s="287">
        <v>686522</v>
      </c>
      <c r="G19" s="287">
        <v>665501</v>
      </c>
      <c r="H19" s="287">
        <v>635039</v>
      </c>
      <c r="I19" s="287">
        <v>613049</v>
      </c>
      <c r="J19" s="287">
        <v>618500</v>
      </c>
      <c r="K19" s="287">
        <v>628573</v>
      </c>
      <c r="L19" s="287">
        <v>652624</v>
      </c>
      <c r="M19" s="292"/>
      <c r="N19" s="292"/>
      <c r="O19" s="292"/>
      <c r="P19" s="292"/>
      <c r="Q19" s="292"/>
      <c r="R19" s="292"/>
      <c r="S19" s="292"/>
      <c r="T19" s="292"/>
      <c r="U19" s="292"/>
      <c r="V19" s="292"/>
    </row>
    <row r="20" spans="1:22" ht="13.5" hidden="1" customHeight="1">
      <c r="A20" s="319" t="s">
        <v>87</v>
      </c>
      <c r="B20" s="287">
        <v>12844</v>
      </c>
      <c r="C20" s="287">
        <v>3779</v>
      </c>
      <c r="D20" s="287">
        <v>15155</v>
      </c>
      <c r="E20" s="287">
        <v>58810</v>
      </c>
      <c r="F20" s="287">
        <v>76659</v>
      </c>
      <c r="G20" s="287">
        <v>79853</v>
      </c>
      <c r="H20" s="287">
        <v>84384</v>
      </c>
      <c r="I20" s="287">
        <v>80475</v>
      </c>
      <c r="J20" s="287">
        <v>72843</v>
      </c>
      <c r="K20" s="287">
        <v>60716</v>
      </c>
      <c r="L20" s="287">
        <v>47208</v>
      </c>
      <c r="M20" s="292"/>
      <c r="N20" s="292"/>
      <c r="O20" s="292"/>
      <c r="P20" s="292"/>
      <c r="Q20" s="292"/>
      <c r="R20" s="292"/>
      <c r="S20" s="292"/>
      <c r="T20" s="292"/>
      <c r="U20" s="292"/>
      <c r="V20" s="292"/>
    </row>
    <row r="21" spans="1:22" ht="13.5" hidden="1" customHeight="1">
      <c r="A21" s="319" t="s">
        <v>96</v>
      </c>
      <c r="B21" s="287" t="s">
        <v>209</v>
      </c>
      <c r="C21" s="287" t="s">
        <v>209</v>
      </c>
      <c r="D21" s="287" t="s">
        <v>80</v>
      </c>
      <c r="E21" s="287" t="s">
        <v>210</v>
      </c>
      <c r="F21" s="287" t="s">
        <v>80</v>
      </c>
      <c r="G21" s="287">
        <v>15666</v>
      </c>
      <c r="H21" s="287">
        <v>36732</v>
      </c>
      <c r="I21" s="287">
        <v>61138</v>
      </c>
      <c r="J21" s="287">
        <v>44086</v>
      </c>
      <c r="K21" s="287">
        <v>33826</v>
      </c>
      <c r="L21" s="287">
        <v>30150</v>
      </c>
      <c r="M21" s="292"/>
      <c r="N21" s="292"/>
      <c r="O21" s="292"/>
      <c r="P21" s="292"/>
      <c r="Q21" s="292"/>
      <c r="R21" s="292"/>
      <c r="S21" s="292"/>
      <c r="T21" s="292"/>
      <c r="U21" s="292"/>
      <c r="V21" s="292"/>
    </row>
    <row r="22" spans="1:22" ht="13.5" hidden="1" customHeight="1">
      <c r="A22" s="319" t="s">
        <v>93</v>
      </c>
      <c r="B22" s="287">
        <f>SUM(B19:B21)</f>
        <v>790481</v>
      </c>
      <c r="C22" s="287">
        <f t="shared" ref="C22:L22" si="5">SUM(C19:C21)</f>
        <v>778966</v>
      </c>
      <c r="D22" s="287">
        <f t="shared" si="5"/>
        <v>753811</v>
      </c>
      <c r="E22" s="287">
        <f t="shared" si="5"/>
        <v>771765</v>
      </c>
      <c r="F22" s="287">
        <f t="shared" si="5"/>
        <v>763181</v>
      </c>
      <c r="G22" s="287">
        <f t="shared" si="5"/>
        <v>761020</v>
      </c>
      <c r="H22" s="287">
        <f t="shared" si="5"/>
        <v>756155</v>
      </c>
      <c r="I22" s="287">
        <f t="shared" si="5"/>
        <v>754662</v>
      </c>
      <c r="J22" s="287">
        <f t="shared" si="5"/>
        <v>735429</v>
      </c>
      <c r="K22" s="287">
        <f t="shared" si="5"/>
        <v>723115</v>
      </c>
      <c r="L22" s="287">
        <f t="shared" si="5"/>
        <v>729982</v>
      </c>
      <c r="M22" s="292"/>
      <c r="N22" s="292"/>
      <c r="O22" s="292"/>
      <c r="P22" s="292"/>
      <c r="Q22" s="292"/>
      <c r="R22" s="292"/>
      <c r="S22" s="292"/>
      <c r="T22" s="292"/>
      <c r="U22" s="292"/>
      <c r="V22" s="292"/>
    </row>
    <row r="23" spans="1:22" ht="13.5" hidden="1" customHeight="1">
      <c r="A23" s="292"/>
      <c r="B23" s="180"/>
      <c r="C23" s="180"/>
      <c r="D23" s="180"/>
      <c r="E23" s="180"/>
      <c r="F23" s="180"/>
      <c r="G23" s="180"/>
      <c r="H23" s="180"/>
      <c r="I23" s="180"/>
      <c r="J23" s="180"/>
      <c r="K23" s="180"/>
      <c r="L23" s="180"/>
      <c r="M23" s="292"/>
      <c r="N23" s="292"/>
      <c r="O23" s="292"/>
      <c r="P23" s="292"/>
      <c r="Q23" s="292"/>
      <c r="R23" s="292"/>
      <c r="S23" s="292"/>
      <c r="T23" s="292"/>
      <c r="U23" s="292"/>
      <c r="V23" s="292"/>
    </row>
    <row r="24" spans="1:22">
      <c r="A24" s="529" t="s">
        <v>97</v>
      </c>
      <c r="B24" s="529"/>
      <c r="C24" s="529"/>
      <c r="D24" s="529"/>
      <c r="E24" s="292"/>
      <c r="F24" s="292"/>
      <c r="G24" s="292"/>
      <c r="H24" s="292"/>
      <c r="I24" s="292"/>
      <c r="J24" s="292"/>
      <c r="K24" s="292"/>
      <c r="L24" s="292"/>
      <c r="M24" s="292"/>
      <c r="N24" s="292"/>
      <c r="O24" s="292"/>
      <c r="P24" s="292"/>
      <c r="Q24" s="292"/>
      <c r="R24" s="292"/>
      <c r="S24" s="292"/>
      <c r="T24" s="292"/>
      <c r="U24" s="292"/>
      <c r="V24" s="292"/>
    </row>
    <row r="25" spans="1:22">
      <c r="A25" s="314"/>
      <c r="B25" s="315" t="s">
        <v>69</v>
      </c>
      <c r="C25" s="315" t="s">
        <v>83</v>
      </c>
      <c r="D25" s="315" t="s">
        <v>70</v>
      </c>
      <c r="E25" s="315" t="s">
        <v>84</v>
      </c>
      <c r="F25" s="315" t="s">
        <v>71</v>
      </c>
      <c r="G25" s="315" t="s">
        <v>85</v>
      </c>
      <c r="H25" s="315" t="s">
        <v>72</v>
      </c>
      <c r="I25" s="315" t="s">
        <v>86</v>
      </c>
      <c r="J25" s="315" t="s">
        <v>73</v>
      </c>
      <c r="K25" s="315" t="s">
        <v>74</v>
      </c>
      <c r="L25" s="315" t="s">
        <v>211</v>
      </c>
      <c r="M25" s="321" t="s">
        <v>212</v>
      </c>
      <c r="N25" s="321" t="s">
        <v>129</v>
      </c>
      <c r="O25" s="321" t="s">
        <v>133</v>
      </c>
      <c r="P25" s="321" t="s">
        <v>140</v>
      </c>
      <c r="Q25" s="321" t="s">
        <v>213</v>
      </c>
      <c r="R25" s="316" t="s">
        <v>184</v>
      </c>
      <c r="S25" s="316" t="s">
        <v>214</v>
      </c>
      <c r="T25" s="322" t="s">
        <v>225</v>
      </c>
      <c r="U25" s="318" t="s">
        <v>240</v>
      </c>
      <c r="V25" s="293" t="s">
        <v>297</v>
      </c>
    </row>
    <row r="26" spans="1:22">
      <c r="A26" s="319" t="s">
        <v>176</v>
      </c>
      <c r="B26" s="288">
        <f t="shared" ref="B26:N32" si="6">B5/B$12*100</f>
        <v>41.858333292962634</v>
      </c>
      <c r="C26" s="288">
        <f t="shared" si="6"/>
        <v>41.656810266490908</v>
      </c>
      <c r="D26" s="288">
        <f t="shared" si="6"/>
        <v>37.201113027712374</v>
      </c>
      <c r="E26" s="288">
        <f t="shared" si="6"/>
        <v>37.32103877340564</v>
      </c>
      <c r="F26" s="288">
        <f t="shared" si="6"/>
        <v>36.719632526614866</v>
      </c>
      <c r="G26" s="288">
        <f t="shared" si="6"/>
        <v>35.738754660664931</v>
      </c>
      <c r="H26" s="288">
        <f t="shared" si="6"/>
        <v>35.463052002953027</v>
      </c>
      <c r="I26" s="288">
        <f t="shared" si="6"/>
        <v>35.587409449472531</v>
      </c>
      <c r="J26" s="288">
        <f>J5/J$12*100</f>
        <v>36.29982422316322</v>
      </c>
      <c r="K26" s="288">
        <f>K5/K$12*100</f>
        <v>37.720981171705048</v>
      </c>
      <c r="L26" s="288">
        <f>L5/L$12*100</f>
        <v>41.032476457177779</v>
      </c>
      <c r="M26" s="288">
        <f>M5/M$12*100</f>
        <v>43.016005350967006</v>
      </c>
      <c r="N26" s="288">
        <f>N5/N$12*100</f>
        <v>43.134071239472682</v>
      </c>
      <c r="O26" s="323">
        <f t="shared" ref="O26:S32" si="7">O5/O$12*100</f>
        <v>37.305304289721455</v>
      </c>
      <c r="P26" s="323">
        <f t="shared" si="7"/>
        <v>38.110411087497404</v>
      </c>
      <c r="Q26" s="323">
        <f t="shared" si="7"/>
        <v>38.522465472674902</v>
      </c>
      <c r="R26" s="323">
        <f t="shared" si="7"/>
        <v>36.865769314215058</v>
      </c>
      <c r="S26" s="323">
        <f>S5/S$12*100</f>
        <v>38.303080501692961</v>
      </c>
      <c r="T26" s="323">
        <f>T5/T$12*100</f>
        <v>40.170172524522322</v>
      </c>
      <c r="U26" s="323">
        <f>U5/U$12*100</f>
        <v>40.44698995026296</v>
      </c>
      <c r="V26" s="323">
        <f>V5/V$12*100</f>
        <v>41.875608792777413</v>
      </c>
    </row>
    <row r="27" spans="1:22">
      <c r="A27" s="319" t="s">
        <v>87</v>
      </c>
      <c r="B27" s="288">
        <f t="shared" si="6"/>
        <v>0.69136169294260952</v>
      </c>
      <c r="C27" s="288">
        <f t="shared" si="6"/>
        <v>0.20307498190381049</v>
      </c>
      <c r="D27" s="288">
        <f t="shared" si="6"/>
        <v>0.76325497651813701</v>
      </c>
      <c r="E27" s="288">
        <f t="shared" si="6"/>
        <v>3.0785256997482113</v>
      </c>
      <c r="F27" s="288">
        <f t="shared" si="6"/>
        <v>4.1002186526546396</v>
      </c>
      <c r="G27" s="288">
        <f t="shared" si="6"/>
        <v>4.28826820082626</v>
      </c>
      <c r="H27" s="288">
        <f t="shared" si="6"/>
        <v>4.7123313374724827</v>
      </c>
      <c r="I27" s="288">
        <f t="shared" si="6"/>
        <v>4.6715625919727488</v>
      </c>
      <c r="J27" s="288">
        <f t="shared" si="6"/>
        <v>4.275162644927855</v>
      </c>
      <c r="K27" s="288">
        <f t="shared" si="6"/>
        <v>3.6435976295851775</v>
      </c>
      <c r="L27" s="288">
        <f t="shared" si="6"/>
        <v>2.9681120347864138</v>
      </c>
      <c r="M27" s="288">
        <f t="shared" si="6"/>
        <v>0.66563747198508838</v>
      </c>
      <c r="N27" s="288">
        <f t="shared" si="6"/>
        <v>1.0869250688531631</v>
      </c>
      <c r="O27" s="323">
        <f t="shared" si="7"/>
        <v>2.275121481987525</v>
      </c>
      <c r="P27" s="323">
        <f t="shared" si="7"/>
        <v>2.9202936974132543</v>
      </c>
      <c r="Q27" s="323">
        <f t="shared" si="7"/>
        <v>3.2822458931802934</v>
      </c>
      <c r="R27" s="323">
        <f t="shared" si="7"/>
        <v>2.9499388810199552</v>
      </c>
      <c r="S27" s="323">
        <f t="shared" si="7"/>
        <v>2.9025532204376985</v>
      </c>
      <c r="T27" s="323">
        <f t="shared" ref="T27:U30" si="8">T6/T$12*100</f>
        <v>2.2415270193363463</v>
      </c>
      <c r="U27" s="323">
        <f t="shared" si="8"/>
        <v>2.5668772285005423</v>
      </c>
      <c r="V27" s="323">
        <f t="shared" ref="V27" si="9">V6/V$12*100</f>
        <v>2.0894212611074918</v>
      </c>
    </row>
    <row r="28" spans="1:22">
      <c r="A28" s="319" t="s">
        <v>88</v>
      </c>
      <c r="B28" s="288">
        <f t="shared" si="6"/>
        <v>3.9187030993393739</v>
      </c>
      <c r="C28" s="288">
        <f t="shared" si="6"/>
        <v>3.5286897821417611</v>
      </c>
      <c r="D28" s="288">
        <f t="shared" si="6"/>
        <v>4.3484129282449668</v>
      </c>
      <c r="E28" s="288">
        <f t="shared" si="6"/>
        <v>4.736773227662237</v>
      </c>
      <c r="F28" s="288">
        <f t="shared" si="6"/>
        <v>5.7003731215554723</v>
      </c>
      <c r="G28" s="288">
        <f t="shared" si="6"/>
        <v>5.5650339638488671</v>
      </c>
      <c r="H28" s="288">
        <f t="shared" si="6"/>
        <v>4.841274893812832</v>
      </c>
      <c r="I28" s="288">
        <f t="shared" si="6"/>
        <v>5.1013057155312982</v>
      </c>
      <c r="J28" s="288">
        <f t="shared" si="6"/>
        <v>5.7182347192999448</v>
      </c>
      <c r="K28" s="288">
        <f t="shared" si="6"/>
        <v>6.1147700847648343</v>
      </c>
      <c r="L28" s="288">
        <f t="shared" si="6"/>
        <v>6.781866902734099</v>
      </c>
      <c r="M28" s="288">
        <f t="shared" si="6"/>
        <v>4.9045670249828026</v>
      </c>
      <c r="N28" s="288">
        <f t="shared" si="6"/>
        <v>4.7177036384950108</v>
      </c>
      <c r="O28" s="323">
        <f t="shared" si="7"/>
        <v>4.2418046393766149</v>
      </c>
      <c r="P28" s="323">
        <f t="shared" si="7"/>
        <v>4.1478276168345767</v>
      </c>
      <c r="Q28" s="323">
        <f t="shared" si="7"/>
        <v>4.0868337092315929</v>
      </c>
      <c r="R28" s="323">
        <f t="shared" si="7"/>
        <v>3.8123662011746369</v>
      </c>
      <c r="S28" s="323">
        <f t="shared" si="7"/>
        <v>4.0135675267310589</v>
      </c>
      <c r="T28" s="323">
        <f t="shared" si="8"/>
        <v>4.3712427444523927</v>
      </c>
      <c r="U28" s="323">
        <f t="shared" si="8"/>
        <v>5.8821691157322098</v>
      </c>
      <c r="V28" s="323">
        <f t="shared" ref="V28" si="10">V7/V$12*100</f>
        <v>5.4766903008436421</v>
      </c>
    </row>
    <row r="29" spans="1:22">
      <c r="A29" s="319" t="s">
        <v>89</v>
      </c>
      <c r="B29" s="288">
        <f t="shared" si="6"/>
        <v>11.817795727488086</v>
      </c>
      <c r="C29" s="288">
        <f t="shared" si="6"/>
        <v>12.33270764672154</v>
      </c>
      <c r="D29" s="288">
        <f t="shared" si="6"/>
        <v>12.630346373216828</v>
      </c>
      <c r="E29" s="288">
        <f t="shared" si="6"/>
        <v>14.59527934964116</v>
      </c>
      <c r="F29" s="288">
        <f t="shared" si="6"/>
        <v>13.254052134323761</v>
      </c>
      <c r="G29" s="288">
        <f t="shared" si="6"/>
        <v>13.685532726822608</v>
      </c>
      <c r="H29" s="288">
        <f t="shared" si="6"/>
        <v>13.980072664077744</v>
      </c>
      <c r="I29" s="288">
        <f t="shared" si="6"/>
        <v>15.299795606438193</v>
      </c>
      <c r="J29" s="288">
        <f t="shared" si="6"/>
        <v>16.063009686800303</v>
      </c>
      <c r="K29" s="288">
        <f t="shared" si="6"/>
        <v>16.417373040282047</v>
      </c>
      <c r="L29" s="288">
        <f t="shared" si="6"/>
        <v>15.88601363339717</v>
      </c>
      <c r="M29" s="288">
        <f t="shared" si="6"/>
        <v>16.320005579207308</v>
      </c>
      <c r="N29" s="288">
        <f t="shared" si="6"/>
        <v>16.606810659749303</v>
      </c>
      <c r="O29" s="323">
        <f t="shared" si="7"/>
        <v>20.639704435206717</v>
      </c>
      <c r="P29" s="323">
        <f t="shared" si="7"/>
        <v>20.298993755794779</v>
      </c>
      <c r="Q29" s="323">
        <f t="shared" si="7"/>
        <v>20.857144933610151</v>
      </c>
      <c r="R29" s="323">
        <f t="shared" si="7"/>
        <v>19.597408484690266</v>
      </c>
      <c r="S29" s="323">
        <f t="shared" si="7"/>
        <v>20.792998545142936</v>
      </c>
      <c r="T29" s="323">
        <f t="shared" si="8"/>
        <v>21.291551453303097</v>
      </c>
      <c r="U29" s="323">
        <f t="shared" si="8"/>
        <v>21.911809130364716</v>
      </c>
      <c r="V29" s="323">
        <f t="shared" ref="V29" si="11">V8/V$12*100</f>
        <v>23.275663909557682</v>
      </c>
    </row>
    <row r="30" spans="1:22">
      <c r="A30" s="319" t="s">
        <v>90</v>
      </c>
      <c r="B30" s="288">
        <f t="shared" si="6"/>
        <v>12.285396087702386</v>
      </c>
      <c r="C30" s="288">
        <f t="shared" si="6"/>
        <v>12.849772339994486</v>
      </c>
      <c r="D30" s="288">
        <f t="shared" si="6"/>
        <v>15.948931669667477</v>
      </c>
      <c r="E30" s="288">
        <f t="shared" si="6"/>
        <v>10.258908146759984</v>
      </c>
      <c r="F30" s="288">
        <f t="shared" si="6"/>
        <v>11.020029610105091</v>
      </c>
      <c r="G30" s="288">
        <f t="shared" si="6"/>
        <v>9.8272029780997752</v>
      </c>
      <c r="H30" s="288">
        <f t="shared" si="6"/>
        <v>9.4605703002056174</v>
      </c>
      <c r="I30" s="288">
        <f t="shared" si="6"/>
        <v>7.7334605786294084</v>
      </c>
      <c r="J30" s="288">
        <f t="shared" si="6"/>
        <v>7.1128874646758984</v>
      </c>
      <c r="K30" s="288">
        <f t="shared" si="6"/>
        <v>7.0338309204110718</v>
      </c>
      <c r="L30" s="288">
        <f t="shared" si="6"/>
        <v>5.678381596800012</v>
      </c>
      <c r="M30" s="288">
        <f t="shared" si="6"/>
        <v>4.308542844191126</v>
      </c>
      <c r="N30" s="288">
        <f t="shared" si="6"/>
        <v>4.1718940198222514</v>
      </c>
      <c r="O30" s="323">
        <f t="shared" si="7"/>
        <v>3.0029067141567567</v>
      </c>
      <c r="P30" s="323">
        <f t="shared" si="7"/>
        <v>2.0417096106701211</v>
      </c>
      <c r="Q30" s="535">
        <f t="shared" si="7"/>
        <v>9.9375225599519368</v>
      </c>
      <c r="R30" s="535">
        <f t="shared" si="7"/>
        <v>7.6187939540716885</v>
      </c>
      <c r="S30" s="535">
        <f t="shared" si="7"/>
        <v>9.2395358301815396</v>
      </c>
      <c r="T30" s="535">
        <f t="shared" si="8"/>
        <v>7.3803984747355225</v>
      </c>
      <c r="U30" s="535">
        <f t="shared" si="8"/>
        <v>6.241302758668442</v>
      </c>
      <c r="V30" s="535">
        <f t="shared" ref="V30" si="12">V9/V$12*100</f>
        <v>5.8058035175681564</v>
      </c>
    </row>
    <row r="31" spans="1:22">
      <c r="A31" s="319" t="s">
        <v>91</v>
      </c>
      <c r="B31" s="288">
        <f t="shared" si="6"/>
        <v>3.102246064260465</v>
      </c>
      <c r="C31" s="288">
        <f t="shared" si="6"/>
        <v>3.7631476138555282</v>
      </c>
      <c r="D31" s="288">
        <f t="shared" si="6"/>
        <v>4.5622049028618914</v>
      </c>
      <c r="E31" s="288">
        <f t="shared" si="6"/>
        <v>3.4970397784675948</v>
      </c>
      <c r="F31" s="288">
        <f t="shared" si="6"/>
        <v>2.0620635504741038</v>
      </c>
      <c r="G31" s="288">
        <f t="shared" si="6"/>
        <v>2.6579282723466231</v>
      </c>
      <c r="H31" s="288">
        <f t="shared" si="6"/>
        <v>4.5627255395358031</v>
      </c>
      <c r="I31" s="288">
        <f t="shared" si="6"/>
        <v>6.3667926929156531</v>
      </c>
      <c r="J31" s="288">
        <f t="shared" si="6"/>
        <v>5.666763505324659</v>
      </c>
      <c r="K31" s="288">
        <f t="shared" si="6"/>
        <v>4.1879528917560576</v>
      </c>
      <c r="L31" s="288">
        <f t="shared" si="6"/>
        <v>3.2614149207862155</v>
      </c>
      <c r="M31" s="288">
        <f t="shared" si="6"/>
        <v>4.6318832677670807</v>
      </c>
      <c r="N31" s="288">
        <f t="shared" si="6"/>
        <v>5.1569620627591037</v>
      </c>
      <c r="O31" s="323">
        <f t="shared" si="7"/>
        <v>6.2286475553750282</v>
      </c>
      <c r="P31" s="323">
        <f t="shared" si="7"/>
        <v>6.9297467556858061</v>
      </c>
      <c r="Q31" s="536"/>
      <c r="R31" s="536"/>
      <c r="S31" s="536"/>
      <c r="T31" s="536"/>
      <c r="U31" s="536"/>
      <c r="V31" s="536"/>
    </row>
    <row r="32" spans="1:22">
      <c r="A32" s="319" t="s">
        <v>92</v>
      </c>
      <c r="B32" s="288">
        <f t="shared" si="6"/>
        <v>26.326164035304444</v>
      </c>
      <c r="C32" s="288">
        <f t="shared" si="6"/>
        <v>25.665797368891962</v>
      </c>
      <c r="D32" s="288">
        <f t="shared" si="6"/>
        <v>24.545736121778326</v>
      </c>
      <c r="E32" s="288">
        <f t="shared" si="6"/>
        <v>26.512435024315174</v>
      </c>
      <c r="F32" s="288">
        <f t="shared" si="6"/>
        <v>27.143630404272074</v>
      </c>
      <c r="G32" s="288">
        <f t="shared" si="6"/>
        <v>28.23727919739094</v>
      </c>
      <c r="H32" s="288">
        <f t="shared" si="6"/>
        <v>26.979973261942497</v>
      </c>
      <c r="I32" s="288">
        <f t="shared" si="6"/>
        <v>25.239673365040165</v>
      </c>
      <c r="J32" s="288">
        <f t="shared" si="6"/>
        <v>24.864117755808117</v>
      </c>
      <c r="K32" s="288">
        <f t="shared" si="6"/>
        <v>24.881494261495764</v>
      </c>
      <c r="L32" s="288">
        <f t="shared" si="6"/>
        <v>24.391734454318311</v>
      </c>
      <c r="M32" s="288">
        <f t="shared" si="6"/>
        <v>26.153358460899582</v>
      </c>
      <c r="N32" s="288">
        <f t="shared" si="6"/>
        <v>25.125633310848482</v>
      </c>
      <c r="O32" s="323">
        <f t="shared" si="7"/>
        <v>26.306510884175903</v>
      </c>
      <c r="P32" s="323">
        <f t="shared" si="7"/>
        <v>25.551017476104061</v>
      </c>
      <c r="Q32" s="323">
        <f t="shared" si="7"/>
        <v>23.313787431351127</v>
      </c>
      <c r="R32" s="323">
        <f t="shared" si="7"/>
        <v>29.155723164828395</v>
      </c>
      <c r="S32" s="323">
        <f t="shared" si="7"/>
        <v>24.748264375813807</v>
      </c>
      <c r="T32" s="323">
        <f>T11/T$12*100</f>
        <v>24.545107783650323</v>
      </c>
      <c r="U32" s="323">
        <f>U11/U$12*100</f>
        <v>22.950851816471125</v>
      </c>
      <c r="V32" s="323">
        <f>V11/V$12*100</f>
        <v>21.476812218145614</v>
      </c>
    </row>
    <row r="33" spans="1:22">
      <c r="A33" s="319" t="s">
        <v>93</v>
      </c>
      <c r="B33" s="181">
        <f>SUM(B26:B32)</f>
        <v>100</v>
      </c>
      <c r="C33" s="181">
        <f t="shared" ref="C33:O33" si="13">SUM(C26:C32)</f>
        <v>99.999999999999986</v>
      </c>
      <c r="D33" s="181">
        <f t="shared" si="13"/>
        <v>100</v>
      </c>
      <c r="E33" s="181">
        <f t="shared" si="13"/>
        <v>100</v>
      </c>
      <c r="F33" s="181">
        <f t="shared" si="13"/>
        <v>100</v>
      </c>
      <c r="G33" s="181">
        <f t="shared" si="13"/>
        <v>100</v>
      </c>
      <c r="H33" s="181">
        <f t="shared" si="13"/>
        <v>100</v>
      </c>
      <c r="I33" s="181">
        <f t="shared" si="13"/>
        <v>100</v>
      </c>
      <c r="J33" s="181">
        <f t="shared" si="13"/>
        <v>99.999999999999972</v>
      </c>
      <c r="K33" s="181">
        <f t="shared" si="13"/>
        <v>100</v>
      </c>
      <c r="L33" s="181">
        <f t="shared" si="13"/>
        <v>100</v>
      </c>
      <c r="M33" s="181">
        <f t="shared" si="13"/>
        <v>99.999999999999986</v>
      </c>
      <c r="N33" s="181">
        <f t="shared" si="13"/>
        <v>100</v>
      </c>
      <c r="O33" s="181">
        <f t="shared" si="13"/>
        <v>100</v>
      </c>
      <c r="P33" s="181">
        <f t="shared" ref="P33:U33" si="14">SUM(P26:P32)</f>
        <v>100.00000000000001</v>
      </c>
      <c r="Q33" s="181">
        <f t="shared" si="14"/>
        <v>100</v>
      </c>
      <c r="R33" s="181">
        <f t="shared" si="14"/>
        <v>100</v>
      </c>
      <c r="S33" s="181">
        <f t="shared" si="14"/>
        <v>100</v>
      </c>
      <c r="T33" s="181">
        <f t="shared" si="14"/>
        <v>100.00000000000001</v>
      </c>
      <c r="U33" s="181">
        <f t="shared" si="14"/>
        <v>100</v>
      </c>
      <c r="V33" s="181">
        <f t="shared" ref="V33" si="15">SUM(V26:V32)</f>
        <v>99.999999999999986</v>
      </c>
    </row>
    <row r="34" spans="1:22">
      <c r="A34" s="292"/>
      <c r="B34" s="292"/>
      <c r="C34" s="292"/>
      <c r="D34" s="292"/>
      <c r="E34" s="292"/>
      <c r="F34" s="292"/>
      <c r="G34" s="292"/>
      <c r="H34" s="292"/>
      <c r="I34" s="292"/>
      <c r="J34" s="292"/>
      <c r="K34" s="292"/>
      <c r="L34" s="292"/>
      <c r="M34" s="292"/>
      <c r="N34" s="292"/>
      <c r="O34" s="292"/>
      <c r="P34" s="292"/>
      <c r="Q34" s="292"/>
      <c r="R34" s="292"/>
      <c r="S34" s="292"/>
      <c r="T34" s="292"/>
      <c r="U34" s="292"/>
      <c r="V34" s="292"/>
    </row>
    <row r="35" spans="1:22">
      <c r="A35" s="529" t="s">
        <v>98</v>
      </c>
      <c r="B35" s="529"/>
      <c r="C35" s="529"/>
      <c r="D35" s="529"/>
      <c r="E35" s="324" t="s">
        <v>99</v>
      </c>
      <c r="F35" s="292"/>
      <c r="G35" s="292"/>
      <c r="H35" s="292"/>
      <c r="I35" s="292"/>
      <c r="J35" s="292"/>
      <c r="K35" s="292"/>
      <c r="L35" s="292"/>
      <c r="M35" s="292"/>
      <c r="N35" s="292"/>
      <c r="O35" s="292"/>
      <c r="P35" s="292"/>
      <c r="Q35" s="292"/>
      <c r="R35" s="292"/>
      <c r="S35" s="292"/>
      <c r="T35" s="292"/>
      <c r="U35" s="292"/>
      <c r="V35" s="292"/>
    </row>
    <row r="36" spans="1:22">
      <c r="A36" s="314"/>
      <c r="B36" s="315" t="s">
        <v>69</v>
      </c>
      <c r="C36" s="315" t="s">
        <v>83</v>
      </c>
      <c r="D36" s="315" t="s">
        <v>70</v>
      </c>
      <c r="E36" s="315" t="s">
        <v>84</v>
      </c>
      <c r="F36" s="315" t="s">
        <v>71</v>
      </c>
      <c r="G36" s="315" t="s">
        <v>85</v>
      </c>
      <c r="H36" s="315" t="s">
        <v>72</v>
      </c>
      <c r="I36" s="315" t="s">
        <v>86</v>
      </c>
      <c r="J36" s="315" t="s">
        <v>73</v>
      </c>
      <c r="K36" s="315" t="s">
        <v>74</v>
      </c>
      <c r="L36" s="315" t="s">
        <v>211</v>
      </c>
      <c r="M36" s="321" t="s">
        <v>212</v>
      </c>
      <c r="N36" s="321" t="s">
        <v>129</v>
      </c>
      <c r="O36" s="321" t="s">
        <v>215</v>
      </c>
      <c r="P36" s="321" t="s">
        <v>140</v>
      </c>
      <c r="Q36" s="321" t="s">
        <v>173</v>
      </c>
      <c r="R36" s="316" t="s">
        <v>184</v>
      </c>
      <c r="S36" s="316" t="s">
        <v>214</v>
      </c>
      <c r="T36" s="322" t="s">
        <v>225</v>
      </c>
      <c r="U36" s="318" t="s">
        <v>239</v>
      </c>
      <c r="V36" s="293" t="s">
        <v>297</v>
      </c>
    </row>
    <row r="37" spans="1:22">
      <c r="A37" s="319" t="s">
        <v>216</v>
      </c>
      <c r="B37" s="181">
        <f>ROUND(B26,1)</f>
        <v>41.9</v>
      </c>
      <c r="C37" s="181">
        <f t="shared" ref="C37:S40" si="16">ROUND(C26,1)</f>
        <v>41.7</v>
      </c>
      <c r="D37" s="181">
        <f t="shared" si="16"/>
        <v>37.200000000000003</v>
      </c>
      <c r="E37" s="181">
        <f t="shared" si="16"/>
        <v>37.299999999999997</v>
      </c>
      <c r="F37" s="181">
        <f t="shared" si="16"/>
        <v>36.700000000000003</v>
      </c>
      <c r="G37" s="181">
        <f t="shared" si="16"/>
        <v>35.700000000000003</v>
      </c>
      <c r="H37" s="181">
        <f t="shared" si="16"/>
        <v>35.5</v>
      </c>
      <c r="I37" s="181">
        <f t="shared" si="16"/>
        <v>35.6</v>
      </c>
      <c r="J37" s="181">
        <f t="shared" si="16"/>
        <v>36.299999999999997</v>
      </c>
      <c r="K37" s="181">
        <f t="shared" si="16"/>
        <v>37.700000000000003</v>
      </c>
      <c r="L37" s="181">
        <f t="shared" si="16"/>
        <v>41</v>
      </c>
      <c r="M37" s="181">
        <f t="shared" si="16"/>
        <v>43</v>
      </c>
      <c r="N37" s="181">
        <f t="shared" si="16"/>
        <v>43.1</v>
      </c>
      <c r="O37" s="181">
        <f t="shared" si="16"/>
        <v>37.299999999999997</v>
      </c>
      <c r="P37" s="181">
        <f t="shared" si="16"/>
        <v>38.1</v>
      </c>
      <c r="Q37" s="181">
        <f t="shared" si="16"/>
        <v>38.5</v>
      </c>
      <c r="R37" s="181">
        <f t="shared" si="16"/>
        <v>36.9</v>
      </c>
      <c r="S37" s="181">
        <f t="shared" si="16"/>
        <v>38.299999999999997</v>
      </c>
      <c r="T37" s="181">
        <f t="shared" ref="T37:U37" si="17">ROUND(T26,1)</f>
        <v>40.200000000000003</v>
      </c>
      <c r="U37" s="181">
        <f t="shared" si="17"/>
        <v>40.4</v>
      </c>
      <c r="V37" s="181">
        <f t="shared" ref="V37" si="18">ROUND(V26,1)</f>
        <v>41.9</v>
      </c>
    </row>
    <row r="38" spans="1:22">
      <c r="A38" s="319" t="s">
        <v>87</v>
      </c>
      <c r="B38" s="181">
        <f>ROUND(B27,1)</f>
        <v>0.7</v>
      </c>
      <c r="C38" s="181">
        <f t="shared" si="16"/>
        <v>0.2</v>
      </c>
      <c r="D38" s="181">
        <f t="shared" si="16"/>
        <v>0.8</v>
      </c>
      <c r="E38" s="181">
        <f t="shared" si="16"/>
        <v>3.1</v>
      </c>
      <c r="F38" s="181">
        <f t="shared" si="16"/>
        <v>4.0999999999999996</v>
      </c>
      <c r="G38" s="181">
        <f t="shared" si="16"/>
        <v>4.3</v>
      </c>
      <c r="H38" s="181">
        <f t="shared" si="16"/>
        <v>4.7</v>
      </c>
      <c r="I38" s="181">
        <f t="shared" si="16"/>
        <v>4.7</v>
      </c>
      <c r="J38" s="181">
        <f t="shared" si="16"/>
        <v>4.3</v>
      </c>
      <c r="K38" s="181">
        <f>ROUND(K27,1)+0.1</f>
        <v>3.7</v>
      </c>
      <c r="L38" s="181">
        <f>ROUND(L27,1)</f>
        <v>3</v>
      </c>
      <c r="M38" s="181">
        <f t="shared" si="16"/>
        <v>0.7</v>
      </c>
      <c r="N38" s="181">
        <f t="shared" si="16"/>
        <v>1.1000000000000001</v>
      </c>
      <c r="O38" s="181">
        <f t="shared" ref="O38:T38" si="19">ROUND(O27,1)</f>
        <v>2.2999999999999998</v>
      </c>
      <c r="P38" s="181">
        <f t="shared" si="19"/>
        <v>2.9</v>
      </c>
      <c r="Q38" s="181">
        <f t="shared" si="19"/>
        <v>3.3</v>
      </c>
      <c r="R38" s="181">
        <f t="shared" si="19"/>
        <v>2.9</v>
      </c>
      <c r="S38" s="181">
        <f t="shared" si="19"/>
        <v>2.9</v>
      </c>
      <c r="T38" s="181">
        <f t="shared" si="19"/>
        <v>2.2000000000000002</v>
      </c>
      <c r="U38" s="181">
        <f t="shared" ref="U38:V38" si="20">ROUND(U27,1)</f>
        <v>2.6</v>
      </c>
      <c r="V38" s="181">
        <f t="shared" si="20"/>
        <v>2.1</v>
      </c>
    </row>
    <row r="39" spans="1:22">
      <c r="A39" s="319" t="s">
        <v>88</v>
      </c>
      <c r="B39" s="181">
        <f>ROUND(B28,1)</f>
        <v>3.9</v>
      </c>
      <c r="C39" s="181">
        <f>ROUND(C28,1)</f>
        <v>3.5</v>
      </c>
      <c r="D39" s="181">
        <f>ROUND(D28,1)+0.1</f>
        <v>4.3999999999999995</v>
      </c>
      <c r="E39" s="181">
        <f t="shared" si="16"/>
        <v>4.7</v>
      </c>
      <c r="F39" s="181">
        <f t="shared" si="16"/>
        <v>5.7</v>
      </c>
      <c r="G39" s="181">
        <f t="shared" si="16"/>
        <v>5.6</v>
      </c>
      <c r="H39" s="181">
        <f t="shared" si="16"/>
        <v>4.8</v>
      </c>
      <c r="I39" s="181">
        <f t="shared" si="16"/>
        <v>5.0999999999999996</v>
      </c>
      <c r="J39" s="181">
        <f t="shared" si="16"/>
        <v>5.7</v>
      </c>
      <c r="K39" s="181">
        <f>ROUND(K28,1)</f>
        <v>6.1</v>
      </c>
      <c r="L39" s="181">
        <f>ROUND(L28,1)</f>
        <v>6.8</v>
      </c>
      <c r="M39" s="181">
        <f t="shared" si="16"/>
        <v>4.9000000000000004</v>
      </c>
      <c r="N39" s="181">
        <f t="shared" si="16"/>
        <v>4.7</v>
      </c>
      <c r="O39" s="181">
        <f>ROUND(O28,1)+0.1</f>
        <v>4.3</v>
      </c>
      <c r="P39" s="181">
        <f t="shared" ref="P39:S40" si="21">ROUND(P28,1)</f>
        <v>4.0999999999999996</v>
      </c>
      <c r="Q39" s="181">
        <f t="shared" si="21"/>
        <v>4.0999999999999996</v>
      </c>
      <c r="R39" s="181">
        <f t="shared" si="21"/>
        <v>3.8</v>
      </c>
      <c r="S39" s="181">
        <f t="shared" si="21"/>
        <v>4</v>
      </c>
      <c r="T39" s="181">
        <f t="shared" ref="T39:U39" si="22">ROUND(T28,1)</f>
        <v>4.4000000000000004</v>
      </c>
      <c r="U39" s="181">
        <f t="shared" si="22"/>
        <v>5.9</v>
      </c>
      <c r="V39" s="181">
        <f t="shared" ref="V39" si="23">ROUND(V28,1)</f>
        <v>5.5</v>
      </c>
    </row>
    <row r="40" spans="1:22">
      <c r="A40" s="319" t="s">
        <v>89</v>
      </c>
      <c r="B40" s="181">
        <f>ROUND(B29,1)</f>
        <v>11.8</v>
      </c>
      <c r="C40" s="181">
        <f>ROUND(C29,1)</f>
        <v>12.3</v>
      </c>
      <c r="D40" s="181">
        <f>ROUND(D29,1)</f>
        <v>12.6</v>
      </c>
      <c r="E40" s="181">
        <f t="shared" si="16"/>
        <v>14.6</v>
      </c>
      <c r="F40" s="181">
        <f t="shared" si="16"/>
        <v>13.3</v>
      </c>
      <c r="G40" s="181">
        <f t="shared" si="16"/>
        <v>13.7</v>
      </c>
      <c r="H40" s="181">
        <f t="shared" si="16"/>
        <v>14</v>
      </c>
      <c r="I40" s="181">
        <f t="shared" si="16"/>
        <v>15.3</v>
      </c>
      <c r="J40" s="181">
        <f t="shared" si="16"/>
        <v>16.100000000000001</v>
      </c>
      <c r="K40" s="181">
        <f>ROUND(K29,1)</f>
        <v>16.399999999999999</v>
      </c>
      <c r="L40" s="181">
        <f>ROUND(L29,1)</f>
        <v>15.9</v>
      </c>
      <c r="M40" s="181">
        <f t="shared" si="16"/>
        <v>16.3</v>
      </c>
      <c r="N40" s="181">
        <f t="shared" si="16"/>
        <v>16.600000000000001</v>
      </c>
      <c r="O40" s="181">
        <f>ROUND(O29,1)</f>
        <v>20.6</v>
      </c>
      <c r="P40" s="181">
        <f t="shared" si="21"/>
        <v>20.3</v>
      </c>
      <c r="Q40" s="181">
        <f t="shared" si="21"/>
        <v>20.9</v>
      </c>
      <c r="R40" s="181">
        <f t="shared" si="21"/>
        <v>19.600000000000001</v>
      </c>
      <c r="S40" s="181">
        <f>ROUND(S29,1)</f>
        <v>20.8</v>
      </c>
      <c r="T40" s="181">
        <f>ROUND(T29,1)</f>
        <v>21.3</v>
      </c>
      <c r="U40" s="181">
        <f>ROUND(U29,1)</f>
        <v>21.9</v>
      </c>
      <c r="V40" s="181">
        <f>ROUND(V29,1)</f>
        <v>23.3</v>
      </c>
    </row>
    <row r="41" spans="1:22">
      <c r="A41" s="319" t="s">
        <v>144</v>
      </c>
      <c r="B41" s="181">
        <f>SUM(B42:B43)</f>
        <v>15.4</v>
      </c>
      <c r="C41" s="181">
        <f t="shared" ref="C41:S41" si="24">SUM(C42:C43)</f>
        <v>16.600000000000001</v>
      </c>
      <c r="D41" s="181">
        <f t="shared" si="24"/>
        <v>20.5</v>
      </c>
      <c r="E41" s="181">
        <f t="shared" si="24"/>
        <v>13.8</v>
      </c>
      <c r="F41" s="181">
        <f t="shared" si="24"/>
        <v>13.1</v>
      </c>
      <c r="G41" s="181">
        <f t="shared" si="24"/>
        <v>12.5</v>
      </c>
      <c r="H41" s="181">
        <f t="shared" si="24"/>
        <v>14</v>
      </c>
      <c r="I41" s="181">
        <f t="shared" si="24"/>
        <v>14.100000000000001</v>
      </c>
      <c r="J41" s="181">
        <f t="shared" si="24"/>
        <v>12.8</v>
      </c>
      <c r="K41" s="181">
        <f t="shared" si="24"/>
        <v>11.2</v>
      </c>
      <c r="L41" s="181">
        <f t="shared" si="24"/>
        <v>8.9</v>
      </c>
      <c r="M41" s="181">
        <f t="shared" si="24"/>
        <v>8.8999999999999986</v>
      </c>
      <c r="N41" s="181">
        <f t="shared" si="24"/>
        <v>9.3000000000000007</v>
      </c>
      <c r="O41" s="181">
        <f t="shared" si="24"/>
        <v>9.1999999999999993</v>
      </c>
      <c r="P41" s="181">
        <f t="shared" si="24"/>
        <v>9</v>
      </c>
      <c r="Q41" s="181">
        <f t="shared" si="24"/>
        <v>9.9</v>
      </c>
      <c r="R41" s="181">
        <f t="shared" si="24"/>
        <v>7.6</v>
      </c>
      <c r="S41" s="181">
        <f t="shared" si="24"/>
        <v>9.1999999999999993</v>
      </c>
      <c r="T41" s="181">
        <f t="shared" ref="T41:U41" si="25">SUM(T42:T43)</f>
        <v>7.4</v>
      </c>
      <c r="U41" s="181">
        <f t="shared" si="25"/>
        <v>6.2</v>
      </c>
      <c r="V41" s="181">
        <f t="shared" ref="V41" si="26">SUM(V42:V43)</f>
        <v>5.8</v>
      </c>
    </row>
    <row r="42" spans="1:22">
      <c r="A42" s="319" t="s">
        <v>145</v>
      </c>
      <c r="B42" s="181">
        <f t="shared" ref="B42:M44" si="27">ROUND(B30,1)</f>
        <v>12.3</v>
      </c>
      <c r="C42" s="181">
        <f t="shared" si="27"/>
        <v>12.8</v>
      </c>
      <c r="D42" s="181">
        <f t="shared" si="27"/>
        <v>15.9</v>
      </c>
      <c r="E42" s="181">
        <f t="shared" si="27"/>
        <v>10.3</v>
      </c>
      <c r="F42" s="181">
        <f t="shared" si="27"/>
        <v>11</v>
      </c>
      <c r="G42" s="181">
        <f t="shared" si="27"/>
        <v>9.8000000000000007</v>
      </c>
      <c r="H42" s="181">
        <f>ROUND(H30,1)-0.1</f>
        <v>9.4</v>
      </c>
      <c r="I42" s="181">
        <f>ROUND(I30,1)</f>
        <v>7.7</v>
      </c>
      <c r="J42" s="181">
        <f>ROUND(J30,1)</f>
        <v>7.1</v>
      </c>
      <c r="K42" s="181">
        <f>ROUND(K30,1)</f>
        <v>7</v>
      </c>
      <c r="L42" s="181">
        <f>ROUND(L30,1)-0.1</f>
        <v>5.6000000000000005</v>
      </c>
      <c r="M42" s="181">
        <f>ROUND(M30,1)</f>
        <v>4.3</v>
      </c>
      <c r="N42" s="181">
        <f>ROUND(N30,1)</f>
        <v>4.2</v>
      </c>
      <c r="O42" s="181">
        <f>ROUND(O30,1)</f>
        <v>3</v>
      </c>
      <c r="P42" s="181">
        <f>ROUND(P30,1)+0.1</f>
        <v>2.1</v>
      </c>
      <c r="Q42" s="325">
        <f t="shared" ref="Q42:V42" si="28">ROUND(Q30,1)</f>
        <v>9.9</v>
      </c>
      <c r="R42" s="325">
        <f t="shared" si="28"/>
        <v>7.6</v>
      </c>
      <c r="S42" s="325">
        <f t="shared" si="28"/>
        <v>9.1999999999999993</v>
      </c>
      <c r="T42" s="325">
        <f t="shared" si="28"/>
        <v>7.4</v>
      </c>
      <c r="U42" s="325">
        <f t="shared" si="28"/>
        <v>6.2</v>
      </c>
      <c r="V42" s="325">
        <f t="shared" si="28"/>
        <v>5.8</v>
      </c>
    </row>
    <row r="43" spans="1:22">
      <c r="A43" s="319" t="s">
        <v>146</v>
      </c>
      <c r="B43" s="181">
        <f>ROUND(B31,1)</f>
        <v>3.1</v>
      </c>
      <c r="C43" s="181">
        <f t="shared" si="27"/>
        <v>3.8</v>
      </c>
      <c r="D43" s="181">
        <f t="shared" si="27"/>
        <v>4.5999999999999996</v>
      </c>
      <c r="E43" s="181">
        <f t="shared" si="27"/>
        <v>3.5</v>
      </c>
      <c r="F43" s="181">
        <f t="shared" si="27"/>
        <v>2.1</v>
      </c>
      <c r="G43" s="181">
        <f t="shared" si="27"/>
        <v>2.7</v>
      </c>
      <c r="H43" s="181">
        <f t="shared" si="27"/>
        <v>4.5999999999999996</v>
      </c>
      <c r="I43" s="181">
        <f t="shared" si="27"/>
        <v>6.4</v>
      </c>
      <c r="J43" s="181">
        <f t="shared" si="27"/>
        <v>5.7</v>
      </c>
      <c r="K43" s="181">
        <f t="shared" si="27"/>
        <v>4.2</v>
      </c>
      <c r="L43" s="181">
        <f t="shared" si="27"/>
        <v>3.3</v>
      </c>
      <c r="M43" s="181">
        <f t="shared" si="27"/>
        <v>4.5999999999999996</v>
      </c>
      <c r="N43" s="181">
        <f>ROUND(N31,1)-0.1</f>
        <v>5.1000000000000005</v>
      </c>
      <c r="O43" s="181">
        <f>ROUND(O31,1)</f>
        <v>6.2</v>
      </c>
      <c r="P43" s="181">
        <f>ROUND(P31,1)</f>
        <v>6.9</v>
      </c>
      <c r="Q43" s="326"/>
      <c r="R43" s="326"/>
      <c r="S43" s="326"/>
      <c r="T43" s="326"/>
      <c r="U43" s="326"/>
      <c r="V43" s="326"/>
    </row>
    <row r="44" spans="1:22">
      <c r="A44" s="319" t="s">
        <v>92</v>
      </c>
      <c r="B44" s="181">
        <f t="shared" ref="B44:I44" si="29">ROUND(B32,1)</f>
        <v>26.3</v>
      </c>
      <c r="C44" s="181">
        <f t="shared" si="29"/>
        <v>25.7</v>
      </c>
      <c r="D44" s="181">
        <f t="shared" si="29"/>
        <v>24.5</v>
      </c>
      <c r="E44" s="181">
        <f t="shared" si="29"/>
        <v>26.5</v>
      </c>
      <c r="F44" s="181">
        <f t="shared" si="29"/>
        <v>27.1</v>
      </c>
      <c r="G44" s="181">
        <f t="shared" si="29"/>
        <v>28.2</v>
      </c>
      <c r="H44" s="181">
        <f t="shared" si="29"/>
        <v>27</v>
      </c>
      <c r="I44" s="181">
        <f t="shared" si="29"/>
        <v>25.2</v>
      </c>
      <c r="J44" s="181">
        <f>ROUND(J32,1)-0.1</f>
        <v>24.799999999999997</v>
      </c>
      <c r="K44" s="181">
        <f t="shared" si="27"/>
        <v>24.9</v>
      </c>
      <c r="L44" s="181">
        <f t="shared" si="27"/>
        <v>24.4</v>
      </c>
      <c r="M44" s="181">
        <f t="shared" si="27"/>
        <v>26.2</v>
      </c>
      <c r="N44" s="181">
        <f>ROUND(N32,1)+0.1</f>
        <v>25.200000000000003</v>
      </c>
      <c r="O44" s="181">
        <f>ROUND(O32,1)</f>
        <v>26.3</v>
      </c>
      <c r="P44" s="181">
        <f>ROUND(P32,1)</f>
        <v>25.6</v>
      </c>
      <c r="Q44" s="181">
        <f>ROUND(Q32,1)</f>
        <v>23.3</v>
      </c>
      <c r="R44" s="181">
        <f>ROUND(R32,1)</f>
        <v>29.2</v>
      </c>
      <c r="S44" s="327">
        <f>ROUND(S32,1)+0.1</f>
        <v>24.8</v>
      </c>
      <c r="T44" s="290">
        <f>ROUND(T32,1)</f>
        <v>24.5</v>
      </c>
      <c r="U44" s="290">
        <f>ROUND(U32,1)</f>
        <v>23</v>
      </c>
      <c r="V44" s="290">
        <f>ROUND(V32,1)</f>
        <v>21.5</v>
      </c>
    </row>
    <row r="45" spans="1:22">
      <c r="A45" s="319" t="s">
        <v>93</v>
      </c>
      <c r="B45" s="181">
        <f t="shared" ref="B45:Q45" si="30">SUM(B37:B44)-B41</f>
        <v>99.999999999999986</v>
      </c>
      <c r="C45" s="181">
        <f t="shared" si="30"/>
        <v>100</v>
      </c>
      <c r="D45" s="181">
        <f t="shared" si="30"/>
        <v>100</v>
      </c>
      <c r="E45" s="181">
        <f t="shared" si="30"/>
        <v>100</v>
      </c>
      <c r="F45" s="181">
        <f t="shared" si="30"/>
        <v>100</v>
      </c>
      <c r="G45" s="181">
        <f t="shared" si="30"/>
        <v>100</v>
      </c>
      <c r="H45" s="181">
        <f t="shared" si="30"/>
        <v>100</v>
      </c>
      <c r="I45" s="181">
        <f t="shared" si="30"/>
        <v>100.00000000000003</v>
      </c>
      <c r="J45" s="181">
        <f t="shared" si="30"/>
        <v>100</v>
      </c>
      <c r="K45" s="181">
        <f t="shared" si="30"/>
        <v>100.00000000000001</v>
      </c>
      <c r="L45" s="181">
        <f t="shared" si="30"/>
        <v>100</v>
      </c>
      <c r="M45" s="181">
        <f t="shared" si="30"/>
        <v>100</v>
      </c>
      <c r="N45" s="181">
        <f t="shared" si="30"/>
        <v>100</v>
      </c>
      <c r="O45" s="181">
        <f t="shared" si="30"/>
        <v>100</v>
      </c>
      <c r="P45" s="181">
        <f t="shared" si="30"/>
        <v>100</v>
      </c>
      <c r="Q45" s="181">
        <f t="shared" si="30"/>
        <v>100</v>
      </c>
      <c r="R45" s="181">
        <f>SUM(R37:R44)-R41</f>
        <v>100</v>
      </c>
      <c r="S45" s="181">
        <f>SUM(S37:S44)-S41</f>
        <v>100</v>
      </c>
      <c r="T45" s="181">
        <f>SUM(T37:T44)-T41</f>
        <v>100.00000000000001</v>
      </c>
      <c r="U45" s="181">
        <f>SUM(U37:U44)-U41</f>
        <v>100</v>
      </c>
      <c r="V45" s="181">
        <f>SUM(V37:V44)-V41</f>
        <v>100.1</v>
      </c>
    </row>
    <row r="46" spans="1:22">
      <c r="A46" s="292"/>
      <c r="B46" s="292"/>
      <c r="C46" s="292"/>
      <c r="D46" s="292"/>
      <c r="E46" s="292"/>
      <c r="F46" s="292"/>
      <c r="G46" s="292"/>
      <c r="H46" s="292"/>
      <c r="I46" s="292"/>
      <c r="J46" s="292"/>
      <c r="K46" s="292"/>
      <c r="L46" s="292"/>
      <c r="M46" s="292"/>
      <c r="N46" s="292"/>
      <c r="O46" s="292"/>
      <c r="P46" s="292"/>
      <c r="Q46" s="292"/>
      <c r="R46" s="292"/>
      <c r="S46" s="292"/>
      <c r="T46" s="292"/>
      <c r="U46" s="292"/>
      <c r="V46" s="292"/>
    </row>
    <row r="47" spans="1:22">
      <c r="A47" s="292" t="s">
        <v>82</v>
      </c>
      <c r="B47" s="292"/>
      <c r="C47" s="292"/>
      <c r="D47" s="292"/>
      <c r="E47" s="292"/>
      <c r="F47" s="292"/>
      <c r="G47" s="292"/>
      <c r="H47" s="292"/>
      <c r="I47" s="328"/>
      <c r="J47" s="292"/>
      <c r="K47" s="292"/>
      <c r="L47" s="292"/>
      <c r="M47" s="292"/>
      <c r="N47" s="292"/>
      <c r="O47" s="292"/>
      <c r="P47" s="292"/>
      <c r="Q47" s="292"/>
      <c r="R47" s="292"/>
      <c r="S47" s="292"/>
      <c r="T47" s="292"/>
      <c r="U47" s="292"/>
      <c r="V47" s="292"/>
    </row>
    <row r="48" spans="1:22" s="145" customFormat="1">
      <c r="A48" s="314"/>
      <c r="B48" s="315" t="s">
        <v>69</v>
      </c>
      <c r="C48" s="315" t="s">
        <v>70</v>
      </c>
      <c r="D48" s="315" t="s">
        <v>86</v>
      </c>
      <c r="E48" s="316" t="s">
        <v>128</v>
      </c>
      <c r="F48" s="316" t="s">
        <v>214</v>
      </c>
      <c r="G48" s="322" t="s">
        <v>225</v>
      </c>
      <c r="H48" s="318" t="s">
        <v>240</v>
      </c>
      <c r="I48" s="293" t="s">
        <v>296</v>
      </c>
      <c r="J48" s="329"/>
      <c r="K48" s="329"/>
      <c r="L48" s="329"/>
      <c r="M48" s="329"/>
      <c r="N48" s="329"/>
      <c r="O48" s="329"/>
      <c r="P48" s="329"/>
      <c r="Q48" s="329"/>
      <c r="R48" s="329"/>
      <c r="S48" s="329"/>
      <c r="T48" s="329"/>
      <c r="U48" s="329"/>
      <c r="V48" s="329"/>
    </row>
    <row r="49" spans="1:22" s="145" customFormat="1">
      <c r="A49" s="319" t="s">
        <v>216</v>
      </c>
      <c r="B49" s="287">
        <v>777637</v>
      </c>
      <c r="C49" s="287">
        <v>738656</v>
      </c>
      <c r="D49" s="287">
        <v>613049</v>
      </c>
      <c r="E49" s="149">
        <v>670787</v>
      </c>
      <c r="F49" s="149">
        <f>S5</f>
        <v>641870</v>
      </c>
      <c r="G49" s="149">
        <f>T5</f>
        <v>659256</v>
      </c>
      <c r="H49" s="149">
        <f>U5</f>
        <v>660088</v>
      </c>
      <c r="I49" s="149">
        <f>V5</f>
        <v>659473</v>
      </c>
      <c r="J49" s="329"/>
      <c r="K49" s="329"/>
      <c r="L49" s="329"/>
      <c r="M49" s="329"/>
      <c r="N49" s="329"/>
      <c r="O49" s="329"/>
      <c r="P49" s="329"/>
      <c r="Q49" s="329"/>
      <c r="R49" s="329"/>
      <c r="S49" s="329"/>
      <c r="T49" s="329"/>
      <c r="U49" s="329"/>
      <c r="V49" s="329"/>
    </row>
    <row r="50" spans="1:22" s="145" customFormat="1">
      <c r="A50" s="319" t="s">
        <v>87</v>
      </c>
      <c r="B50" s="287">
        <v>12844</v>
      </c>
      <c r="C50" s="287">
        <v>15155</v>
      </c>
      <c r="D50" s="287">
        <v>80475</v>
      </c>
      <c r="E50" s="149">
        <v>16903</v>
      </c>
      <c r="F50" s="149">
        <f t="shared" ref="F50:I52" si="31">S6</f>
        <v>48640</v>
      </c>
      <c r="G50" s="149">
        <f t="shared" si="31"/>
        <v>36787</v>
      </c>
      <c r="H50" s="149">
        <f t="shared" si="31"/>
        <v>41891</v>
      </c>
      <c r="I50" s="149">
        <f t="shared" si="31"/>
        <v>32905</v>
      </c>
      <c r="J50" s="329"/>
      <c r="K50" s="329"/>
      <c r="L50" s="329"/>
      <c r="M50" s="329"/>
      <c r="N50" s="329"/>
      <c r="O50" s="329"/>
      <c r="P50" s="329"/>
      <c r="Q50" s="329"/>
      <c r="R50" s="329"/>
      <c r="S50" s="329"/>
      <c r="T50" s="329"/>
      <c r="U50" s="329"/>
      <c r="V50" s="329"/>
    </row>
    <row r="51" spans="1:22" s="145" customFormat="1">
      <c r="A51" s="319" t="s">
        <v>88</v>
      </c>
      <c r="B51" s="287">
        <v>72801</v>
      </c>
      <c r="C51" s="287">
        <v>86341</v>
      </c>
      <c r="D51" s="287">
        <v>87878</v>
      </c>
      <c r="E51" s="149">
        <v>73366</v>
      </c>
      <c r="F51" s="149">
        <f t="shared" si="31"/>
        <v>67258</v>
      </c>
      <c r="G51" s="149">
        <f t="shared" si="31"/>
        <v>71739</v>
      </c>
      <c r="H51" s="149">
        <f t="shared" si="31"/>
        <v>95996</v>
      </c>
      <c r="I51" s="149">
        <f t="shared" si="31"/>
        <v>86249</v>
      </c>
      <c r="J51" s="329"/>
      <c r="K51" s="329"/>
      <c r="L51" s="329"/>
      <c r="M51" s="329"/>
      <c r="N51" s="329"/>
      <c r="O51" s="329"/>
      <c r="P51" s="329"/>
      <c r="Q51" s="329"/>
      <c r="R51" s="329"/>
      <c r="S51" s="329"/>
      <c r="T51" s="329"/>
      <c r="U51" s="329"/>
      <c r="V51" s="329"/>
    </row>
    <row r="52" spans="1:22" s="145" customFormat="1">
      <c r="A52" s="319" t="s">
        <v>89</v>
      </c>
      <c r="B52" s="287">
        <v>219549</v>
      </c>
      <c r="C52" s="287">
        <v>250785</v>
      </c>
      <c r="D52" s="287">
        <v>263563</v>
      </c>
      <c r="E52" s="149">
        <v>258256</v>
      </c>
      <c r="F52" s="149">
        <f t="shared" si="31"/>
        <v>348442</v>
      </c>
      <c r="G52" s="149">
        <f t="shared" si="31"/>
        <v>349428</v>
      </c>
      <c r="H52" s="149">
        <f t="shared" si="31"/>
        <v>357597</v>
      </c>
      <c r="I52" s="149">
        <f t="shared" si="31"/>
        <v>366554</v>
      </c>
      <c r="J52" s="329"/>
      <c r="K52" s="329"/>
      <c r="L52" s="329"/>
      <c r="M52" s="329"/>
      <c r="N52" s="329"/>
      <c r="O52" s="329"/>
      <c r="P52" s="329"/>
      <c r="Q52" s="329"/>
      <c r="R52" s="329"/>
      <c r="S52" s="329"/>
      <c r="T52" s="329"/>
      <c r="U52" s="329"/>
      <c r="V52" s="329"/>
    </row>
    <row r="53" spans="1:22" s="145" customFormat="1">
      <c r="A53" s="319" t="s">
        <v>144</v>
      </c>
      <c r="B53" s="287">
        <f>SUM(B54:B55)</f>
        <v>285869</v>
      </c>
      <c r="C53" s="287">
        <f t="shared" ref="C53:E53" si="32">SUM(C54:C55)</f>
        <v>407264</v>
      </c>
      <c r="D53" s="287">
        <f>SUM(D54:D55)</f>
        <v>242899</v>
      </c>
      <c r="E53" s="287">
        <f t="shared" si="32"/>
        <v>145075</v>
      </c>
      <c r="F53" s="149">
        <f>S9</f>
        <v>154833</v>
      </c>
      <c r="G53" s="149">
        <f>T9</f>
        <v>121124</v>
      </c>
      <c r="H53" s="149">
        <f>U9</f>
        <v>101857</v>
      </c>
      <c r="I53" s="149">
        <f>V9</f>
        <v>91432</v>
      </c>
      <c r="J53" s="329"/>
      <c r="K53" s="329"/>
      <c r="L53" s="329"/>
      <c r="M53" s="329"/>
      <c r="N53" s="329"/>
      <c r="O53" s="329"/>
      <c r="P53" s="329"/>
      <c r="Q53" s="329"/>
      <c r="R53" s="329"/>
      <c r="S53" s="329"/>
      <c r="T53" s="329"/>
      <c r="U53" s="329"/>
      <c r="V53" s="329"/>
    </row>
    <row r="54" spans="1:22" s="145" customFormat="1">
      <c r="A54" s="319" t="s">
        <v>145</v>
      </c>
      <c r="B54" s="287">
        <v>228236</v>
      </c>
      <c r="C54" s="287">
        <v>316678</v>
      </c>
      <c r="D54" s="287">
        <v>133221</v>
      </c>
      <c r="E54" s="287">
        <v>64878</v>
      </c>
      <c r="F54" s="312">
        <f>S9</f>
        <v>154833</v>
      </c>
      <c r="G54" s="312">
        <f>T9</f>
        <v>121124</v>
      </c>
      <c r="H54" s="530">
        <f>U9</f>
        <v>101857</v>
      </c>
      <c r="I54" s="530">
        <f>V9</f>
        <v>91432</v>
      </c>
      <c r="J54" s="329"/>
      <c r="K54" s="329"/>
      <c r="L54" s="329"/>
      <c r="M54" s="329"/>
      <c r="N54" s="329"/>
      <c r="O54" s="329"/>
      <c r="P54" s="329"/>
      <c r="Q54" s="329"/>
      <c r="R54" s="329"/>
      <c r="S54" s="329"/>
      <c r="T54" s="329"/>
      <c r="U54" s="329"/>
      <c r="V54" s="329"/>
    </row>
    <row r="55" spans="1:22" s="145" customFormat="1">
      <c r="A55" s="319" t="s">
        <v>146</v>
      </c>
      <c r="B55" s="287">
        <v>57633</v>
      </c>
      <c r="C55" s="287">
        <v>90586</v>
      </c>
      <c r="D55" s="287">
        <v>109678</v>
      </c>
      <c r="E55" s="287">
        <v>80197</v>
      </c>
      <c r="F55" s="313"/>
      <c r="G55" s="313"/>
      <c r="H55" s="531"/>
      <c r="I55" s="531"/>
      <c r="J55" s="329"/>
      <c r="K55" s="329"/>
      <c r="L55" s="329"/>
      <c r="M55" s="329"/>
      <c r="N55" s="329"/>
      <c r="O55" s="329"/>
      <c r="P55" s="329"/>
      <c r="Q55" s="329"/>
      <c r="R55" s="329"/>
      <c r="S55" s="329"/>
      <c r="T55" s="329"/>
      <c r="U55" s="329"/>
      <c r="V55" s="329"/>
    </row>
    <row r="56" spans="1:22" s="145" customFormat="1">
      <c r="A56" s="319" t="s">
        <v>92</v>
      </c>
      <c r="B56" s="287">
        <v>489083</v>
      </c>
      <c r="C56" s="287">
        <v>487374</v>
      </c>
      <c r="D56" s="287">
        <v>434793</v>
      </c>
      <c r="E56" s="287">
        <v>390734</v>
      </c>
      <c r="F56" s="287">
        <f t="shared" ref="F56:I57" si="33">S11</f>
        <v>414723</v>
      </c>
      <c r="G56" s="287">
        <f t="shared" si="33"/>
        <v>402824</v>
      </c>
      <c r="H56" s="287">
        <f t="shared" si="33"/>
        <v>374554</v>
      </c>
      <c r="I56" s="287">
        <f t="shared" si="33"/>
        <v>338225</v>
      </c>
      <c r="J56" s="329"/>
      <c r="K56" s="329"/>
      <c r="L56" s="329"/>
      <c r="M56" s="329"/>
      <c r="N56" s="329"/>
      <c r="O56" s="329"/>
      <c r="P56" s="329"/>
      <c r="Q56" s="329"/>
      <c r="R56" s="329"/>
      <c r="S56" s="329"/>
      <c r="T56" s="329"/>
      <c r="U56" s="329"/>
      <c r="V56" s="329"/>
    </row>
    <row r="57" spans="1:22" s="145" customFormat="1">
      <c r="A57" s="319" t="s">
        <v>93</v>
      </c>
      <c r="B57" s="287">
        <v>1857783</v>
      </c>
      <c r="C57" s="287">
        <v>1985575</v>
      </c>
      <c r="D57" s="287">
        <v>1722657</v>
      </c>
      <c r="E57" s="287">
        <v>1555121</v>
      </c>
      <c r="F57" s="287">
        <f t="shared" si="33"/>
        <v>1675766</v>
      </c>
      <c r="G57" s="287">
        <f t="shared" si="33"/>
        <v>1641158</v>
      </c>
      <c r="H57" s="287">
        <f t="shared" si="33"/>
        <v>1631983</v>
      </c>
      <c r="I57" s="287">
        <f t="shared" si="33"/>
        <v>1574838</v>
      </c>
      <c r="J57" s="329"/>
      <c r="K57" s="329"/>
      <c r="L57" s="329"/>
      <c r="M57" s="329"/>
      <c r="N57" s="329"/>
      <c r="O57" s="329"/>
      <c r="P57" s="329"/>
      <c r="Q57" s="329"/>
      <c r="R57" s="329"/>
      <c r="S57" s="329"/>
      <c r="T57" s="329"/>
      <c r="U57" s="329"/>
      <c r="V57" s="329"/>
    </row>
    <row r="58" spans="1:22">
      <c r="A58" s="292"/>
      <c r="B58" s="320">
        <f>SUM(B49:B56)-B53-B57</f>
        <v>0</v>
      </c>
      <c r="C58" s="320">
        <f t="shared" ref="C58:I58" si="34">SUM(C49:C56)-C53-C57</f>
        <v>0</v>
      </c>
      <c r="D58" s="320">
        <f t="shared" si="34"/>
        <v>0</v>
      </c>
      <c r="E58" s="320">
        <f t="shared" si="34"/>
        <v>0</v>
      </c>
      <c r="F58" s="320">
        <f t="shared" si="34"/>
        <v>0</v>
      </c>
      <c r="G58" s="320">
        <f t="shared" si="34"/>
        <v>0</v>
      </c>
      <c r="H58" s="320">
        <f t="shared" si="34"/>
        <v>0</v>
      </c>
      <c r="I58" s="320">
        <f t="shared" si="34"/>
        <v>0</v>
      </c>
      <c r="J58" s="320"/>
      <c r="K58" s="292"/>
      <c r="L58" s="292"/>
      <c r="M58" s="292"/>
      <c r="N58" s="292"/>
      <c r="O58" s="292"/>
      <c r="P58" s="292"/>
      <c r="Q58" s="292"/>
      <c r="R58" s="292"/>
      <c r="S58" s="292"/>
      <c r="T58" s="292"/>
      <c r="U58" s="292"/>
      <c r="V58" s="292"/>
    </row>
    <row r="59" spans="1:22">
      <c r="A59" s="292"/>
      <c r="B59" s="320"/>
      <c r="C59" s="320"/>
      <c r="D59" s="320"/>
      <c r="E59" s="320"/>
      <c r="F59" s="320"/>
      <c r="G59" s="320"/>
      <c r="H59" s="320"/>
      <c r="I59" s="320"/>
      <c r="J59" s="320"/>
      <c r="K59" s="292"/>
      <c r="L59" s="292"/>
      <c r="M59" s="292"/>
      <c r="N59" s="292"/>
      <c r="O59" s="292"/>
      <c r="P59" s="292"/>
      <c r="Q59" s="292"/>
      <c r="R59" s="292"/>
      <c r="S59" s="292"/>
      <c r="T59" s="292"/>
      <c r="U59" s="292"/>
      <c r="V59" s="292"/>
    </row>
    <row r="60" spans="1:22">
      <c r="A60" s="292" t="s">
        <v>141</v>
      </c>
      <c r="B60" s="292"/>
      <c r="C60" s="292"/>
      <c r="D60" s="292"/>
      <c r="E60" s="292"/>
      <c r="F60" s="292"/>
      <c r="G60" s="292"/>
      <c r="H60" s="328"/>
      <c r="I60" s="292"/>
      <c r="J60" s="292"/>
      <c r="K60" s="292"/>
      <c r="L60" s="292"/>
      <c r="M60" s="292"/>
      <c r="N60" s="292"/>
      <c r="O60" s="292"/>
      <c r="P60" s="292"/>
      <c r="Q60" s="292"/>
      <c r="R60" s="292"/>
      <c r="S60" s="292"/>
      <c r="T60" s="292"/>
      <c r="U60" s="292"/>
      <c r="V60" s="292"/>
    </row>
    <row r="61" spans="1:22" s="145" customFormat="1">
      <c r="A61" s="314"/>
      <c r="B61" s="315" t="s">
        <v>69</v>
      </c>
      <c r="C61" s="315" t="s">
        <v>70</v>
      </c>
      <c r="D61" s="315" t="s">
        <v>86</v>
      </c>
      <c r="E61" s="316" t="s">
        <v>128</v>
      </c>
      <c r="F61" s="316" t="s">
        <v>214</v>
      </c>
      <c r="G61" s="316" t="s">
        <v>225</v>
      </c>
      <c r="H61" s="318" t="s">
        <v>240</v>
      </c>
      <c r="I61" s="293" t="s">
        <v>296</v>
      </c>
      <c r="J61" s="329"/>
      <c r="K61" s="329"/>
      <c r="L61" s="329"/>
      <c r="M61" s="329"/>
      <c r="N61" s="329"/>
      <c r="O61" s="329"/>
      <c r="P61" s="329"/>
      <c r="Q61" s="329"/>
      <c r="R61" s="329"/>
      <c r="S61" s="329"/>
      <c r="T61" s="329"/>
      <c r="U61" s="329"/>
      <c r="V61" s="329"/>
    </row>
    <row r="62" spans="1:22" s="145" customFormat="1">
      <c r="A62" s="319" t="s">
        <v>176</v>
      </c>
      <c r="B62" s="287">
        <f>ROUND(B49/100,0)</f>
        <v>7776</v>
      </c>
      <c r="C62" s="287">
        <f t="shared" ref="C62:I62" si="35">ROUND(C49/100,0)</f>
        <v>7387</v>
      </c>
      <c r="D62" s="287">
        <f t="shared" si="35"/>
        <v>6130</v>
      </c>
      <c r="E62" s="287">
        <f t="shared" si="35"/>
        <v>6708</v>
      </c>
      <c r="F62" s="287">
        <f t="shared" ref="F62:H62" si="36">ROUND(F49/100,0)</f>
        <v>6419</v>
      </c>
      <c r="G62" s="287">
        <f t="shared" si="36"/>
        <v>6593</v>
      </c>
      <c r="H62" s="287">
        <f t="shared" si="36"/>
        <v>6601</v>
      </c>
      <c r="I62" s="287">
        <f t="shared" si="35"/>
        <v>6595</v>
      </c>
      <c r="J62" s="329"/>
      <c r="K62" s="329"/>
      <c r="L62" s="329"/>
      <c r="M62" s="329"/>
      <c r="N62" s="329"/>
      <c r="O62" s="329"/>
      <c r="P62" s="329"/>
      <c r="Q62" s="329"/>
      <c r="R62" s="329"/>
      <c r="S62" s="329"/>
      <c r="T62" s="329"/>
      <c r="U62" s="329"/>
      <c r="V62" s="329"/>
    </row>
    <row r="63" spans="1:22" s="145" customFormat="1">
      <c r="A63" s="319" t="s">
        <v>87</v>
      </c>
      <c r="B63" s="287">
        <f t="shared" ref="B63:I67" si="37">ROUND(B50/100,0)</f>
        <v>128</v>
      </c>
      <c r="C63" s="330">
        <f>ROUND(C50/100,0)-1</f>
        <v>151</v>
      </c>
      <c r="D63" s="178">
        <f>ROUND(D50/100,0)</f>
        <v>805</v>
      </c>
      <c r="E63" s="287">
        <f t="shared" si="37"/>
        <v>169</v>
      </c>
      <c r="F63" s="287">
        <f t="shared" ref="F63:H63" si="38">ROUND(F50/100,0)</f>
        <v>486</v>
      </c>
      <c r="G63" s="287">
        <f t="shared" si="38"/>
        <v>368</v>
      </c>
      <c r="H63" s="287">
        <f t="shared" si="38"/>
        <v>419</v>
      </c>
      <c r="I63" s="287">
        <f>ROUND(I50/100,0)</f>
        <v>329</v>
      </c>
      <c r="J63" s="329"/>
      <c r="K63" s="329"/>
      <c r="L63" s="329"/>
      <c r="M63" s="329"/>
      <c r="N63" s="329"/>
      <c r="O63" s="329"/>
      <c r="P63" s="329"/>
      <c r="Q63" s="329"/>
      <c r="R63" s="329"/>
      <c r="S63" s="329"/>
      <c r="T63" s="329"/>
      <c r="U63" s="329"/>
      <c r="V63" s="329"/>
    </row>
    <row r="64" spans="1:22" s="145" customFormat="1">
      <c r="A64" s="319" t="s">
        <v>88</v>
      </c>
      <c r="B64" s="287">
        <f t="shared" si="37"/>
        <v>728</v>
      </c>
      <c r="C64" s="287">
        <f t="shared" si="37"/>
        <v>863</v>
      </c>
      <c r="D64" s="287">
        <f t="shared" si="37"/>
        <v>879</v>
      </c>
      <c r="E64" s="287">
        <f t="shared" si="37"/>
        <v>734</v>
      </c>
      <c r="F64" s="287">
        <f t="shared" ref="F64:G64" si="39">ROUND(F51/100,0)</f>
        <v>673</v>
      </c>
      <c r="G64" s="287">
        <f t="shared" si="39"/>
        <v>717</v>
      </c>
      <c r="H64" s="287">
        <f>ROUND(H51/100,0)</f>
        <v>960</v>
      </c>
      <c r="I64" s="287">
        <f>ROUND(I51/100,0)</f>
        <v>862</v>
      </c>
      <c r="J64" s="331"/>
      <c r="K64" s="329"/>
      <c r="L64" s="329"/>
      <c r="M64" s="329"/>
      <c r="N64" s="329"/>
      <c r="O64" s="329"/>
      <c r="P64" s="329"/>
      <c r="Q64" s="329"/>
      <c r="R64" s="329"/>
      <c r="S64" s="329"/>
      <c r="T64" s="329"/>
      <c r="U64" s="329"/>
      <c r="V64" s="329"/>
    </row>
    <row r="65" spans="1:22" s="145" customFormat="1">
      <c r="A65" s="319" t="s">
        <v>89</v>
      </c>
      <c r="B65" s="330">
        <f>ROUND(B52/100,0)+1</f>
        <v>2196</v>
      </c>
      <c r="C65" s="287">
        <f t="shared" si="37"/>
        <v>2508</v>
      </c>
      <c r="D65" s="287">
        <f t="shared" si="37"/>
        <v>2636</v>
      </c>
      <c r="E65" s="330">
        <f>ROUND(E52/100,0)-1</f>
        <v>2582</v>
      </c>
      <c r="F65" s="330">
        <f>ROUND(F52/100,0)+1</f>
        <v>3485</v>
      </c>
      <c r="G65" s="330">
        <f>ROUND(G52/100,0)+1</f>
        <v>3495</v>
      </c>
      <c r="H65" s="291">
        <f>ROUND(H52/100,0)</f>
        <v>3576</v>
      </c>
      <c r="I65" s="291">
        <f>ROUND(I52/100,0)</f>
        <v>3666</v>
      </c>
      <c r="J65" s="329"/>
      <c r="K65" s="329"/>
      <c r="L65" s="329"/>
      <c r="M65" s="329"/>
      <c r="N65" s="329"/>
      <c r="O65" s="329"/>
      <c r="P65" s="329"/>
      <c r="Q65" s="329"/>
      <c r="R65" s="329"/>
      <c r="S65" s="329"/>
      <c r="T65" s="329"/>
      <c r="U65" s="329"/>
      <c r="V65" s="329"/>
    </row>
    <row r="66" spans="1:22" s="145" customFormat="1">
      <c r="A66" s="319" t="s">
        <v>144</v>
      </c>
      <c r="B66" s="287">
        <f t="shared" si="37"/>
        <v>2859</v>
      </c>
      <c r="C66" s="287">
        <f t="shared" si="37"/>
        <v>4073</v>
      </c>
      <c r="D66" s="287">
        <f t="shared" si="37"/>
        <v>2429</v>
      </c>
      <c r="E66" s="178">
        <f>ROUND(E53/100,0)</f>
        <v>1451</v>
      </c>
      <c r="F66" s="287">
        <f t="shared" ref="F66:H66" si="40">ROUND(F53/100,0)</f>
        <v>1548</v>
      </c>
      <c r="G66" s="287">
        <f t="shared" si="40"/>
        <v>1211</v>
      </c>
      <c r="H66" s="287">
        <f t="shared" si="40"/>
        <v>1019</v>
      </c>
      <c r="I66" s="287">
        <f t="shared" si="37"/>
        <v>914</v>
      </c>
      <c r="J66" s="329"/>
      <c r="K66" s="329"/>
      <c r="L66" s="329"/>
      <c r="M66" s="329"/>
      <c r="N66" s="329"/>
      <c r="O66" s="329"/>
      <c r="P66" s="329"/>
      <c r="Q66" s="329"/>
      <c r="R66" s="329"/>
      <c r="S66" s="329"/>
      <c r="T66" s="329"/>
      <c r="U66" s="329"/>
      <c r="V66" s="329"/>
    </row>
    <row r="67" spans="1:22" s="145" customFormat="1">
      <c r="A67" s="319" t="s">
        <v>145</v>
      </c>
      <c r="B67" s="330">
        <f>ROUND(B54/100,0)+1</f>
        <v>2283</v>
      </c>
      <c r="C67" s="287">
        <f>ROUND(C54/100,0)</f>
        <v>3167</v>
      </c>
      <c r="D67" s="287">
        <f>ROUND(D54/100,0)</f>
        <v>1332</v>
      </c>
      <c r="E67" s="287">
        <f t="shared" ref="E67" si="41">ROUND(E54/100,0)</f>
        <v>649</v>
      </c>
      <c r="F67" s="332">
        <f>ROUND(F54/100,0)</f>
        <v>1548</v>
      </c>
      <c r="G67" s="332">
        <f>ROUND(G54/100,0)</f>
        <v>1211</v>
      </c>
      <c r="H67" s="532">
        <f t="shared" ref="H67" si="42">ROUND(H54/100,0)</f>
        <v>1019</v>
      </c>
      <c r="I67" s="532">
        <f t="shared" si="37"/>
        <v>914</v>
      </c>
      <c r="J67" s="329"/>
      <c r="K67" s="329"/>
      <c r="L67" s="329"/>
      <c r="M67" s="329"/>
      <c r="N67" s="329"/>
      <c r="O67" s="329"/>
      <c r="P67" s="329"/>
      <c r="Q67" s="329"/>
      <c r="R67" s="329"/>
      <c r="S67" s="329"/>
      <c r="T67" s="329"/>
      <c r="U67" s="329"/>
      <c r="V67" s="329"/>
    </row>
    <row r="68" spans="1:22" s="145" customFormat="1">
      <c r="A68" s="319" t="s">
        <v>146</v>
      </c>
      <c r="B68" s="287">
        <f>ROUND(B55/100,0)</f>
        <v>576</v>
      </c>
      <c r="C68" s="287">
        <f t="shared" ref="C68:E69" si="43">ROUND(C55/100,0)</f>
        <v>906</v>
      </c>
      <c r="D68" s="287">
        <f t="shared" si="43"/>
        <v>1097</v>
      </c>
      <c r="E68" s="287">
        <f t="shared" si="43"/>
        <v>802</v>
      </c>
      <c r="F68" s="333"/>
      <c r="G68" s="333"/>
      <c r="H68" s="533"/>
      <c r="I68" s="533"/>
      <c r="J68" s="329"/>
      <c r="K68" s="329"/>
      <c r="L68" s="329"/>
      <c r="M68" s="329"/>
      <c r="N68" s="329"/>
      <c r="O68" s="329"/>
      <c r="P68" s="329"/>
      <c r="Q68" s="329"/>
      <c r="R68" s="329"/>
      <c r="S68" s="329"/>
      <c r="T68" s="329"/>
      <c r="U68" s="329"/>
      <c r="V68" s="329"/>
    </row>
    <row r="69" spans="1:22" s="145" customFormat="1">
      <c r="A69" s="319" t="s">
        <v>92</v>
      </c>
      <c r="B69" s="287">
        <f>ROUND(B56/100,0)</f>
        <v>4891</v>
      </c>
      <c r="C69" s="287">
        <f t="shared" si="43"/>
        <v>4874</v>
      </c>
      <c r="D69" s="287">
        <f t="shared" si="43"/>
        <v>4348</v>
      </c>
      <c r="E69" s="287">
        <f t="shared" si="43"/>
        <v>3907</v>
      </c>
      <c r="F69" s="287">
        <f t="shared" ref="F69:G69" si="44">ROUND(F56/100,0)</f>
        <v>4147</v>
      </c>
      <c r="G69" s="287">
        <f t="shared" si="44"/>
        <v>4028</v>
      </c>
      <c r="H69" s="287">
        <f>ROUND(H56/100,0)-1</f>
        <v>3745</v>
      </c>
      <c r="I69" s="287">
        <f>ROUND(I56/100,0)</f>
        <v>3382</v>
      </c>
      <c r="J69" s="329"/>
      <c r="K69" s="329"/>
      <c r="L69" s="329"/>
      <c r="M69" s="329"/>
      <c r="N69" s="329"/>
      <c r="O69" s="329"/>
      <c r="P69" s="329"/>
      <c r="Q69" s="329"/>
      <c r="R69" s="329"/>
      <c r="S69" s="329"/>
      <c r="T69" s="329"/>
      <c r="U69" s="329"/>
      <c r="V69" s="329"/>
    </row>
    <row r="70" spans="1:22" s="145" customFormat="1">
      <c r="A70" s="319" t="s">
        <v>93</v>
      </c>
      <c r="B70" s="178">
        <f t="shared" ref="B70:E70" si="45">ROUND(B57/100,0)</f>
        <v>18578</v>
      </c>
      <c r="C70" s="178">
        <f t="shared" si="45"/>
        <v>19856</v>
      </c>
      <c r="D70" s="178">
        <f>ROUND(D57/100,0)</f>
        <v>17227</v>
      </c>
      <c r="E70" s="178">
        <f t="shared" si="45"/>
        <v>15551</v>
      </c>
      <c r="F70" s="178">
        <f>ROUND(F57/100,0)</f>
        <v>16758</v>
      </c>
      <c r="G70" s="178">
        <f>ROUND(G57/100,0)</f>
        <v>16412</v>
      </c>
      <c r="H70" s="178">
        <f>ROUND(H57/100,0)</f>
        <v>16320</v>
      </c>
      <c r="I70" s="178">
        <f>ROUND(I57/100,0)</f>
        <v>15748</v>
      </c>
      <c r="J70" s="329"/>
      <c r="K70" s="329"/>
      <c r="L70" s="329"/>
      <c r="M70" s="329"/>
      <c r="N70" s="329"/>
      <c r="O70" s="329"/>
      <c r="P70" s="329"/>
      <c r="Q70" s="329"/>
      <c r="R70" s="329"/>
      <c r="S70" s="329"/>
      <c r="T70" s="329"/>
      <c r="U70" s="329"/>
      <c r="V70" s="329"/>
    </row>
    <row r="71" spans="1:22">
      <c r="A71" s="292"/>
      <c r="B71" s="320">
        <f>SUM(B62:B66,B69)-B70</f>
        <v>0</v>
      </c>
      <c r="C71" s="320">
        <f t="shared" ref="C71:I71" si="46">SUM(C62:C66,C69)-C70</f>
        <v>0</v>
      </c>
      <c r="D71" s="320">
        <f t="shared" si="46"/>
        <v>0</v>
      </c>
      <c r="E71" s="320">
        <f t="shared" si="46"/>
        <v>0</v>
      </c>
      <c r="F71" s="320">
        <f t="shared" si="46"/>
        <v>0</v>
      </c>
      <c r="G71" s="320">
        <f t="shared" si="46"/>
        <v>0</v>
      </c>
      <c r="H71" s="320">
        <f t="shared" si="46"/>
        <v>0</v>
      </c>
      <c r="I71" s="320">
        <f t="shared" si="46"/>
        <v>0</v>
      </c>
      <c r="J71" s="320"/>
      <c r="K71" s="320"/>
      <c r="L71" s="320"/>
      <c r="M71" s="292"/>
      <c r="N71" s="292"/>
      <c r="O71" s="292"/>
      <c r="P71" s="292"/>
      <c r="Q71" s="292"/>
      <c r="R71" s="292"/>
      <c r="S71" s="292"/>
      <c r="T71" s="292"/>
      <c r="U71" s="292"/>
      <c r="V71" s="292"/>
    </row>
    <row r="72" spans="1:22">
      <c r="A72" s="292"/>
      <c r="B72" s="320"/>
      <c r="C72" s="320"/>
      <c r="D72" s="320"/>
      <c r="E72" s="320"/>
      <c r="F72" s="320"/>
      <c r="G72" s="320"/>
      <c r="H72" s="320"/>
      <c r="I72" s="320"/>
      <c r="J72" s="320"/>
      <c r="K72" s="320"/>
      <c r="L72" s="320"/>
      <c r="M72" s="292"/>
      <c r="N72" s="292"/>
      <c r="O72" s="292"/>
      <c r="P72" s="292"/>
      <c r="Q72" s="292"/>
      <c r="R72" s="292"/>
      <c r="S72" s="292"/>
      <c r="T72" s="292"/>
      <c r="U72" s="292"/>
      <c r="V72" s="292"/>
    </row>
    <row r="73" spans="1:22">
      <c r="A73" s="534" t="s">
        <v>68</v>
      </c>
      <c r="B73" s="534"/>
      <c r="C73" s="534"/>
      <c r="D73" s="534"/>
      <c r="E73" s="324"/>
      <c r="F73" s="324"/>
      <c r="G73" s="292"/>
      <c r="H73" s="292"/>
      <c r="I73" s="292"/>
      <c r="J73" s="292"/>
      <c r="K73" s="292"/>
      <c r="L73" s="292"/>
      <c r="M73" s="292"/>
      <c r="N73" s="292"/>
      <c r="O73" s="292"/>
      <c r="P73" s="292"/>
      <c r="Q73" s="292"/>
      <c r="R73" s="292"/>
      <c r="S73" s="292"/>
      <c r="T73" s="292"/>
      <c r="U73" s="292"/>
      <c r="V73" s="292"/>
    </row>
    <row r="74" spans="1:22">
      <c r="A74" s="334"/>
      <c r="B74" s="335" t="s">
        <v>69</v>
      </c>
      <c r="C74" s="335" t="s">
        <v>70</v>
      </c>
      <c r="D74" s="335" t="s">
        <v>71</v>
      </c>
      <c r="E74" s="335" t="s">
        <v>72</v>
      </c>
      <c r="F74" s="335" t="s">
        <v>73</v>
      </c>
      <c r="G74" s="335" t="s">
        <v>74</v>
      </c>
      <c r="H74" s="335" t="s">
        <v>75</v>
      </c>
      <c r="I74" s="292"/>
      <c r="J74" s="292"/>
      <c r="K74" s="292"/>
      <c r="L74" s="292"/>
      <c r="M74" s="292"/>
      <c r="N74" s="292"/>
      <c r="O74" s="292"/>
      <c r="P74" s="292"/>
      <c r="Q74" s="292"/>
      <c r="R74" s="292"/>
      <c r="S74" s="292"/>
      <c r="T74" s="292"/>
      <c r="U74" s="292"/>
      <c r="V74" s="292"/>
    </row>
    <row r="75" spans="1:22" ht="21">
      <c r="A75" s="336" t="s">
        <v>76</v>
      </c>
      <c r="B75" s="337">
        <v>777637</v>
      </c>
      <c r="C75" s="337">
        <v>738656</v>
      </c>
      <c r="D75" s="337">
        <v>686522</v>
      </c>
      <c r="E75" s="337">
        <v>635039</v>
      </c>
      <c r="F75" s="337">
        <v>618500</v>
      </c>
      <c r="G75" s="337">
        <v>628573</v>
      </c>
      <c r="H75" s="337">
        <v>652624</v>
      </c>
      <c r="I75" s="292"/>
      <c r="J75" s="292"/>
      <c r="K75" s="292"/>
      <c r="L75" s="292"/>
      <c r="M75" s="292"/>
      <c r="N75" s="292"/>
      <c r="O75" s="292"/>
      <c r="P75" s="292"/>
      <c r="Q75" s="292"/>
      <c r="R75" s="292"/>
      <c r="S75" s="292"/>
      <c r="T75" s="292"/>
      <c r="U75" s="292"/>
      <c r="V75" s="292"/>
    </row>
    <row r="76" spans="1:22">
      <c r="A76" s="338" t="s">
        <v>77</v>
      </c>
      <c r="B76" s="337">
        <v>12844</v>
      </c>
      <c r="C76" s="337">
        <v>15155</v>
      </c>
      <c r="D76" s="337">
        <v>76659</v>
      </c>
      <c r="E76" s="337">
        <v>84384</v>
      </c>
      <c r="F76" s="337">
        <v>72843</v>
      </c>
      <c r="G76" s="337">
        <v>60716</v>
      </c>
      <c r="H76" s="337">
        <v>47208</v>
      </c>
      <c r="I76" s="292"/>
      <c r="J76" s="292"/>
      <c r="K76" s="292"/>
      <c r="L76" s="292"/>
      <c r="M76" s="292"/>
      <c r="N76" s="292"/>
      <c r="O76" s="292"/>
      <c r="P76" s="292"/>
      <c r="Q76" s="292"/>
      <c r="R76" s="292"/>
      <c r="S76" s="292"/>
      <c r="T76" s="292"/>
      <c r="U76" s="292"/>
      <c r="V76" s="292"/>
    </row>
    <row r="77" spans="1:22">
      <c r="A77" s="338" t="s">
        <v>78</v>
      </c>
      <c r="B77" s="337">
        <f t="shared" ref="B77:H77" si="47">SUM(B75:B76)</f>
        <v>790481</v>
      </c>
      <c r="C77" s="337">
        <f t="shared" si="47"/>
        <v>753811</v>
      </c>
      <c r="D77" s="337">
        <f t="shared" si="47"/>
        <v>763181</v>
      </c>
      <c r="E77" s="337">
        <f t="shared" si="47"/>
        <v>719423</v>
      </c>
      <c r="F77" s="337">
        <f t="shared" si="47"/>
        <v>691343</v>
      </c>
      <c r="G77" s="337">
        <f t="shared" si="47"/>
        <v>689289</v>
      </c>
      <c r="H77" s="337">
        <f t="shared" si="47"/>
        <v>699832</v>
      </c>
      <c r="I77" s="339"/>
      <c r="J77" s="339"/>
      <c r="K77" s="339"/>
      <c r="L77" s="339"/>
      <c r="M77" s="292"/>
      <c r="N77" s="292"/>
      <c r="O77" s="292"/>
      <c r="P77" s="292"/>
      <c r="Q77" s="292"/>
      <c r="R77" s="292"/>
      <c r="S77" s="292"/>
      <c r="T77" s="292"/>
      <c r="U77" s="292"/>
      <c r="V77" s="292"/>
    </row>
    <row r="78" spans="1:22" ht="6.75" customHeight="1">
      <c r="A78" s="340"/>
      <c r="B78" s="341"/>
      <c r="C78" s="341"/>
      <c r="D78" s="341"/>
      <c r="E78" s="341"/>
      <c r="F78" s="341"/>
      <c r="G78" s="341"/>
      <c r="H78" s="341"/>
      <c r="I78" s="339"/>
      <c r="J78" s="339"/>
      <c r="K78" s="339"/>
      <c r="L78" s="339"/>
      <c r="M78" s="292"/>
      <c r="N78" s="292"/>
      <c r="O78" s="292"/>
      <c r="P78" s="292"/>
      <c r="Q78" s="292"/>
      <c r="R78" s="292"/>
      <c r="S78" s="292"/>
      <c r="T78" s="292"/>
      <c r="U78" s="292"/>
      <c r="V78" s="292"/>
    </row>
    <row r="79" spans="1:22">
      <c r="A79" s="338" t="s">
        <v>79</v>
      </c>
      <c r="B79" s="337" t="s">
        <v>210</v>
      </c>
      <c r="C79" s="337">
        <f>C77-B77</f>
        <v>-36670</v>
      </c>
      <c r="D79" s="337">
        <f>D77-B77</f>
        <v>-27300</v>
      </c>
      <c r="E79" s="337">
        <f>E77-B77</f>
        <v>-71058</v>
      </c>
      <c r="F79" s="337">
        <f>F77-B77</f>
        <v>-99138</v>
      </c>
      <c r="G79" s="337">
        <f>G77-B77</f>
        <v>-101192</v>
      </c>
      <c r="H79" s="337">
        <f>H77-B77</f>
        <v>-90649</v>
      </c>
      <c r="I79" s="339"/>
      <c r="J79" s="339"/>
      <c r="K79" s="339"/>
      <c r="L79" s="339"/>
      <c r="M79" s="292"/>
      <c r="N79" s="292"/>
      <c r="O79" s="292"/>
      <c r="P79" s="292"/>
      <c r="Q79" s="292"/>
      <c r="R79" s="292"/>
      <c r="S79" s="292"/>
      <c r="T79" s="292"/>
      <c r="U79" s="292"/>
      <c r="V79" s="292"/>
    </row>
    <row r="80" spans="1:22">
      <c r="A80" s="292"/>
      <c r="B80" s="180"/>
      <c r="C80" s="180"/>
      <c r="D80" s="180"/>
      <c r="E80" s="180"/>
      <c r="F80" s="180"/>
      <c r="G80" s="182"/>
      <c r="H80" s="182"/>
      <c r="I80" s="182"/>
      <c r="J80" s="182"/>
      <c r="K80" s="182"/>
      <c r="L80" s="182"/>
      <c r="M80" s="292"/>
      <c r="N80" s="292"/>
      <c r="O80" s="292"/>
      <c r="P80" s="292"/>
      <c r="Q80" s="292"/>
      <c r="R80" s="292"/>
      <c r="S80" s="292"/>
      <c r="T80" s="292"/>
      <c r="U80" s="292"/>
      <c r="V80" s="292"/>
    </row>
    <row r="81" spans="1:22">
      <c r="A81" s="529" t="s">
        <v>97</v>
      </c>
      <c r="B81" s="529"/>
      <c r="C81" s="529"/>
      <c r="D81" s="529"/>
      <c r="E81" s="292"/>
      <c r="F81" s="292"/>
      <c r="G81" s="292"/>
      <c r="H81" s="292"/>
      <c r="I81" s="292"/>
      <c r="J81" s="292"/>
      <c r="K81" s="292"/>
      <c r="L81" s="292"/>
      <c r="M81" s="292"/>
      <c r="N81" s="292"/>
      <c r="O81" s="292"/>
      <c r="P81" s="292"/>
      <c r="Q81" s="292"/>
      <c r="R81" s="292"/>
      <c r="S81" s="292"/>
      <c r="T81" s="292"/>
      <c r="U81" s="292"/>
      <c r="V81" s="292"/>
    </row>
    <row r="82" spans="1:22">
      <c r="A82" s="314"/>
      <c r="B82" s="315" t="s">
        <v>69</v>
      </c>
      <c r="C82" s="315" t="s">
        <v>70</v>
      </c>
      <c r="D82" s="315" t="s">
        <v>86</v>
      </c>
      <c r="E82" s="316" t="s">
        <v>128</v>
      </c>
      <c r="F82" s="316" t="s">
        <v>214</v>
      </c>
      <c r="G82" s="316" t="s">
        <v>225</v>
      </c>
      <c r="H82" s="318" t="s">
        <v>240</v>
      </c>
      <c r="I82" s="293" t="s">
        <v>297</v>
      </c>
      <c r="J82" s="292"/>
      <c r="K82" s="292"/>
      <c r="L82" s="292"/>
      <c r="M82" s="292"/>
      <c r="N82" s="292"/>
      <c r="O82" s="292"/>
      <c r="P82" s="292"/>
      <c r="Q82" s="292"/>
      <c r="R82" s="292"/>
      <c r="S82" s="292"/>
      <c r="T82" s="292"/>
      <c r="U82" s="292"/>
      <c r="V82" s="292"/>
    </row>
    <row r="83" spans="1:22">
      <c r="A83" s="319" t="s">
        <v>176</v>
      </c>
      <c r="B83" s="288">
        <f>B49/B$57*100</f>
        <v>41.858333292962634</v>
      </c>
      <c r="C83" s="288">
        <f t="shared" ref="C83:E83" si="48">C49/C$57*100</f>
        <v>37.201113027712374</v>
      </c>
      <c r="D83" s="288">
        <f t="shared" si="48"/>
        <v>35.587409449472531</v>
      </c>
      <c r="E83" s="288">
        <f t="shared" si="48"/>
        <v>43.134071239472682</v>
      </c>
      <c r="F83" s="288">
        <f t="shared" ref="F83:G83" si="49">F49/F$57*100</f>
        <v>38.303080501692961</v>
      </c>
      <c r="G83" s="288">
        <f t="shared" si="49"/>
        <v>40.170172524522322</v>
      </c>
      <c r="H83" s="288">
        <f t="shared" ref="H83:I85" si="50">H49/H$57*100</f>
        <v>40.44698995026296</v>
      </c>
      <c r="I83" s="288">
        <f t="shared" si="50"/>
        <v>41.875608792777413</v>
      </c>
      <c r="J83" s="292"/>
      <c r="K83" s="292"/>
      <c r="L83" s="292"/>
      <c r="M83" s="292"/>
      <c r="N83" s="292"/>
      <c r="O83" s="292"/>
      <c r="P83" s="292"/>
      <c r="Q83" s="292"/>
      <c r="R83" s="292"/>
      <c r="S83" s="292"/>
      <c r="T83" s="292"/>
      <c r="U83" s="292"/>
      <c r="V83" s="292"/>
    </row>
    <row r="84" spans="1:22">
      <c r="A84" s="319" t="s">
        <v>87</v>
      </c>
      <c r="B84" s="288">
        <f t="shared" ref="B84:B86" si="51">B50/B$57*100</f>
        <v>0.69136169294260952</v>
      </c>
      <c r="C84" s="288">
        <f t="shared" ref="C84:E84" si="52">C50/C$57*100</f>
        <v>0.76325497651813701</v>
      </c>
      <c r="D84" s="288">
        <f t="shared" si="52"/>
        <v>4.6715625919727488</v>
      </c>
      <c r="E84" s="288">
        <f t="shared" si="52"/>
        <v>1.0869250688531631</v>
      </c>
      <c r="F84" s="288">
        <f t="shared" ref="F84:G84" si="53">F50/F$57*100</f>
        <v>2.9025532204376985</v>
      </c>
      <c r="G84" s="288">
        <f t="shared" si="53"/>
        <v>2.2415270193363463</v>
      </c>
      <c r="H84" s="288">
        <f t="shared" si="50"/>
        <v>2.5668772285005423</v>
      </c>
      <c r="I84" s="288">
        <f t="shared" si="50"/>
        <v>2.0894212611074918</v>
      </c>
      <c r="J84" s="292"/>
      <c r="K84" s="292"/>
      <c r="L84" s="292"/>
      <c r="M84" s="292"/>
      <c r="N84" s="292"/>
      <c r="O84" s="292"/>
      <c r="P84" s="292"/>
      <c r="Q84" s="292"/>
      <c r="R84" s="292"/>
      <c r="S84" s="292"/>
      <c r="T84" s="292"/>
      <c r="U84" s="292"/>
      <c r="V84" s="292"/>
    </row>
    <row r="85" spans="1:22">
      <c r="A85" s="319" t="s">
        <v>88</v>
      </c>
      <c r="B85" s="288">
        <f t="shared" si="51"/>
        <v>3.9187030993393739</v>
      </c>
      <c r="C85" s="288">
        <f t="shared" ref="C85:E85" si="54">C51/C$57*100</f>
        <v>4.3484129282449668</v>
      </c>
      <c r="D85" s="288">
        <f t="shared" si="54"/>
        <v>5.1013057155312982</v>
      </c>
      <c r="E85" s="288">
        <f t="shared" si="54"/>
        <v>4.7177036384950108</v>
      </c>
      <c r="F85" s="288">
        <f t="shared" ref="F85:G85" si="55">F51/F$57*100</f>
        <v>4.0135675267310589</v>
      </c>
      <c r="G85" s="288">
        <f t="shared" si="55"/>
        <v>4.3712427444523927</v>
      </c>
      <c r="H85" s="288">
        <f t="shared" si="50"/>
        <v>5.8821691157322098</v>
      </c>
      <c r="I85" s="288">
        <f t="shared" si="50"/>
        <v>5.4766903008436421</v>
      </c>
      <c r="J85" s="292"/>
      <c r="K85" s="292"/>
      <c r="L85" s="292"/>
      <c r="M85" s="292"/>
      <c r="N85" s="292"/>
      <c r="O85" s="292"/>
      <c r="P85" s="292"/>
      <c r="Q85" s="292"/>
      <c r="R85" s="292"/>
      <c r="S85" s="292"/>
      <c r="T85" s="292"/>
      <c r="U85" s="292"/>
      <c r="V85" s="292"/>
    </row>
    <row r="86" spans="1:22">
      <c r="A86" s="319" t="s">
        <v>89</v>
      </c>
      <c r="B86" s="288">
        <f t="shared" si="51"/>
        <v>11.817795727488086</v>
      </c>
      <c r="C86" s="288">
        <f t="shared" ref="C86:I86" si="56">C52/C$57*100</f>
        <v>12.630346373216828</v>
      </c>
      <c r="D86" s="288">
        <f t="shared" si="56"/>
        <v>15.299795606438193</v>
      </c>
      <c r="E86" s="288">
        <f t="shared" si="56"/>
        <v>16.606810659749303</v>
      </c>
      <c r="F86" s="288">
        <f t="shared" ref="F86:H86" si="57">F52/F$57*100</f>
        <v>20.792998545142936</v>
      </c>
      <c r="G86" s="288">
        <f t="shared" si="57"/>
        <v>21.291551453303097</v>
      </c>
      <c r="H86" s="288">
        <f t="shared" si="57"/>
        <v>21.911809130364716</v>
      </c>
      <c r="I86" s="288">
        <f t="shared" si="56"/>
        <v>23.275663909557682</v>
      </c>
      <c r="J86" s="292"/>
      <c r="K86" s="292"/>
      <c r="L86" s="292"/>
      <c r="M86" s="292"/>
      <c r="N86" s="292"/>
      <c r="O86" s="292"/>
      <c r="P86" s="292"/>
      <c r="Q86" s="292"/>
      <c r="R86" s="292"/>
      <c r="S86" s="292"/>
      <c r="T86" s="292"/>
      <c r="U86" s="292"/>
      <c r="V86" s="292"/>
    </row>
    <row r="87" spans="1:22">
      <c r="A87" s="319" t="s">
        <v>90</v>
      </c>
      <c r="B87" s="288">
        <f t="shared" ref="B87:B89" si="58">B54/B$57*100</f>
        <v>12.285396087702386</v>
      </c>
      <c r="C87" s="288">
        <f t="shared" ref="C87:E87" si="59">C54/C$57*100</f>
        <v>15.948931669667477</v>
      </c>
      <c r="D87" s="288">
        <f t="shared" si="59"/>
        <v>7.7334605786294084</v>
      </c>
      <c r="E87" s="288">
        <f t="shared" si="59"/>
        <v>4.1718940198222514</v>
      </c>
      <c r="F87" s="288">
        <f t="shared" ref="F87:G87" si="60">F54/F$57*100</f>
        <v>9.2395358301815396</v>
      </c>
      <c r="G87" s="288">
        <f t="shared" si="60"/>
        <v>7.3803984747355225</v>
      </c>
      <c r="H87" s="288">
        <f>H54/H$57*100</f>
        <v>6.241302758668442</v>
      </c>
      <c r="I87" s="288">
        <f>I54/I$57*100</f>
        <v>5.8058035175681564</v>
      </c>
      <c r="J87" s="292"/>
      <c r="K87" s="292"/>
      <c r="L87" s="292"/>
      <c r="M87" s="292"/>
      <c r="N87" s="292"/>
      <c r="O87" s="292"/>
      <c r="P87" s="292"/>
      <c r="Q87" s="292"/>
      <c r="R87" s="292"/>
      <c r="S87" s="292"/>
      <c r="T87" s="292"/>
      <c r="U87" s="292"/>
      <c r="V87" s="292"/>
    </row>
    <row r="88" spans="1:22">
      <c r="A88" s="319" t="s">
        <v>91</v>
      </c>
      <c r="B88" s="288">
        <f t="shared" si="58"/>
        <v>3.102246064260465</v>
      </c>
      <c r="C88" s="288">
        <f t="shared" ref="C88:E88" si="61">C55/C$57*100</f>
        <v>4.5622049028618914</v>
      </c>
      <c r="D88" s="288">
        <f t="shared" si="61"/>
        <v>6.3667926929156531</v>
      </c>
      <c r="E88" s="288">
        <f t="shared" si="61"/>
        <v>5.1569620627591037</v>
      </c>
      <c r="F88" s="342"/>
      <c r="G88" s="342"/>
      <c r="H88" s="342"/>
      <c r="I88" s="342"/>
      <c r="J88" s="292"/>
      <c r="K88" s="292"/>
      <c r="L88" s="292"/>
      <c r="M88" s="292"/>
      <c r="N88" s="292"/>
      <c r="O88" s="292"/>
      <c r="P88" s="292"/>
      <c r="Q88" s="292"/>
      <c r="R88" s="292"/>
      <c r="S88" s="292"/>
      <c r="T88" s="292"/>
      <c r="U88" s="292"/>
      <c r="V88" s="292"/>
    </row>
    <row r="89" spans="1:22">
      <c r="A89" s="319" t="s">
        <v>92</v>
      </c>
      <c r="B89" s="288">
        <f t="shared" si="58"/>
        <v>26.326164035304444</v>
      </c>
      <c r="C89" s="288">
        <f t="shared" ref="C89:I89" si="62">C56/C$57*100</f>
        <v>24.545736121778326</v>
      </c>
      <c r="D89" s="288">
        <f t="shared" si="62"/>
        <v>25.239673365040165</v>
      </c>
      <c r="E89" s="288">
        <f t="shared" si="62"/>
        <v>25.125633310848482</v>
      </c>
      <c r="F89" s="288">
        <f t="shared" ref="F89:H89" si="63">F56/F$57*100</f>
        <v>24.748264375813807</v>
      </c>
      <c r="G89" s="288">
        <f t="shared" si="63"/>
        <v>24.545107783650323</v>
      </c>
      <c r="H89" s="288">
        <f t="shared" si="63"/>
        <v>22.950851816471125</v>
      </c>
      <c r="I89" s="288">
        <f t="shared" si="62"/>
        <v>21.476812218145614</v>
      </c>
      <c r="J89" s="292"/>
      <c r="K89" s="292"/>
      <c r="L89" s="292"/>
      <c r="M89" s="292"/>
      <c r="N89" s="292"/>
      <c r="O89" s="292"/>
      <c r="P89" s="292"/>
      <c r="Q89" s="292"/>
      <c r="R89" s="292"/>
      <c r="S89" s="292"/>
      <c r="T89" s="292"/>
      <c r="U89" s="292"/>
      <c r="V89" s="292"/>
    </row>
    <row r="90" spans="1:22">
      <c r="A90" s="319" t="s">
        <v>93</v>
      </c>
      <c r="B90" s="181">
        <f t="shared" ref="B90" si="64">SUM(B83:B89)</f>
        <v>100</v>
      </c>
      <c r="C90" s="181">
        <f t="shared" ref="C90:E90" si="65">SUM(C83:C89)</f>
        <v>100</v>
      </c>
      <c r="D90" s="181">
        <f t="shared" si="65"/>
        <v>100</v>
      </c>
      <c r="E90" s="181">
        <f t="shared" si="65"/>
        <v>100</v>
      </c>
      <c r="F90" s="181">
        <f t="shared" ref="F90:G90" si="66">SUM(F83:F89)</f>
        <v>100</v>
      </c>
      <c r="G90" s="181">
        <f t="shared" si="66"/>
        <v>100.00000000000001</v>
      </c>
      <c r="H90" s="181">
        <f>SUM(H83:H89)</f>
        <v>100</v>
      </c>
      <c r="I90" s="181">
        <f>SUM(I83:I89)</f>
        <v>99.999999999999986</v>
      </c>
      <c r="J90" s="292"/>
      <c r="K90" s="292"/>
      <c r="L90" s="292"/>
      <c r="M90" s="292"/>
      <c r="N90" s="292"/>
      <c r="O90" s="292"/>
      <c r="P90" s="292"/>
      <c r="Q90" s="292"/>
      <c r="R90" s="292"/>
      <c r="S90" s="292"/>
      <c r="T90" s="292"/>
      <c r="U90" s="292"/>
      <c r="V90" s="292"/>
    </row>
    <row r="91" spans="1:22">
      <c r="A91" s="292"/>
      <c r="B91" s="292"/>
      <c r="C91" s="292"/>
      <c r="D91" s="292"/>
      <c r="E91" s="292"/>
      <c r="F91" s="292"/>
      <c r="G91" s="292"/>
      <c r="H91" s="292"/>
      <c r="I91" s="292"/>
      <c r="J91" s="292"/>
      <c r="K91" s="292"/>
      <c r="L91" s="292"/>
      <c r="M91" s="292"/>
      <c r="N91" s="292"/>
      <c r="O91" s="292"/>
      <c r="P91" s="292"/>
      <c r="Q91" s="292"/>
      <c r="R91" s="292"/>
      <c r="S91" s="292"/>
      <c r="T91" s="292"/>
      <c r="U91" s="292"/>
      <c r="V91" s="292"/>
    </row>
    <row r="92" spans="1:22">
      <c r="A92" s="529" t="s">
        <v>98</v>
      </c>
      <c r="B92" s="529"/>
      <c r="C92" s="529"/>
      <c r="D92" s="529"/>
      <c r="E92" s="324" t="s">
        <v>99</v>
      </c>
      <c r="F92" s="292"/>
      <c r="G92" s="292"/>
      <c r="H92" s="292"/>
      <c r="I92" s="292"/>
      <c r="J92" s="292"/>
      <c r="K92" s="292"/>
      <c r="L92" s="292"/>
      <c r="M92" s="292"/>
      <c r="N92" s="292"/>
      <c r="O92" s="292"/>
      <c r="P92" s="292"/>
      <c r="Q92" s="292"/>
      <c r="R92" s="292"/>
      <c r="S92" s="292"/>
      <c r="T92" s="292"/>
      <c r="U92" s="292"/>
      <c r="V92" s="292"/>
    </row>
    <row r="93" spans="1:22">
      <c r="A93" s="314"/>
      <c r="B93" s="315" t="s">
        <v>69</v>
      </c>
      <c r="C93" s="315" t="s">
        <v>70</v>
      </c>
      <c r="D93" s="315" t="s">
        <v>86</v>
      </c>
      <c r="E93" s="316" t="s">
        <v>128</v>
      </c>
      <c r="F93" s="316" t="s">
        <v>214</v>
      </c>
      <c r="G93" s="316" t="s">
        <v>225</v>
      </c>
      <c r="H93" s="318" t="s">
        <v>240</v>
      </c>
      <c r="I93" s="293" t="s">
        <v>297</v>
      </c>
      <c r="J93" s="292"/>
      <c r="K93" s="292"/>
      <c r="L93" s="292"/>
      <c r="M93" s="292"/>
      <c r="N93" s="292"/>
      <c r="O93" s="292"/>
      <c r="P93" s="292"/>
      <c r="Q93" s="292"/>
      <c r="R93" s="292"/>
      <c r="S93" s="292"/>
      <c r="T93" s="292"/>
      <c r="U93" s="292"/>
      <c r="V93" s="292"/>
    </row>
    <row r="94" spans="1:22">
      <c r="A94" s="319" t="s">
        <v>216</v>
      </c>
      <c r="B94" s="181">
        <f t="shared" ref="B94:B100" si="67">ROUND(B83,1)</f>
        <v>41.9</v>
      </c>
      <c r="C94" s="181">
        <f t="shared" ref="C94:I94" si="68">ROUND(C83,1)</f>
        <v>37.200000000000003</v>
      </c>
      <c r="D94" s="181">
        <f t="shared" si="68"/>
        <v>35.6</v>
      </c>
      <c r="E94" s="181">
        <f t="shared" si="68"/>
        <v>43.1</v>
      </c>
      <c r="F94" s="181">
        <f t="shared" ref="F94:H94" si="69">ROUND(F83,1)</f>
        <v>38.299999999999997</v>
      </c>
      <c r="G94" s="181">
        <f t="shared" si="69"/>
        <v>40.200000000000003</v>
      </c>
      <c r="H94" s="181">
        <f t="shared" si="69"/>
        <v>40.4</v>
      </c>
      <c r="I94" s="181">
        <f t="shared" si="68"/>
        <v>41.9</v>
      </c>
      <c r="J94" s="292"/>
      <c r="K94" s="292"/>
      <c r="L94" s="292"/>
      <c r="M94" s="292"/>
      <c r="N94" s="292"/>
      <c r="O94" s="292"/>
      <c r="P94" s="292"/>
      <c r="Q94" s="292"/>
      <c r="R94" s="292"/>
      <c r="S94" s="292"/>
      <c r="T94" s="292"/>
      <c r="U94" s="292"/>
      <c r="V94" s="292"/>
    </row>
    <row r="95" spans="1:22">
      <c r="A95" s="319" t="s">
        <v>87</v>
      </c>
      <c r="B95" s="181">
        <f t="shared" si="67"/>
        <v>0.7</v>
      </c>
      <c r="C95" s="181">
        <f t="shared" ref="C95:I95" si="70">ROUND(C84,1)</f>
        <v>0.8</v>
      </c>
      <c r="D95" s="181">
        <f t="shared" si="70"/>
        <v>4.7</v>
      </c>
      <c r="E95" s="181">
        <f t="shared" si="70"/>
        <v>1.1000000000000001</v>
      </c>
      <c r="F95" s="181">
        <f t="shared" ref="F95:H95" si="71">ROUND(F84,1)</f>
        <v>2.9</v>
      </c>
      <c r="G95" s="181">
        <f t="shared" si="71"/>
        <v>2.2000000000000002</v>
      </c>
      <c r="H95" s="181">
        <f t="shared" si="71"/>
        <v>2.6</v>
      </c>
      <c r="I95" s="181">
        <f t="shared" si="70"/>
        <v>2.1</v>
      </c>
      <c r="J95" s="292"/>
      <c r="K95" s="292"/>
      <c r="L95" s="292"/>
      <c r="M95" s="292"/>
      <c r="N95" s="292"/>
      <c r="O95" s="292"/>
      <c r="P95" s="292"/>
      <c r="Q95" s="292"/>
      <c r="R95" s="292"/>
      <c r="S95" s="292"/>
      <c r="T95" s="292"/>
      <c r="U95" s="292"/>
      <c r="V95" s="292"/>
    </row>
    <row r="96" spans="1:22">
      <c r="A96" s="319" t="s">
        <v>88</v>
      </c>
      <c r="B96" s="181">
        <f t="shared" si="67"/>
        <v>3.9</v>
      </c>
      <c r="C96" s="327">
        <f>ROUND(C85,1)+0.1</f>
        <v>4.3999999999999995</v>
      </c>
      <c r="D96" s="181">
        <f t="shared" ref="D96:E96" si="72">ROUND(D85,1)</f>
        <v>5.0999999999999996</v>
      </c>
      <c r="E96" s="181">
        <f t="shared" si="72"/>
        <v>4.7</v>
      </c>
      <c r="F96" s="181">
        <f t="shared" ref="F96:H96" si="73">ROUND(F85,1)</f>
        <v>4</v>
      </c>
      <c r="G96" s="181">
        <f t="shared" si="73"/>
        <v>4.4000000000000004</v>
      </c>
      <c r="H96" s="181">
        <f t="shared" si="73"/>
        <v>5.9</v>
      </c>
      <c r="I96" s="181">
        <f>ROUND(I85,1)</f>
        <v>5.5</v>
      </c>
      <c r="J96" s="292"/>
      <c r="K96" s="292"/>
      <c r="L96" s="292"/>
      <c r="M96" s="292"/>
      <c r="N96" s="292"/>
      <c r="O96" s="292"/>
      <c r="P96" s="292"/>
      <c r="Q96" s="292"/>
      <c r="R96" s="292"/>
      <c r="S96" s="292"/>
      <c r="T96" s="292"/>
      <c r="U96" s="292"/>
      <c r="V96" s="292"/>
    </row>
    <row r="97" spans="1:22">
      <c r="A97" s="319" t="s">
        <v>89</v>
      </c>
      <c r="B97" s="181">
        <f t="shared" si="67"/>
        <v>11.8</v>
      </c>
      <c r="C97" s="181">
        <f t="shared" ref="C97:I97" si="74">ROUND(C86,1)</f>
        <v>12.6</v>
      </c>
      <c r="D97" s="181">
        <f t="shared" si="74"/>
        <v>15.3</v>
      </c>
      <c r="E97" s="181">
        <f t="shared" si="74"/>
        <v>16.600000000000001</v>
      </c>
      <c r="F97" s="181">
        <f t="shared" ref="F97:H97" si="75">ROUND(F86,1)</f>
        <v>20.8</v>
      </c>
      <c r="G97" s="181">
        <f t="shared" si="75"/>
        <v>21.3</v>
      </c>
      <c r="H97" s="181">
        <f t="shared" si="75"/>
        <v>21.9</v>
      </c>
      <c r="I97" s="181">
        <f t="shared" si="74"/>
        <v>23.3</v>
      </c>
      <c r="J97" s="292"/>
      <c r="K97" s="292"/>
      <c r="L97" s="292"/>
      <c r="M97" s="292"/>
      <c r="N97" s="292"/>
      <c r="O97" s="292"/>
      <c r="P97" s="292"/>
      <c r="Q97" s="292"/>
      <c r="R97" s="292"/>
      <c r="S97" s="292"/>
      <c r="T97" s="292"/>
      <c r="U97" s="292"/>
      <c r="V97" s="292"/>
    </row>
    <row r="98" spans="1:22">
      <c r="A98" s="319" t="s">
        <v>90</v>
      </c>
      <c r="B98" s="181">
        <f t="shared" si="67"/>
        <v>12.3</v>
      </c>
      <c r="C98" s="181">
        <f t="shared" ref="C98:I98" si="76">ROUND(C87,1)</f>
        <v>15.9</v>
      </c>
      <c r="D98" s="181">
        <f t="shared" si="76"/>
        <v>7.7</v>
      </c>
      <c r="E98" s="181">
        <f t="shared" si="76"/>
        <v>4.2</v>
      </c>
      <c r="F98" s="181">
        <f t="shared" ref="F98:H98" si="77">ROUND(F87,1)</f>
        <v>9.1999999999999993</v>
      </c>
      <c r="G98" s="181">
        <f t="shared" si="77"/>
        <v>7.4</v>
      </c>
      <c r="H98" s="181">
        <f t="shared" si="77"/>
        <v>6.2</v>
      </c>
      <c r="I98" s="181">
        <f t="shared" si="76"/>
        <v>5.8</v>
      </c>
      <c r="J98" s="292"/>
      <c r="K98" s="292"/>
      <c r="L98" s="292"/>
      <c r="M98" s="292"/>
      <c r="N98" s="292"/>
      <c r="O98" s="292"/>
      <c r="P98" s="292"/>
      <c r="Q98" s="292"/>
      <c r="R98" s="292"/>
      <c r="S98" s="292"/>
      <c r="T98" s="292"/>
      <c r="U98" s="292"/>
      <c r="V98" s="292"/>
    </row>
    <row r="99" spans="1:22">
      <c r="A99" s="319" t="s">
        <v>91</v>
      </c>
      <c r="B99" s="181">
        <f t="shared" si="67"/>
        <v>3.1</v>
      </c>
      <c r="C99" s="181">
        <f t="shared" ref="C99:E99" si="78">ROUND(C88,1)</f>
        <v>4.5999999999999996</v>
      </c>
      <c r="D99" s="181">
        <f t="shared" si="78"/>
        <v>6.4</v>
      </c>
      <c r="E99" s="181">
        <f t="shared" si="78"/>
        <v>5.2</v>
      </c>
      <c r="F99" s="343"/>
      <c r="G99" s="343"/>
      <c r="H99" s="343"/>
      <c r="I99" s="343"/>
      <c r="J99" s="292"/>
      <c r="K99" s="292"/>
      <c r="L99" s="292"/>
      <c r="M99" s="292"/>
      <c r="N99" s="292"/>
      <c r="O99" s="292"/>
      <c r="P99" s="292"/>
      <c r="Q99" s="292"/>
      <c r="R99" s="292"/>
      <c r="S99" s="292"/>
      <c r="T99" s="292"/>
      <c r="U99" s="292"/>
      <c r="V99" s="292"/>
    </row>
    <row r="100" spans="1:22">
      <c r="A100" s="319" t="s">
        <v>92</v>
      </c>
      <c r="B100" s="181">
        <f t="shared" si="67"/>
        <v>26.3</v>
      </c>
      <c r="C100" s="181">
        <f t="shared" ref="C100:E100" si="79">ROUND(C89,1)</f>
        <v>24.5</v>
      </c>
      <c r="D100" s="181">
        <f t="shared" si="79"/>
        <v>25.2</v>
      </c>
      <c r="E100" s="181">
        <f t="shared" si="79"/>
        <v>25.1</v>
      </c>
      <c r="F100" s="181">
        <f t="shared" ref="F100" si="80">ROUND(F89,1)</f>
        <v>24.7</v>
      </c>
      <c r="G100" s="327">
        <f>ROUND(G89,1)+0.1</f>
        <v>24.6</v>
      </c>
      <c r="H100" s="181">
        <f t="shared" ref="H100" si="81">ROUND(H89,1)</f>
        <v>23</v>
      </c>
      <c r="I100" s="181">
        <f>ROUND(I89,1)-0.1</f>
        <v>21.4</v>
      </c>
      <c r="J100" s="292"/>
      <c r="K100" s="292"/>
      <c r="L100" s="292"/>
      <c r="M100" s="292"/>
      <c r="N100" s="292"/>
      <c r="O100" s="292"/>
      <c r="P100" s="292"/>
      <c r="Q100" s="292"/>
      <c r="R100" s="292"/>
      <c r="S100" s="292"/>
      <c r="T100" s="292"/>
      <c r="U100" s="292"/>
      <c r="V100" s="292"/>
    </row>
    <row r="101" spans="1:22">
      <c r="A101" s="319" t="s">
        <v>93</v>
      </c>
      <c r="B101" s="181">
        <f>SUM(B94:B100)</f>
        <v>99.999999999999986</v>
      </c>
      <c r="C101" s="181">
        <f t="shared" ref="C101:I101" si="82">SUM(C94:C100)</f>
        <v>100</v>
      </c>
      <c r="D101" s="181">
        <f t="shared" si="82"/>
        <v>100.00000000000001</v>
      </c>
      <c r="E101" s="181">
        <f t="shared" si="82"/>
        <v>100</v>
      </c>
      <c r="F101" s="181">
        <f t="shared" ref="F101:H101" si="83">SUM(F94:F100)</f>
        <v>99.9</v>
      </c>
      <c r="G101" s="181">
        <f t="shared" si="83"/>
        <v>100.10000000000002</v>
      </c>
      <c r="H101" s="181">
        <f t="shared" si="83"/>
        <v>100</v>
      </c>
      <c r="I101" s="181">
        <f t="shared" si="82"/>
        <v>100</v>
      </c>
      <c r="J101" s="292"/>
      <c r="K101" s="292"/>
      <c r="L101" s="292"/>
      <c r="M101" s="292"/>
      <c r="N101" s="292"/>
      <c r="O101" s="292"/>
      <c r="P101" s="292"/>
      <c r="Q101" s="292"/>
      <c r="R101" s="292"/>
      <c r="S101" s="292"/>
      <c r="T101" s="292"/>
      <c r="U101" s="292"/>
      <c r="V101" s="292"/>
    </row>
  </sheetData>
  <mergeCells count="22">
    <mergeCell ref="V9:V10"/>
    <mergeCell ref="V30:V31"/>
    <mergeCell ref="U9:U10"/>
    <mergeCell ref="U30:U31"/>
    <mergeCell ref="A81:D81"/>
    <mergeCell ref="A24:D24"/>
    <mergeCell ref="Q30:Q31"/>
    <mergeCell ref="Q9:Q10"/>
    <mergeCell ref="R9:R10"/>
    <mergeCell ref="T9:T10"/>
    <mergeCell ref="S9:S10"/>
    <mergeCell ref="A17:D17"/>
    <mergeCell ref="R30:R31"/>
    <mergeCell ref="S30:S31"/>
    <mergeCell ref="T30:T31"/>
    <mergeCell ref="A92:D92"/>
    <mergeCell ref="A35:D35"/>
    <mergeCell ref="H54:H55"/>
    <mergeCell ref="I54:I55"/>
    <mergeCell ref="I67:I68"/>
    <mergeCell ref="A73:D73"/>
    <mergeCell ref="H67:H68"/>
  </mergeCells>
  <phoneticPr fontId="11"/>
  <pageMargins left="0.78740157480314965" right="0.78740157480314965" top="0.98425196850393704" bottom="0.98425196850393704" header="0.51181102362204722" footer="0.51181102362204722"/>
  <pageSetup paperSize="9" scale="3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
  <sheetViews>
    <sheetView view="pageBreakPreview" topLeftCell="A19" zoomScaleNormal="100" zoomScaleSheetLayoutView="100" workbookViewId="0">
      <selection activeCell="M6" sqref="M6"/>
    </sheetView>
  </sheetViews>
  <sheetFormatPr defaultColWidth="10.28515625" defaultRowHeight="13.5"/>
  <cols>
    <col min="1" max="1" width="3.85546875" style="185" customWidth="1"/>
    <col min="2" max="2" width="17" style="185" customWidth="1"/>
    <col min="3" max="4" width="8.28515625" style="185" bestFit="1" customWidth="1"/>
    <col min="5" max="6" width="8.28515625" style="185" hidden="1" customWidth="1"/>
    <col min="7" max="7" width="8.28515625" style="185" customWidth="1"/>
    <col min="8" max="9" width="8.28515625" style="185" hidden="1" customWidth="1"/>
    <col min="10" max="10" width="8.28515625" style="185" customWidth="1"/>
    <col min="11" max="11" width="8.28515625" style="185" hidden="1" customWidth="1"/>
    <col min="12" max="12" width="8.28515625" style="185" bestFit="1" customWidth="1"/>
    <col min="13" max="13" width="8.28515625" style="185" customWidth="1"/>
    <col min="14" max="14" width="8.28515625" style="185" bestFit="1" customWidth="1"/>
    <col min="15" max="15" width="8.28515625" style="185" customWidth="1"/>
    <col min="16" max="16" width="5.28515625" style="185" customWidth="1"/>
    <col min="17" max="17" width="12" style="185" bestFit="1" customWidth="1"/>
    <col min="18" max="261" width="10.28515625" style="185"/>
    <col min="262" max="262" width="17" style="185" customWidth="1"/>
    <col min="263" max="271" width="8.28515625" style="185" bestFit="1" customWidth="1"/>
    <col min="272" max="273" width="12" style="185" bestFit="1" customWidth="1"/>
    <col min="274" max="517" width="10.28515625" style="185"/>
    <col min="518" max="518" width="17" style="185" customWidth="1"/>
    <col min="519" max="527" width="8.28515625" style="185" bestFit="1" customWidth="1"/>
    <col min="528" max="529" width="12" style="185" bestFit="1" customWidth="1"/>
    <col min="530" max="773" width="10.28515625" style="185"/>
    <col min="774" max="774" width="17" style="185" customWidth="1"/>
    <col min="775" max="783" width="8.28515625" style="185" bestFit="1" customWidth="1"/>
    <col min="784" max="785" width="12" style="185" bestFit="1" customWidth="1"/>
    <col min="786" max="1029" width="10.28515625" style="185"/>
    <col min="1030" max="1030" width="17" style="185" customWidth="1"/>
    <col min="1031" max="1039" width="8.28515625" style="185" bestFit="1" customWidth="1"/>
    <col min="1040" max="1041" width="12" style="185" bestFit="1" customWidth="1"/>
    <col min="1042" max="1285" width="10.28515625" style="185"/>
    <col min="1286" max="1286" width="17" style="185" customWidth="1"/>
    <col min="1287" max="1295" width="8.28515625" style="185" bestFit="1" customWidth="1"/>
    <col min="1296" max="1297" width="12" style="185" bestFit="1" customWidth="1"/>
    <col min="1298" max="1541" width="10.28515625" style="185"/>
    <col min="1542" max="1542" width="17" style="185" customWidth="1"/>
    <col min="1543" max="1551" width="8.28515625" style="185" bestFit="1" customWidth="1"/>
    <col min="1552" max="1553" width="12" style="185" bestFit="1" customWidth="1"/>
    <col min="1554" max="1797" width="10.28515625" style="185"/>
    <col min="1798" max="1798" width="17" style="185" customWidth="1"/>
    <col min="1799" max="1807" width="8.28515625" style="185" bestFit="1" customWidth="1"/>
    <col min="1808" max="1809" width="12" style="185" bestFit="1" customWidth="1"/>
    <col min="1810" max="2053" width="10.28515625" style="185"/>
    <col min="2054" max="2054" width="17" style="185" customWidth="1"/>
    <col min="2055" max="2063" width="8.28515625" style="185" bestFit="1" customWidth="1"/>
    <col min="2064" max="2065" width="12" style="185" bestFit="1" customWidth="1"/>
    <col min="2066" max="2309" width="10.28515625" style="185"/>
    <col min="2310" max="2310" width="17" style="185" customWidth="1"/>
    <col min="2311" max="2319" width="8.28515625" style="185" bestFit="1" customWidth="1"/>
    <col min="2320" max="2321" width="12" style="185" bestFit="1" customWidth="1"/>
    <col min="2322" max="2565" width="10.28515625" style="185"/>
    <col min="2566" max="2566" width="17" style="185" customWidth="1"/>
    <col min="2567" max="2575" width="8.28515625" style="185" bestFit="1" customWidth="1"/>
    <col min="2576" max="2577" width="12" style="185" bestFit="1" customWidth="1"/>
    <col min="2578" max="2821" width="10.28515625" style="185"/>
    <col min="2822" max="2822" width="17" style="185" customWidth="1"/>
    <col min="2823" max="2831" width="8.28515625" style="185" bestFit="1" customWidth="1"/>
    <col min="2832" max="2833" width="12" style="185" bestFit="1" customWidth="1"/>
    <col min="2834" max="3077" width="10.28515625" style="185"/>
    <col min="3078" max="3078" width="17" style="185" customWidth="1"/>
    <col min="3079" max="3087" width="8.28515625" style="185" bestFit="1" customWidth="1"/>
    <col min="3088" max="3089" width="12" style="185" bestFit="1" customWidth="1"/>
    <col min="3090" max="3333" width="10.28515625" style="185"/>
    <col min="3334" max="3334" width="17" style="185" customWidth="1"/>
    <col min="3335" max="3343" width="8.28515625" style="185" bestFit="1" customWidth="1"/>
    <col min="3344" max="3345" width="12" style="185" bestFit="1" customWidth="1"/>
    <col min="3346" max="3589" width="10.28515625" style="185"/>
    <col min="3590" max="3590" width="17" style="185" customWidth="1"/>
    <col min="3591" max="3599" width="8.28515625" style="185" bestFit="1" customWidth="1"/>
    <col min="3600" max="3601" width="12" style="185" bestFit="1" customWidth="1"/>
    <col min="3602" max="3845" width="10.28515625" style="185"/>
    <col min="3846" max="3846" width="17" style="185" customWidth="1"/>
    <col min="3847" max="3855" width="8.28515625" style="185" bestFit="1" customWidth="1"/>
    <col min="3856" max="3857" width="12" style="185" bestFit="1" customWidth="1"/>
    <col min="3858" max="4101" width="10.28515625" style="185"/>
    <col min="4102" max="4102" width="17" style="185" customWidth="1"/>
    <col min="4103" max="4111" width="8.28515625" style="185" bestFit="1" customWidth="1"/>
    <col min="4112" max="4113" width="12" style="185" bestFit="1" customWidth="1"/>
    <col min="4114" max="4357" width="10.28515625" style="185"/>
    <col min="4358" max="4358" width="17" style="185" customWidth="1"/>
    <col min="4359" max="4367" width="8.28515625" style="185" bestFit="1" customWidth="1"/>
    <col min="4368" max="4369" width="12" style="185" bestFit="1" customWidth="1"/>
    <col min="4370" max="4613" width="10.28515625" style="185"/>
    <col min="4614" max="4614" width="17" style="185" customWidth="1"/>
    <col min="4615" max="4623" width="8.28515625" style="185" bestFit="1" customWidth="1"/>
    <col min="4624" max="4625" width="12" style="185" bestFit="1" customWidth="1"/>
    <col min="4626" max="4869" width="10.28515625" style="185"/>
    <col min="4870" max="4870" width="17" style="185" customWidth="1"/>
    <col min="4871" max="4879" width="8.28515625" style="185" bestFit="1" customWidth="1"/>
    <col min="4880" max="4881" width="12" style="185" bestFit="1" customWidth="1"/>
    <col min="4882" max="5125" width="10.28515625" style="185"/>
    <col min="5126" max="5126" width="17" style="185" customWidth="1"/>
    <col min="5127" max="5135" width="8.28515625" style="185" bestFit="1" customWidth="1"/>
    <col min="5136" max="5137" width="12" style="185" bestFit="1" customWidth="1"/>
    <col min="5138" max="5381" width="10.28515625" style="185"/>
    <col min="5382" max="5382" width="17" style="185" customWidth="1"/>
    <col min="5383" max="5391" width="8.28515625" style="185" bestFit="1" customWidth="1"/>
    <col min="5392" max="5393" width="12" style="185" bestFit="1" customWidth="1"/>
    <col min="5394" max="5637" width="10.28515625" style="185"/>
    <col min="5638" max="5638" width="17" style="185" customWidth="1"/>
    <col min="5639" max="5647" width="8.28515625" style="185" bestFit="1" customWidth="1"/>
    <col min="5648" max="5649" width="12" style="185" bestFit="1" customWidth="1"/>
    <col min="5650" max="5893" width="10.28515625" style="185"/>
    <col min="5894" max="5894" width="17" style="185" customWidth="1"/>
    <col min="5895" max="5903" width="8.28515625" style="185" bestFit="1" customWidth="1"/>
    <col min="5904" max="5905" width="12" style="185" bestFit="1" customWidth="1"/>
    <col min="5906" max="6149" width="10.28515625" style="185"/>
    <col min="6150" max="6150" width="17" style="185" customWidth="1"/>
    <col min="6151" max="6159" width="8.28515625" style="185" bestFit="1" customWidth="1"/>
    <col min="6160" max="6161" width="12" style="185" bestFit="1" customWidth="1"/>
    <col min="6162" max="6405" width="10.28515625" style="185"/>
    <col min="6406" max="6406" width="17" style="185" customWidth="1"/>
    <col min="6407" max="6415" width="8.28515625" style="185" bestFit="1" customWidth="1"/>
    <col min="6416" max="6417" width="12" style="185" bestFit="1" customWidth="1"/>
    <col min="6418" max="6661" width="10.28515625" style="185"/>
    <col min="6662" max="6662" width="17" style="185" customWidth="1"/>
    <col min="6663" max="6671" width="8.28515625" style="185" bestFit="1" customWidth="1"/>
    <col min="6672" max="6673" width="12" style="185" bestFit="1" customWidth="1"/>
    <col min="6674" max="6917" width="10.28515625" style="185"/>
    <col min="6918" max="6918" width="17" style="185" customWidth="1"/>
    <col min="6919" max="6927" width="8.28515625" style="185" bestFit="1" customWidth="1"/>
    <col min="6928" max="6929" width="12" style="185" bestFit="1" customWidth="1"/>
    <col min="6930" max="7173" width="10.28515625" style="185"/>
    <col min="7174" max="7174" width="17" style="185" customWidth="1"/>
    <col min="7175" max="7183" width="8.28515625" style="185" bestFit="1" customWidth="1"/>
    <col min="7184" max="7185" width="12" style="185" bestFit="1" customWidth="1"/>
    <col min="7186" max="7429" width="10.28515625" style="185"/>
    <col min="7430" max="7430" width="17" style="185" customWidth="1"/>
    <col min="7431" max="7439" width="8.28515625" style="185" bestFit="1" customWidth="1"/>
    <col min="7440" max="7441" width="12" style="185" bestFit="1" customWidth="1"/>
    <col min="7442" max="7685" width="10.28515625" style="185"/>
    <col min="7686" max="7686" width="17" style="185" customWidth="1"/>
    <col min="7687" max="7695" width="8.28515625" style="185" bestFit="1" customWidth="1"/>
    <col min="7696" max="7697" width="12" style="185" bestFit="1" customWidth="1"/>
    <col min="7698" max="7941" width="10.28515625" style="185"/>
    <col min="7942" max="7942" width="17" style="185" customWidth="1"/>
    <col min="7943" max="7951" width="8.28515625" style="185" bestFit="1" customWidth="1"/>
    <col min="7952" max="7953" width="12" style="185" bestFit="1" customWidth="1"/>
    <col min="7954" max="8197" width="10.28515625" style="185"/>
    <col min="8198" max="8198" width="17" style="185" customWidth="1"/>
    <col min="8199" max="8207" width="8.28515625" style="185" bestFit="1" customWidth="1"/>
    <col min="8208" max="8209" width="12" style="185" bestFit="1" customWidth="1"/>
    <col min="8210" max="8453" width="10.28515625" style="185"/>
    <col min="8454" max="8454" width="17" style="185" customWidth="1"/>
    <col min="8455" max="8463" width="8.28515625" style="185" bestFit="1" customWidth="1"/>
    <col min="8464" max="8465" width="12" style="185" bestFit="1" customWidth="1"/>
    <col min="8466" max="8709" width="10.28515625" style="185"/>
    <col min="8710" max="8710" width="17" style="185" customWidth="1"/>
    <col min="8711" max="8719" width="8.28515625" style="185" bestFit="1" customWidth="1"/>
    <col min="8720" max="8721" width="12" style="185" bestFit="1" customWidth="1"/>
    <col min="8722" max="8965" width="10.28515625" style="185"/>
    <col min="8966" max="8966" width="17" style="185" customWidth="1"/>
    <col min="8967" max="8975" width="8.28515625" style="185" bestFit="1" customWidth="1"/>
    <col min="8976" max="8977" width="12" style="185" bestFit="1" customWidth="1"/>
    <col min="8978" max="9221" width="10.28515625" style="185"/>
    <col min="9222" max="9222" width="17" style="185" customWidth="1"/>
    <col min="9223" max="9231" width="8.28515625" style="185" bestFit="1" customWidth="1"/>
    <col min="9232" max="9233" width="12" style="185" bestFit="1" customWidth="1"/>
    <col min="9234" max="9477" width="10.28515625" style="185"/>
    <col min="9478" max="9478" width="17" style="185" customWidth="1"/>
    <col min="9479" max="9487" width="8.28515625" style="185" bestFit="1" customWidth="1"/>
    <col min="9488" max="9489" width="12" style="185" bestFit="1" customWidth="1"/>
    <col min="9490" max="9733" width="10.28515625" style="185"/>
    <col min="9734" max="9734" width="17" style="185" customWidth="1"/>
    <col min="9735" max="9743" width="8.28515625" style="185" bestFit="1" customWidth="1"/>
    <col min="9744" max="9745" width="12" style="185" bestFit="1" customWidth="1"/>
    <col min="9746" max="9989" width="10.28515625" style="185"/>
    <col min="9990" max="9990" width="17" style="185" customWidth="1"/>
    <col min="9991" max="9999" width="8.28515625" style="185" bestFit="1" customWidth="1"/>
    <col min="10000" max="10001" width="12" style="185" bestFit="1" customWidth="1"/>
    <col min="10002" max="10245" width="10.28515625" style="185"/>
    <col min="10246" max="10246" width="17" style="185" customWidth="1"/>
    <col min="10247" max="10255" width="8.28515625" style="185" bestFit="1" customWidth="1"/>
    <col min="10256" max="10257" width="12" style="185" bestFit="1" customWidth="1"/>
    <col min="10258" max="10501" width="10.28515625" style="185"/>
    <col min="10502" max="10502" width="17" style="185" customWidth="1"/>
    <col min="10503" max="10511" width="8.28515625" style="185" bestFit="1" customWidth="1"/>
    <col min="10512" max="10513" width="12" style="185" bestFit="1" customWidth="1"/>
    <col min="10514" max="10757" width="10.28515625" style="185"/>
    <col min="10758" max="10758" width="17" style="185" customWidth="1"/>
    <col min="10759" max="10767" width="8.28515625" style="185" bestFit="1" customWidth="1"/>
    <col min="10768" max="10769" width="12" style="185" bestFit="1" customWidth="1"/>
    <col min="10770" max="11013" width="10.28515625" style="185"/>
    <col min="11014" max="11014" width="17" style="185" customWidth="1"/>
    <col min="11015" max="11023" width="8.28515625" style="185" bestFit="1" customWidth="1"/>
    <col min="11024" max="11025" width="12" style="185" bestFit="1" customWidth="1"/>
    <col min="11026" max="11269" width="10.28515625" style="185"/>
    <col min="11270" max="11270" width="17" style="185" customWidth="1"/>
    <col min="11271" max="11279" width="8.28515625" style="185" bestFit="1" customWidth="1"/>
    <col min="11280" max="11281" width="12" style="185" bestFit="1" customWidth="1"/>
    <col min="11282" max="11525" width="10.28515625" style="185"/>
    <col min="11526" max="11526" width="17" style="185" customWidth="1"/>
    <col min="11527" max="11535" width="8.28515625" style="185" bestFit="1" customWidth="1"/>
    <col min="11536" max="11537" width="12" style="185" bestFit="1" customWidth="1"/>
    <col min="11538" max="11781" width="10.28515625" style="185"/>
    <col min="11782" max="11782" width="17" style="185" customWidth="1"/>
    <col min="11783" max="11791" width="8.28515625" style="185" bestFit="1" customWidth="1"/>
    <col min="11792" max="11793" width="12" style="185" bestFit="1" customWidth="1"/>
    <col min="11794" max="12037" width="10.28515625" style="185"/>
    <col min="12038" max="12038" width="17" style="185" customWidth="1"/>
    <col min="12039" max="12047" width="8.28515625" style="185" bestFit="1" customWidth="1"/>
    <col min="12048" max="12049" width="12" style="185" bestFit="1" customWidth="1"/>
    <col min="12050" max="12293" width="10.28515625" style="185"/>
    <col min="12294" max="12294" width="17" style="185" customWidth="1"/>
    <col min="12295" max="12303" width="8.28515625" style="185" bestFit="1" customWidth="1"/>
    <col min="12304" max="12305" width="12" style="185" bestFit="1" customWidth="1"/>
    <col min="12306" max="12549" width="10.28515625" style="185"/>
    <col min="12550" max="12550" width="17" style="185" customWidth="1"/>
    <col min="12551" max="12559" width="8.28515625" style="185" bestFit="1" customWidth="1"/>
    <col min="12560" max="12561" width="12" style="185" bestFit="1" customWidth="1"/>
    <col min="12562" max="12805" width="10.28515625" style="185"/>
    <col min="12806" max="12806" width="17" style="185" customWidth="1"/>
    <col min="12807" max="12815" width="8.28515625" style="185" bestFit="1" customWidth="1"/>
    <col min="12816" max="12817" width="12" style="185" bestFit="1" customWidth="1"/>
    <col min="12818" max="13061" width="10.28515625" style="185"/>
    <col min="13062" max="13062" width="17" style="185" customWidth="1"/>
    <col min="13063" max="13071" width="8.28515625" style="185" bestFit="1" customWidth="1"/>
    <col min="13072" max="13073" width="12" style="185" bestFit="1" customWidth="1"/>
    <col min="13074" max="13317" width="10.28515625" style="185"/>
    <col min="13318" max="13318" width="17" style="185" customWidth="1"/>
    <col min="13319" max="13327" width="8.28515625" style="185" bestFit="1" customWidth="1"/>
    <col min="13328" max="13329" width="12" style="185" bestFit="1" customWidth="1"/>
    <col min="13330" max="13573" width="10.28515625" style="185"/>
    <col min="13574" max="13574" width="17" style="185" customWidth="1"/>
    <col min="13575" max="13583" width="8.28515625" style="185" bestFit="1" customWidth="1"/>
    <col min="13584" max="13585" width="12" style="185" bestFit="1" customWidth="1"/>
    <col min="13586" max="13829" width="10.28515625" style="185"/>
    <col min="13830" max="13830" width="17" style="185" customWidth="1"/>
    <col min="13831" max="13839" width="8.28515625" style="185" bestFit="1" customWidth="1"/>
    <col min="13840" max="13841" width="12" style="185" bestFit="1" customWidth="1"/>
    <col min="13842" max="14085" width="10.28515625" style="185"/>
    <col min="14086" max="14086" width="17" style="185" customWidth="1"/>
    <col min="14087" max="14095" width="8.28515625" style="185" bestFit="1" customWidth="1"/>
    <col min="14096" max="14097" width="12" style="185" bestFit="1" customWidth="1"/>
    <col min="14098" max="14341" width="10.28515625" style="185"/>
    <col min="14342" max="14342" width="17" style="185" customWidth="1"/>
    <col min="14343" max="14351" width="8.28515625" style="185" bestFit="1" customWidth="1"/>
    <col min="14352" max="14353" width="12" style="185" bestFit="1" customWidth="1"/>
    <col min="14354" max="14597" width="10.28515625" style="185"/>
    <col min="14598" max="14598" width="17" style="185" customWidth="1"/>
    <col min="14599" max="14607" width="8.28515625" style="185" bestFit="1" customWidth="1"/>
    <col min="14608" max="14609" width="12" style="185" bestFit="1" customWidth="1"/>
    <col min="14610" max="14853" width="10.28515625" style="185"/>
    <col min="14854" max="14854" width="17" style="185" customWidth="1"/>
    <col min="14855" max="14863" width="8.28515625" style="185" bestFit="1" customWidth="1"/>
    <col min="14864" max="14865" width="12" style="185" bestFit="1" customWidth="1"/>
    <col min="14866" max="15109" width="10.28515625" style="185"/>
    <col min="15110" max="15110" width="17" style="185" customWidth="1"/>
    <col min="15111" max="15119" width="8.28515625" style="185" bestFit="1" customWidth="1"/>
    <col min="15120" max="15121" width="12" style="185" bestFit="1" customWidth="1"/>
    <col min="15122" max="15365" width="10.28515625" style="185"/>
    <col min="15366" max="15366" width="17" style="185" customWidth="1"/>
    <col min="15367" max="15375" width="8.28515625" style="185" bestFit="1" customWidth="1"/>
    <col min="15376" max="15377" width="12" style="185" bestFit="1" customWidth="1"/>
    <col min="15378" max="15621" width="10.28515625" style="185"/>
    <col min="15622" max="15622" width="17" style="185" customWidth="1"/>
    <col min="15623" max="15631" width="8.28515625" style="185" bestFit="1" customWidth="1"/>
    <col min="15632" max="15633" width="12" style="185" bestFit="1" customWidth="1"/>
    <col min="15634" max="15877" width="10.28515625" style="185"/>
    <col min="15878" max="15878" width="17" style="185" customWidth="1"/>
    <col min="15879" max="15887" width="8.28515625" style="185" bestFit="1" customWidth="1"/>
    <col min="15888" max="15889" width="12" style="185" bestFit="1" customWidth="1"/>
    <col min="15890" max="16133" width="10.28515625" style="185"/>
    <col min="16134" max="16134" width="17" style="185" customWidth="1"/>
    <col min="16135" max="16143" width="8.28515625" style="185" bestFit="1" customWidth="1"/>
    <col min="16144" max="16145" width="12" style="185" bestFit="1" customWidth="1"/>
    <col min="16146" max="16384" width="10.28515625" style="185"/>
  </cols>
  <sheetData>
    <row r="2" spans="2:17">
      <c r="B2" s="537" t="s">
        <v>68</v>
      </c>
      <c r="C2" s="537"/>
      <c r="D2" s="537"/>
      <c r="E2" s="537"/>
      <c r="F2" s="183"/>
      <c r="G2" s="183"/>
      <c r="H2" s="183"/>
      <c r="I2" s="184"/>
      <c r="J2" s="184"/>
      <c r="K2" s="184"/>
      <c r="L2" s="184"/>
      <c r="M2" s="184"/>
      <c r="N2" s="184"/>
      <c r="O2" s="184"/>
    </row>
    <row r="3" spans="2:17">
      <c r="B3" s="186"/>
      <c r="C3" s="187" t="s">
        <v>69</v>
      </c>
      <c r="D3" s="187" t="s">
        <v>70</v>
      </c>
      <c r="E3" s="187" t="s">
        <v>71</v>
      </c>
      <c r="F3" s="187" t="s">
        <v>72</v>
      </c>
      <c r="G3" s="187" t="s">
        <v>86</v>
      </c>
      <c r="H3" s="187" t="s">
        <v>73</v>
      </c>
      <c r="I3" s="187" t="s">
        <v>75</v>
      </c>
      <c r="J3" s="187" t="s">
        <v>128</v>
      </c>
      <c r="K3" s="187" t="s">
        <v>134</v>
      </c>
      <c r="L3" s="187" t="s">
        <v>221</v>
      </c>
      <c r="M3" s="187" t="s">
        <v>225</v>
      </c>
      <c r="N3" s="187" t="s">
        <v>238</v>
      </c>
      <c r="O3" s="187" t="s">
        <v>298</v>
      </c>
    </row>
    <row r="4" spans="2:17">
      <c r="B4" s="188" t="s">
        <v>176</v>
      </c>
      <c r="C4" s="189">
        <v>777637</v>
      </c>
      <c r="D4" s="189">
        <v>738656</v>
      </c>
      <c r="E4" s="189">
        <v>686522</v>
      </c>
      <c r="F4" s="189">
        <v>635039</v>
      </c>
      <c r="G4" s="189">
        <v>613049</v>
      </c>
      <c r="H4" s="189">
        <v>618500</v>
      </c>
      <c r="I4" s="189">
        <v>652624</v>
      </c>
      <c r="J4" s="189">
        <v>670787</v>
      </c>
      <c r="K4" s="189">
        <v>623613</v>
      </c>
      <c r="L4" s="189">
        <v>641870</v>
      </c>
      <c r="M4" s="189">
        <v>659256</v>
      </c>
      <c r="N4" s="189">
        <v>660088</v>
      </c>
      <c r="O4" s="189">
        <v>659473</v>
      </c>
    </row>
    <row r="5" spans="2:17" ht="19.5">
      <c r="B5" s="188" t="s">
        <v>177</v>
      </c>
      <c r="C5" s="189">
        <v>12844</v>
      </c>
      <c r="D5" s="189">
        <v>15155</v>
      </c>
      <c r="E5" s="189">
        <v>76659</v>
      </c>
      <c r="F5" s="189">
        <v>121116</v>
      </c>
      <c r="G5" s="189">
        <f>80475+61138</f>
        <v>141613</v>
      </c>
      <c r="H5" s="189">
        <v>116929</v>
      </c>
      <c r="I5" s="189">
        <v>77358</v>
      </c>
      <c r="J5" s="189">
        <v>42503</v>
      </c>
      <c r="K5" s="189">
        <f>38032+39765</f>
        <v>77797</v>
      </c>
      <c r="L5" s="189">
        <f>48640+95396</f>
        <v>144036</v>
      </c>
      <c r="M5" s="189">
        <f>36787+75915</f>
        <v>112702</v>
      </c>
      <c r="N5" s="189">
        <f>41891+68397</f>
        <v>110288</v>
      </c>
      <c r="O5" s="189">
        <v>88364</v>
      </c>
    </row>
    <row r="6" spans="2:17">
      <c r="B6" s="190" t="s">
        <v>77</v>
      </c>
      <c r="C6" s="189">
        <v>96734</v>
      </c>
      <c r="D6" s="189">
        <v>131726</v>
      </c>
      <c r="E6" s="189">
        <v>112505</v>
      </c>
      <c r="F6" s="189">
        <v>104463</v>
      </c>
      <c r="G6" s="189">
        <v>98386</v>
      </c>
      <c r="H6" s="189">
        <v>110305</v>
      </c>
      <c r="I6" s="189">
        <v>113420</v>
      </c>
      <c r="J6" s="189">
        <v>102339</v>
      </c>
      <c r="K6" s="189">
        <f>7584+54084+8218</f>
        <v>69886</v>
      </c>
      <c r="L6" s="189">
        <f>6305+58065+1964</f>
        <v>66334</v>
      </c>
      <c r="M6" s="189">
        <f>5987+63133+1804</f>
        <v>70924</v>
      </c>
      <c r="N6" s="217">
        <f>6149+1622+87348</f>
        <v>95119</v>
      </c>
      <c r="O6" s="217">
        <f>86249-850</f>
        <v>85399</v>
      </c>
    </row>
    <row r="7" spans="2:17">
      <c r="B7" s="190" t="s">
        <v>78</v>
      </c>
      <c r="C7" s="189">
        <f t="shared" ref="C7:J7" si="0">SUM(C4:C6)</f>
        <v>887215</v>
      </c>
      <c r="D7" s="189">
        <f t="shared" si="0"/>
        <v>885537</v>
      </c>
      <c r="E7" s="189">
        <f t="shared" si="0"/>
        <v>875686</v>
      </c>
      <c r="F7" s="189">
        <f>SUM(F4:F6)</f>
        <v>860618</v>
      </c>
      <c r="G7" s="189">
        <f>SUM(G4:G6)</f>
        <v>853048</v>
      </c>
      <c r="H7" s="189">
        <f t="shared" si="0"/>
        <v>845734</v>
      </c>
      <c r="I7" s="189">
        <f t="shared" si="0"/>
        <v>843402</v>
      </c>
      <c r="J7" s="189">
        <f t="shared" si="0"/>
        <v>815629</v>
      </c>
      <c r="K7" s="189">
        <f>SUM(K4:K6)</f>
        <v>771296</v>
      </c>
      <c r="L7" s="189">
        <f>SUM(L4:L6)</f>
        <v>852240</v>
      </c>
      <c r="M7" s="189">
        <f>SUM(M4:M6)</f>
        <v>842882</v>
      </c>
      <c r="N7" s="189">
        <f>SUM(N4:N6)</f>
        <v>865495</v>
      </c>
      <c r="O7" s="189">
        <f>SUM(O4:O6)</f>
        <v>833236</v>
      </c>
      <c r="P7" s="191"/>
      <c r="Q7" s="191"/>
    </row>
    <row r="8" spans="2:17">
      <c r="B8" s="184"/>
      <c r="C8" s="192"/>
      <c r="D8" s="192"/>
      <c r="E8" s="192"/>
      <c r="F8" s="192"/>
      <c r="G8" s="192"/>
      <c r="H8" s="192"/>
      <c r="I8" s="192"/>
      <c r="J8" s="192"/>
      <c r="K8" s="192"/>
      <c r="L8" s="192"/>
      <c r="M8" s="192"/>
      <c r="N8" s="192"/>
      <c r="O8" s="192"/>
      <c r="P8" s="193"/>
      <c r="Q8" s="193"/>
    </row>
    <row r="9" spans="2:17">
      <c r="B9" s="537" t="s">
        <v>68</v>
      </c>
      <c r="C9" s="537"/>
      <c r="D9" s="537"/>
      <c r="E9" s="537"/>
      <c r="F9" s="183"/>
      <c r="G9" s="183"/>
      <c r="H9" s="183"/>
      <c r="I9" s="184"/>
      <c r="J9" s="184"/>
      <c r="K9" s="184"/>
      <c r="L9" s="184"/>
      <c r="M9" s="184"/>
      <c r="N9" s="184"/>
      <c r="O9" s="184"/>
    </row>
    <row r="10" spans="2:17">
      <c r="B10" s="186"/>
      <c r="C10" s="187" t="s">
        <v>69</v>
      </c>
      <c r="D10" s="187" t="s">
        <v>70</v>
      </c>
      <c r="E10" s="187" t="s">
        <v>71</v>
      </c>
      <c r="F10" s="187" t="s">
        <v>72</v>
      </c>
      <c r="G10" s="187" t="s">
        <v>86</v>
      </c>
      <c r="H10" s="187" t="s">
        <v>73</v>
      </c>
      <c r="I10" s="187" t="s">
        <v>75</v>
      </c>
      <c r="J10" s="187" t="s">
        <v>128</v>
      </c>
      <c r="K10" s="187" t="s">
        <v>134</v>
      </c>
      <c r="L10" s="187" t="str">
        <f>L3</f>
        <v>25決算</v>
      </c>
      <c r="M10" s="187" t="str">
        <f t="shared" ref="M10:O10" si="1">M3</f>
        <v>26決算</v>
      </c>
      <c r="N10" s="187" t="str">
        <f t="shared" si="1"/>
        <v>27決算</v>
      </c>
      <c r="O10" s="187" t="str">
        <f t="shared" si="1"/>
        <v>28決算</v>
      </c>
    </row>
    <row r="11" spans="2:17">
      <c r="B11" s="188" t="s">
        <v>176</v>
      </c>
      <c r="C11" s="194">
        <v>7776</v>
      </c>
      <c r="D11" s="194">
        <v>7387</v>
      </c>
      <c r="E11" s="194">
        <v>6865</v>
      </c>
      <c r="F11" s="194">
        <v>6350</v>
      </c>
      <c r="G11" s="194">
        <v>6130</v>
      </c>
      <c r="H11" s="194">
        <v>6185</v>
      </c>
      <c r="I11" s="194">
        <v>6526</v>
      </c>
      <c r="J11" s="194">
        <v>6708</v>
      </c>
      <c r="K11" s="194">
        <v>6236</v>
      </c>
      <c r="L11" s="204">
        <v>6419</v>
      </c>
      <c r="M11" s="194">
        <v>6593</v>
      </c>
      <c r="N11" s="194">
        <v>6601</v>
      </c>
      <c r="O11" s="194">
        <v>6595</v>
      </c>
    </row>
    <row r="12" spans="2:17" ht="19.5">
      <c r="B12" s="188" t="s">
        <v>177</v>
      </c>
      <c r="C12" s="194">
        <v>128</v>
      </c>
      <c r="D12" s="194">
        <v>151</v>
      </c>
      <c r="E12" s="194">
        <v>767</v>
      </c>
      <c r="F12" s="194">
        <v>1211</v>
      </c>
      <c r="G12" s="194">
        <v>1416</v>
      </c>
      <c r="H12" s="194">
        <v>1169</v>
      </c>
      <c r="I12" s="194">
        <v>774</v>
      </c>
      <c r="J12" s="194">
        <v>425</v>
      </c>
      <c r="K12" s="194">
        <v>778</v>
      </c>
      <c r="L12" s="204">
        <v>1440</v>
      </c>
      <c r="M12" s="194">
        <v>1127</v>
      </c>
      <c r="N12" s="194">
        <v>1103</v>
      </c>
      <c r="O12" s="194">
        <v>883</v>
      </c>
    </row>
    <row r="13" spans="2:17">
      <c r="B13" s="190" t="s">
        <v>77</v>
      </c>
      <c r="C13" s="194">
        <v>968</v>
      </c>
      <c r="D13" s="194">
        <v>1317</v>
      </c>
      <c r="E13" s="194">
        <v>1125</v>
      </c>
      <c r="F13" s="194">
        <v>1045</v>
      </c>
      <c r="G13" s="194">
        <v>984</v>
      </c>
      <c r="H13" s="194">
        <v>1103</v>
      </c>
      <c r="I13" s="194">
        <v>1134</v>
      </c>
      <c r="J13" s="194">
        <v>1023</v>
      </c>
      <c r="K13" s="194">
        <v>699</v>
      </c>
      <c r="L13" s="204">
        <v>663</v>
      </c>
      <c r="M13" s="194">
        <v>709</v>
      </c>
      <c r="N13" s="194">
        <v>951</v>
      </c>
      <c r="O13" s="194">
        <v>854</v>
      </c>
    </row>
    <row r="14" spans="2:17">
      <c r="B14" s="190" t="s">
        <v>78</v>
      </c>
      <c r="C14" s="194">
        <f t="shared" ref="C14:K14" si="2">SUM(C11:C13)</f>
        <v>8872</v>
      </c>
      <c r="D14" s="194">
        <f t="shared" si="2"/>
        <v>8855</v>
      </c>
      <c r="E14" s="194">
        <f t="shared" si="2"/>
        <v>8757</v>
      </c>
      <c r="F14" s="194">
        <f t="shared" si="2"/>
        <v>8606</v>
      </c>
      <c r="G14" s="194">
        <f t="shared" si="2"/>
        <v>8530</v>
      </c>
      <c r="H14" s="194">
        <f t="shared" si="2"/>
        <v>8457</v>
      </c>
      <c r="I14" s="194">
        <f t="shared" si="2"/>
        <v>8434</v>
      </c>
      <c r="J14" s="194">
        <f t="shared" si="2"/>
        <v>8156</v>
      </c>
      <c r="K14" s="194">
        <f t="shared" si="2"/>
        <v>7713</v>
      </c>
      <c r="L14" s="204">
        <f>SUM(L11:L13)</f>
        <v>8522</v>
      </c>
      <c r="M14" s="194">
        <f>SUM(M11:M13)</f>
        <v>8429</v>
      </c>
      <c r="N14" s="194">
        <f>SUM(N11:N13)</f>
        <v>8655</v>
      </c>
      <c r="O14" s="194">
        <f>SUM(O11:O13)</f>
        <v>8332</v>
      </c>
    </row>
    <row r="15" spans="2:17">
      <c r="B15" s="184"/>
      <c r="C15" s="184"/>
      <c r="D15" s="184"/>
      <c r="E15" s="184"/>
      <c r="F15" s="184"/>
      <c r="G15" s="184"/>
      <c r="H15" s="184"/>
      <c r="I15" s="184"/>
      <c r="J15" s="184"/>
      <c r="K15" s="184"/>
      <c r="L15" s="184"/>
      <c r="M15" s="184"/>
      <c r="N15" s="184"/>
      <c r="O15" s="184"/>
    </row>
  </sheetData>
  <mergeCells count="2">
    <mergeCell ref="B2:E2"/>
    <mergeCell ref="B9:E9"/>
  </mergeCells>
  <phoneticPr fontId="11"/>
  <pageMargins left="0.78740157480314965" right="0.78740157480314965" top="0.98425196850393704" bottom="0.98425196850393704" header="0.51181102362204722" footer="0.51181102362204722"/>
  <pageSetup paperSize="9"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67"/>
  <sheetViews>
    <sheetView view="pageBreakPreview" zoomScaleNormal="100" zoomScaleSheetLayoutView="100" workbookViewId="0">
      <pane ySplit="8" topLeftCell="A9" activePane="bottomLeft" state="frozen"/>
      <selection activeCell="D20" sqref="D20:H20"/>
      <selection pane="bottomLeft" activeCell="D20" sqref="D20:H20"/>
    </sheetView>
  </sheetViews>
  <sheetFormatPr defaultColWidth="9.85546875" defaultRowHeight="12.75"/>
  <cols>
    <col min="1" max="1" width="4.28515625" style="3" customWidth="1"/>
    <col min="2" max="2" width="11.85546875" style="3" customWidth="1"/>
    <col min="3" max="4" width="12.85546875" style="3" customWidth="1"/>
    <col min="5" max="5" width="10" style="3" customWidth="1"/>
    <col min="6" max="6" width="12.85546875" style="3" customWidth="1"/>
    <col min="7" max="7" width="2.85546875" style="3" customWidth="1"/>
    <col min="8" max="8" width="7.140625" style="4" customWidth="1"/>
    <col min="9" max="9" width="12.85546875" style="4" customWidth="1"/>
    <col min="10" max="10" width="12.85546875" style="3" customWidth="1"/>
    <col min="11" max="11" width="2.85546875" style="3" customWidth="1"/>
    <col min="12" max="12" width="7.85546875" style="4" customWidth="1"/>
    <col min="13" max="13" width="10" style="3" customWidth="1"/>
    <col min="14" max="14" width="12.5703125" style="4" customWidth="1"/>
    <col min="15" max="253" width="9.85546875" style="4" customWidth="1"/>
    <col min="254" max="16384" width="9.85546875" style="4"/>
  </cols>
  <sheetData>
    <row r="1" spans="1:14" ht="10.7" customHeight="1"/>
    <row r="2" spans="1:14" ht="10.7" customHeight="1"/>
    <row r="3" spans="1:14">
      <c r="A3" s="5" t="s">
        <v>16</v>
      </c>
    </row>
    <row r="4" spans="1:14">
      <c r="B4" s="91"/>
      <c r="C4" s="91"/>
      <c r="D4" s="91"/>
      <c r="E4" s="91"/>
      <c r="F4" s="91"/>
      <c r="G4" s="91"/>
      <c r="H4" s="91"/>
      <c r="I4" s="91"/>
      <c r="J4" s="91"/>
      <c r="K4" s="91"/>
      <c r="L4" s="91"/>
      <c r="N4" s="91" t="s">
        <v>36</v>
      </c>
    </row>
    <row r="5" spans="1:14">
      <c r="A5" s="5" t="s">
        <v>0</v>
      </c>
      <c r="B5" s="547" t="s">
        <v>121</v>
      </c>
      <c r="C5" s="6"/>
      <c r="D5" s="7"/>
      <c r="E5" s="8"/>
      <c r="F5" s="6"/>
      <c r="G5" s="9"/>
      <c r="H5" s="10"/>
      <c r="I5" s="6"/>
      <c r="J5" s="39" t="s">
        <v>17</v>
      </c>
      <c r="K5" s="11"/>
      <c r="L5" s="10"/>
      <c r="M5" s="96"/>
      <c r="N5" s="102"/>
    </row>
    <row r="6" spans="1:14">
      <c r="B6" s="548"/>
      <c r="C6" s="13" t="s">
        <v>37</v>
      </c>
      <c r="D6" s="13"/>
      <c r="E6" s="13"/>
      <c r="F6" s="13" t="s">
        <v>38</v>
      </c>
      <c r="G6" s="543" t="s">
        <v>18</v>
      </c>
      <c r="H6" s="544"/>
      <c r="I6" s="37" t="s">
        <v>124</v>
      </c>
      <c r="J6" s="37" t="s">
        <v>19</v>
      </c>
      <c r="K6" s="543" t="s">
        <v>20</v>
      </c>
      <c r="L6" s="544"/>
      <c r="M6" s="97" t="s">
        <v>122</v>
      </c>
      <c r="N6" s="103" t="s">
        <v>15</v>
      </c>
    </row>
    <row r="7" spans="1:14">
      <c r="B7" s="548"/>
      <c r="C7" s="12"/>
      <c r="D7" s="13" t="s">
        <v>39</v>
      </c>
      <c r="E7" s="13" t="s">
        <v>40</v>
      </c>
      <c r="F7" s="12"/>
      <c r="G7" s="543" t="s">
        <v>21</v>
      </c>
      <c r="H7" s="544"/>
      <c r="I7" s="37" t="s">
        <v>125</v>
      </c>
      <c r="J7" s="37" t="s">
        <v>22</v>
      </c>
      <c r="K7" s="543" t="s">
        <v>23</v>
      </c>
      <c r="L7" s="544"/>
      <c r="M7" s="97" t="s">
        <v>123</v>
      </c>
      <c r="N7" s="103" t="s">
        <v>180</v>
      </c>
    </row>
    <row r="8" spans="1:14">
      <c r="A8" s="5" t="s">
        <v>0</v>
      </c>
      <c r="B8" s="549"/>
      <c r="C8" s="15"/>
      <c r="D8" s="15"/>
      <c r="E8" s="15"/>
      <c r="F8" s="15"/>
      <c r="G8" s="545" t="s">
        <v>24</v>
      </c>
      <c r="H8" s="546"/>
      <c r="I8" s="38" t="s">
        <v>25</v>
      </c>
      <c r="J8" s="38" t="s">
        <v>26</v>
      </c>
      <c r="K8" s="545" t="s">
        <v>27</v>
      </c>
      <c r="L8" s="546"/>
      <c r="M8" s="98"/>
      <c r="N8" s="106"/>
    </row>
    <row r="9" spans="1:14" ht="16.5" customHeight="1">
      <c r="A9" s="5" t="s">
        <v>0</v>
      </c>
      <c r="B9" s="16" t="s">
        <v>28</v>
      </c>
      <c r="C9" s="17">
        <v>1220774</v>
      </c>
      <c r="D9" s="17">
        <v>620983</v>
      </c>
      <c r="E9" s="18">
        <v>50.9</v>
      </c>
      <c r="F9" s="17">
        <v>1219740</v>
      </c>
      <c r="G9" s="19"/>
      <c r="H9" s="20">
        <v>10.6</v>
      </c>
      <c r="I9" s="17">
        <v>1034</v>
      </c>
      <c r="J9" s="17">
        <v>1438</v>
      </c>
      <c r="K9" s="19" t="s">
        <v>41</v>
      </c>
      <c r="L9" s="21">
        <v>404</v>
      </c>
      <c r="M9" s="99">
        <v>84.9</v>
      </c>
      <c r="N9" s="104">
        <v>876239</v>
      </c>
    </row>
    <row r="10" spans="1:14" ht="16.5" customHeight="1">
      <c r="A10" s="5" t="s">
        <v>0</v>
      </c>
      <c r="B10" s="16" t="s">
        <v>29</v>
      </c>
      <c r="C10" s="17">
        <v>1265525</v>
      </c>
      <c r="D10" s="17">
        <v>679786</v>
      </c>
      <c r="E10" s="18">
        <v>53.7</v>
      </c>
      <c r="F10" s="17">
        <v>1264163</v>
      </c>
      <c r="G10" s="19"/>
      <c r="H10" s="20">
        <v>3.6</v>
      </c>
      <c r="I10" s="17">
        <v>1362</v>
      </c>
      <c r="J10" s="17">
        <v>1710</v>
      </c>
      <c r="K10" s="19" t="s">
        <v>41</v>
      </c>
      <c r="L10" s="21">
        <v>348</v>
      </c>
      <c r="M10" s="99">
        <v>77.3</v>
      </c>
      <c r="N10" s="104">
        <v>879291</v>
      </c>
    </row>
    <row r="11" spans="1:14" ht="16.5" customHeight="1">
      <c r="A11" s="5" t="s">
        <v>0</v>
      </c>
      <c r="B11" s="16" t="s">
        <v>30</v>
      </c>
      <c r="C11" s="17">
        <v>1382248</v>
      </c>
      <c r="D11" s="17">
        <v>724201</v>
      </c>
      <c r="E11" s="18">
        <v>52.4</v>
      </c>
      <c r="F11" s="17">
        <v>1379368</v>
      </c>
      <c r="G11" s="19"/>
      <c r="H11" s="20">
        <v>9.1</v>
      </c>
      <c r="I11" s="17">
        <v>2880</v>
      </c>
      <c r="J11" s="17">
        <v>1651</v>
      </c>
      <c r="K11" s="19"/>
      <c r="L11" s="22">
        <v>1229</v>
      </c>
      <c r="M11" s="99">
        <v>72</v>
      </c>
      <c r="N11" s="104">
        <v>870719</v>
      </c>
    </row>
    <row r="12" spans="1:14" ht="16.5" customHeight="1">
      <c r="A12" s="5" t="s">
        <v>0</v>
      </c>
      <c r="B12" s="16" t="s">
        <v>42</v>
      </c>
      <c r="C12" s="17">
        <v>1488594</v>
      </c>
      <c r="D12" s="17">
        <v>736281</v>
      </c>
      <c r="E12" s="18">
        <v>49.5</v>
      </c>
      <c r="F12" s="17">
        <v>1486053</v>
      </c>
      <c r="G12" s="19"/>
      <c r="H12" s="20">
        <v>7.7</v>
      </c>
      <c r="I12" s="17">
        <v>2541</v>
      </c>
      <c r="J12" s="17">
        <v>1358</v>
      </c>
      <c r="K12" s="19"/>
      <c r="L12" s="22">
        <v>1183</v>
      </c>
      <c r="M12" s="99">
        <v>71.5</v>
      </c>
      <c r="N12" s="104">
        <v>895350</v>
      </c>
    </row>
    <row r="13" spans="1:14" ht="16.5" customHeight="1">
      <c r="A13" s="5" t="s">
        <v>0</v>
      </c>
      <c r="B13" s="16" t="s">
        <v>31</v>
      </c>
      <c r="C13" s="17">
        <v>1531260</v>
      </c>
      <c r="D13" s="17">
        <v>767474</v>
      </c>
      <c r="E13" s="18">
        <v>50.1</v>
      </c>
      <c r="F13" s="17">
        <v>1528288</v>
      </c>
      <c r="G13" s="19"/>
      <c r="H13" s="20">
        <v>2.8</v>
      </c>
      <c r="I13" s="17">
        <v>2972</v>
      </c>
      <c r="J13" s="17">
        <v>1464</v>
      </c>
      <c r="K13" s="19"/>
      <c r="L13" s="22">
        <v>1508</v>
      </c>
      <c r="M13" s="99">
        <v>71.400000000000006</v>
      </c>
      <c r="N13" s="104">
        <v>893649</v>
      </c>
    </row>
    <row r="14" spans="1:14" ht="16.5" customHeight="1">
      <c r="A14" s="5" t="s">
        <v>0</v>
      </c>
      <c r="B14" s="16" t="s">
        <v>32</v>
      </c>
      <c r="C14" s="17">
        <v>1683780</v>
      </c>
      <c r="D14" s="17">
        <v>759701</v>
      </c>
      <c r="E14" s="18">
        <v>45.1</v>
      </c>
      <c r="F14" s="17">
        <v>1680665</v>
      </c>
      <c r="G14" s="19"/>
      <c r="H14" s="20">
        <v>10</v>
      </c>
      <c r="I14" s="17">
        <v>3115</v>
      </c>
      <c r="J14" s="17">
        <v>2280</v>
      </c>
      <c r="K14" s="19"/>
      <c r="L14" s="21">
        <v>835</v>
      </c>
      <c r="M14" s="99">
        <v>78.3</v>
      </c>
      <c r="N14" s="104">
        <v>1003877</v>
      </c>
    </row>
    <row r="15" spans="1:14" ht="16.5" customHeight="1">
      <c r="A15" s="5" t="s">
        <v>0</v>
      </c>
      <c r="B15" s="16" t="s">
        <v>33</v>
      </c>
      <c r="C15" s="17">
        <v>1782630</v>
      </c>
      <c r="D15" s="17">
        <v>727123</v>
      </c>
      <c r="E15" s="18">
        <v>40.799999999999997</v>
      </c>
      <c r="F15" s="17">
        <v>1775550</v>
      </c>
      <c r="G15" s="19"/>
      <c r="H15" s="20">
        <v>5.6</v>
      </c>
      <c r="I15" s="17">
        <v>7080</v>
      </c>
      <c r="J15" s="17">
        <v>6443</v>
      </c>
      <c r="K15" s="19"/>
      <c r="L15" s="21">
        <v>637</v>
      </c>
      <c r="M15" s="99">
        <v>87.9</v>
      </c>
      <c r="N15" s="104">
        <v>1108380</v>
      </c>
    </row>
    <row r="16" spans="1:14" ht="16.5" customHeight="1">
      <c r="A16" s="5" t="s">
        <v>0</v>
      </c>
      <c r="B16" s="14" t="s">
        <v>43</v>
      </c>
      <c r="C16" s="23">
        <v>1821553</v>
      </c>
      <c r="D16" s="23">
        <v>704115</v>
      </c>
      <c r="E16" s="24">
        <v>38.700000000000003</v>
      </c>
      <c r="F16" s="23">
        <v>1808682</v>
      </c>
      <c r="G16" s="25"/>
      <c r="H16" s="26">
        <v>1.9</v>
      </c>
      <c r="I16" s="23">
        <v>12871</v>
      </c>
      <c r="J16" s="23">
        <v>12441</v>
      </c>
      <c r="K16" s="25"/>
      <c r="L16" s="27">
        <v>430</v>
      </c>
      <c r="M16" s="100">
        <v>92.7</v>
      </c>
      <c r="N16" s="104">
        <v>1286618</v>
      </c>
    </row>
    <row r="17" spans="1:14" ht="16.5" customHeight="1">
      <c r="A17" s="5" t="s">
        <v>0</v>
      </c>
      <c r="B17" s="14" t="s">
        <v>44</v>
      </c>
      <c r="C17" s="23">
        <v>1911868</v>
      </c>
      <c r="D17" s="23">
        <v>735307</v>
      </c>
      <c r="E17" s="24">
        <v>38.5</v>
      </c>
      <c r="F17" s="23">
        <v>1902861</v>
      </c>
      <c r="G17" s="25"/>
      <c r="H17" s="26">
        <v>5.2</v>
      </c>
      <c r="I17" s="23">
        <v>9007</v>
      </c>
      <c r="J17" s="23">
        <v>8282</v>
      </c>
      <c r="K17" s="25"/>
      <c r="L17" s="27">
        <v>725</v>
      </c>
      <c r="M17" s="100">
        <v>90.9</v>
      </c>
      <c r="N17" s="104">
        <v>1526173</v>
      </c>
    </row>
    <row r="18" spans="1:14" ht="16.5" customHeight="1">
      <c r="A18" s="5" t="s">
        <v>0</v>
      </c>
      <c r="B18" s="14" t="s">
        <v>45</v>
      </c>
      <c r="C18" s="23">
        <v>1857783</v>
      </c>
      <c r="D18" s="23">
        <v>777637</v>
      </c>
      <c r="E18" s="24">
        <v>41.9</v>
      </c>
      <c r="F18" s="23">
        <v>1844325</v>
      </c>
      <c r="G18" s="25" t="s">
        <v>41</v>
      </c>
      <c r="H18" s="26">
        <v>3.1</v>
      </c>
      <c r="I18" s="23">
        <v>13458</v>
      </c>
      <c r="J18" s="23">
        <v>12541</v>
      </c>
      <c r="K18" s="25"/>
      <c r="L18" s="27">
        <v>917</v>
      </c>
      <c r="M18" s="100">
        <v>90.2</v>
      </c>
      <c r="N18" s="104">
        <v>1738255</v>
      </c>
    </row>
    <row r="19" spans="1:14" ht="16.5" customHeight="1">
      <c r="A19" s="5" t="s">
        <v>0</v>
      </c>
      <c r="B19" s="14" t="s">
        <v>46</v>
      </c>
      <c r="C19" s="23">
        <v>1860889</v>
      </c>
      <c r="D19" s="23">
        <v>775187</v>
      </c>
      <c r="E19" s="24">
        <v>41.7</v>
      </c>
      <c r="F19" s="23">
        <v>1852409</v>
      </c>
      <c r="G19" s="25"/>
      <c r="H19" s="26">
        <v>0.4</v>
      </c>
      <c r="I19" s="23">
        <v>8480</v>
      </c>
      <c r="J19" s="23">
        <v>7690</v>
      </c>
      <c r="K19" s="25"/>
      <c r="L19" s="27">
        <v>790</v>
      </c>
      <c r="M19" s="100">
        <v>95.4</v>
      </c>
      <c r="N19" s="104">
        <v>1962349</v>
      </c>
    </row>
    <row r="20" spans="1:14" ht="16.5" customHeight="1">
      <c r="A20" s="5" t="s">
        <v>0</v>
      </c>
      <c r="B20" s="14" t="s">
        <v>34</v>
      </c>
      <c r="C20" s="23">
        <v>1985575</v>
      </c>
      <c r="D20" s="23">
        <v>738656</v>
      </c>
      <c r="E20" s="24">
        <v>37.200000000000003</v>
      </c>
      <c r="F20" s="23">
        <v>1971451</v>
      </c>
      <c r="G20" s="25"/>
      <c r="H20" s="26">
        <v>6.4</v>
      </c>
      <c r="I20" s="23">
        <v>14124</v>
      </c>
      <c r="J20" s="23">
        <v>13602</v>
      </c>
      <c r="K20" s="25"/>
      <c r="L20" s="27">
        <v>522</v>
      </c>
      <c r="M20" s="100">
        <v>97.8</v>
      </c>
      <c r="N20" s="104">
        <v>2279721</v>
      </c>
    </row>
    <row r="21" spans="1:14" ht="16.5" customHeight="1">
      <c r="A21" s="5" t="s">
        <v>0</v>
      </c>
      <c r="B21" s="14" t="s">
        <v>35</v>
      </c>
      <c r="C21" s="23">
        <v>1910330</v>
      </c>
      <c r="D21" s="23">
        <v>712955</v>
      </c>
      <c r="E21" s="24">
        <v>37.299999999999997</v>
      </c>
      <c r="F21" s="23">
        <v>1906029</v>
      </c>
      <c r="G21" s="25" t="s">
        <v>41</v>
      </c>
      <c r="H21" s="26">
        <v>3.3</v>
      </c>
      <c r="I21" s="23">
        <v>4301</v>
      </c>
      <c r="J21" s="23">
        <v>3939</v>
      </c>
      <c r="K21" s="25"/>
      <c r="L21" s="27">
        <v>362</v>
      </c>
      <c r="M21" s="100">
        <v>99.4</v>
      </c>
      <c r="N21" s="104">
        <v>2431273</v>
      </c>
    </row>
    <row r="22" spans="1:14" ht="16.5" customHeight="1">
      <c r="A22" s="5" t="s">
        <v>0</v>
      </c>
      <c r="B22" s="14" t="s">
        <v>47</v>
      </c>
      <c r="C22" s="23">
        <v>1869632</v>
      </c>
      <c r="D22" s="23">
        <v>686522</v>
      </c>
      <c r="E22" s="24">
        <v>36.700000000000003</v>
      </c>
      <c r="F22" s="23">
        <v>1860866</v>
      </c>
      <c r="G22" s="25" t="s">
        <v>41</v>
      </c>
      <c r="H22" s="26">
        <v>2.4</v>
      </c>
      <c r="I22" s="23">
        <v>8766</v>
      </c>
      <c r="J22" s="23">
        <v>8390</v>
      </c>
      <c r="K22" s="25"/>
      <c r="L22" s="27">
        <v>376</v>
      </c>
      <c r="M22" s="100">
        <v>99.8</v>
      </c>
      <c r="N22" s="104">
        <v>2532886</v>
      </c>
    </row>
    <row r="23" spans="1:14" ht="16.5" customHeight="1">
      <c r="B23" s="28" t="s">
        <v>48</v>
      </c>
      <c r="C23" s="23">
        <v>1862127</v>
      </c>
      <c r="D23" s="23">
        <v>665501</v>
      </c>
      <c r="E23" s="24">
        <v>35.700000000000003</v>
      </c>
      <c r="F23" s="23">
        <v>1857703</v>
      </c>
      <c r="G23" s="25" t="s">
        <v>41</v>
      </c>
      <c r="H23" s="26">
        <v>0.2</v>
      </c>
      <c r="I23" s="23">
        <v>4424</v>
      </c>
      <c r="J23" s="23">
        <v>4114</v>
      </c>
      <c r="K23" s="25"/>
      <c r="L23" s="27">
        <v>310</v>
      </c>
      <c r="M23" s="100">
        <v>99.8</v>
      </c>
      <c r="N23" s="104">
        <v>2628930</v>
      </c>
    </row>
    <row r="24" spans="1:14" ht="16.5" customHeight="1">
      <c r="B24" s="28" t="s">
        <v>49</v>
      </c>
      <c r="C24" s="23">
        <v>1790706</v>
      </c>
      <c r="D24" s="23">
        <v>635039</v>
      </c>
      <c r="E24" s="24">
        <v>35.5</v>
      </c>
      <c r="F24" s="23">
        <v>1787971</v>
      </c>
      <c r="G24" s="25" t="s">
        <v>41</v>
      </c>
      <c r="H24" s="26">
        <v>3.8</v>
      </c>
      <c r="I24" s="23">
        <v>2735</v>
      </c>
      <c r="J24" s="23">
        <v>2489</v>
      </c>
      <c r="K24" s="25"/>
      <c r="L24" s="27">
        <v>246</v>
      </c>
      <c r="M24" s="100">
        <v>103.1</v>
      </c>
      <c r="N24" s="104">
        <v>2716248</v>
      </c>
    </row>
    <row r="25" spans="1:14" ht="16.5" customHeight="1">
      <c r="B25" s="28" t="s">
        <v>50</v>
      </c>
      <c r="C25" s="23">
        <v>1722657</v>
      </c>
      <c r="D25" s="23">
        <v>613049</v>
      </c>
      <c r="E25" s="24">
        <v>35.6</v>
      </c>
      <c r="F25" s="23">
        <v>1719987</v>
      </c>
      <c r="G25" s="25" t="s">
        <v>41</v>
      </c>
      <c r="H25" s="26">
        <v>3.8</v>
      </c>
      <c r="I25" s="23">
        <v>2670</v>
      </c>
      <c r="J25" s="23">
        <v>2478</v>
      </c>
      <c r="K25" s="25"/>
      <c r="L25" s="27">
        <v>192</v>
      </c>
      <c r="M25" s="100">
        <v>102.5</v>
      </c>
      <c r="N25" s="104">
        <v>2809765</v>
      </c>
    </row>
    <row r="26" spans="1:14" ht="16.5" customHeight="1">
      <c r="B26" s="28" t="s">
        <v>51</v>
      </c>
      <c r="C26" s="23">
        <v>1703865</v>
      </c>
      <c r="D26" s="23">
        <v>618500</v>
      </c>
      <c r="E26" s="24">
        <v>36.299999999999997</v>
      </c>
      <c r="F26" s="23">
        <v>1701951</v>
      </c>
      <c r="G26" s="25" t="s">
        <v>41</v>
      </c>
      <c r="H26" s="26">
        <v>1</v>
      </c>
      <c r="I26" s="23">
        <v>1914</v>
      </c>
      <c r="J26" s="23">
        <v>1685</v>
      </c>
      <c r="K26" s="25"/>
      <c r="L26" s="27">
        <v>229</v>
      </c>
      <c r="M26" s="100">
        <v>103.6</v>
      </c>
      <c r="N26" s="104">
        <v>2868808</v>
      </c>
    </row>
    <row r="27" spans="1:14" ht="16.5" customHeight="1">
      <c r="B27" s="28" t="s">
        <v>64</v>
      </c>
      <c r="C27" s="23">
        <v>1666375</v>
      </c>
      <c r="D27" s="23">
        <v>628573</v>
      </c>
      <c r="E27" s="24">
        <v>37.700000000000003</v>
      </c>
      <c r="F27" s="23">
        <v>1664689</v>
      </c>
      <c r="G27" s="25" t="s">
        <v>41</v>
      </c>
      <c r="H27" s="26">
        <v>2.2000000000000002</v>
      </c>
      <c r="I27" s="23">
        <v>1686</v>
      </c>
      <c r="J27" s="23">
        <v>1432</v>
      </c>
      <c r="K27" s="25"/>
      <c r="L27" s="27">
        <v>254</v>
      </c>
      <c r="M27" s="100">
        <v>101.7</v>
      </c>
      <c r="N27" s="104">
        <v>2916377</v>
      </c>
    </row>
    <row r="28" spans="1:14" ht="16.5" customHeight="1">
      <c r="B28" s="28" t="s">
        <v>66</v>
      </c>
      <c r="C28" s="23">
        <v>1590506</v>
      </c>
      <c r="D28" s="23">
        <v>652624</v>
      </c>
      <c r="E28" s="24">
        <v>41</v>
      </c>
      <c r="F28" s="23">
        <v>1587643</v>
      </c>
      <c r="G28" s="25" t="s">
        <v>41</v>
      </c>
      <c r="H28" s="26">
        <v>4.5999999999999996</v>
      </c>
      <c r="I28" s="23">
        <v>2863</v>
      </c>
      <c r="J28" s="23">
        <v>2497</v>
      </c>
      <c r="K28" s="25"/>
      <c r="L28" s="27">
        <v>366</v>
      </c>
      <c r="M28" s="100">
        <v>99.7</v>
      </c>
      <c r="N28" s="104">
        <v>2849274</v>
      </c>
    </row>
    <row r="29" spans="1:14" ht="16.5" customHeight="1">
      <c r="B29" s="28" t="s">
        <v>108</v>
      </c>
      <c r="C29" s="23">
        <v>1577285</v>
      </c>
      <c r="D29" s="23">
        <v>678485</v>
      </c>
      <c r="E29" s="24">
        <v>43</v>
      </c>
      <c r="F29" s="23">
        <v>1573282</v>
      </c>
      <c r="G29" s="25" t="s">
        <v>41</v>
      </c>
      <c r="H29" s="26">
        <v>0.9</v>
      </c>
      <c r="I29" s="23">
        <v>4003</v>
      </c>
      <c r="J29" s="23">
        <v>3569</v>
      </c>
      <c r="K29" s="25"/>
      <c r="L29" s="27">
        <v>434</v>
      </c>
      <c r="M29" s="100">
        <v>99.9</v>
      </c>
      <c r="N29" s="104">
        <v>2833410</v>
      </c>
    </row>
    <row r="30" spans="1:14" ht="16.5" customHeight="1">
      <c r="B30" s="28" t="s">
        <v>126</v>
      </c>
      <c r="C30" s="23">
        <v>1555121</v>
      </c>
      <c r="D30" s="23">
        <v>670787</v>
      </c>
      <c r="E30" s="24">
        <v>43.1</v>
      </c>
      <c r="F30" s="23">
        <v>1552859</v>
      </c>
      <c r="G30" s="25" t="s">
        <v>41</v>
      </c>
      <c r="H30" s="26">
        <v>1.3</v>
      </c>
      <c r="I30" s="23">
        <v>2262</v>
      </c>
      <c r="J30" s="23">
        <v>1813</v>
      </c>
      <c r="K30" s="25"/>
      <c r="L30" s="27">
        <v>449</v>
      </c>
      <c r="M30" s="100">
        <v>99.2</v>
      </c>
      <c r="N30" s="104">
        <v>2814500</v>
      </c>
    </row>
    <row r="31" spans="1:14" ht="16.5" customHeight="1">
      <c r="B31" s="28" t="s">
        <v>130</v>
      </c>
      <c r="C31" s="23">
        <v>1671647</v>
      </c>
      <c r="D31" s="23">
        <v>623613</v>
      </c>
      <c r="E31" s="24">
        <v>37.299999999999997</v>
      </c>
      <c r="F31" s="23">
        <v>1669763</v>
      </c>
      <c r="G31" s="25"/>
      <c r="H31" s="26">
        <v>7.5</v>
      </c>
      <c r="I31" s="23">
        <v>1884</v>
      </c>
      <c r="J31" s="23">
        <v>1495</v>
      </c>
      <c r="K31" s="25"/>
      <c r="L31" s="27">
        <v>389</v>
      </c>
      <c r="M31" s="100">
        <v>100.2</v>
      </c>
      <c r="N31" s="104">
        <v>2797041</v>
      </c>
    </row>
    <row r="32" spans="1:14" ht="16.5" customHeight="1">
      <c r="A32" s="45"/>
      <c r="B32" s="46" t="s">
        <v>137</v>
      </c>
      <c r="C32" s="47">
        <v>1642643</v>
      </c>
      <c r="D32" s="47">
        <v>626018</v>
      </c>
      <c r="E32" s="48">
        <v>38.1</v>
      </c>
      <c r="F32" s="47">
        <v>1641235</v>
      </c>
      <c r="G32" s="49" t="s">
        <v>41</v>
      </c>
      <c r="H32" s="50">
        <v>1.7</v>
      </c>
      <c r="I32" s="47">
        <f>C32-F32</f>
        <v>1408</v>
      </c>
      <c r="J32" s="47">
        <v>1000</v>
      </c>
      <c r="K32" s="49"/>
      <c r="L32" s="51">
        <f>I32-J32</f>
        <v>408</v>
      </c>
      <c r="M32" s="101">
        <v>99.4</v>
      </c>
      <c r="N32" s="105">
        <v>2770468</v>
      </c>
    </row>
    <row r="33" spans="1:14" ht="16.5" customHeight="1">
      <c r="A33" s="5"/>
      <c r="B33" s="46" t="s">
        <v>178</v>
      </c>
      <c r="C33" s="47">
        <v>1651156</v>
      </c>
      <c r="D33" s="47">
        <v>636066</v>
      </c>
      <c r="E33" s="48">
        <v>38.5</v>
      </c>
      <c r="F33" s="47">
        <v>1649897</v>
      </c>
      <c r="G33" s="49"/>
      <c r="H33" s="50">
        <v>0.5</v>
      </c>
      <c r="I33" s="47">
        <f>C33-F33</f>
        <v>1259</v>
      </c>
      <c r="J33" s="47">
        <v>806</v>
      </c>
      <c r="K33" s="49"/>
      <c r="L33" s="51">
        <f>I33-J33</f>
        <v>453</v>
      </c>
      <c r="M33" s="101">
        <v>99.5</v>
      </c>
      <c r="N33" s="104">
        <v>2745021</v>
      </c>
    </row>
    <row r="34" spans="1:14" ht="15" customHeight="1">
      <c r="A34" s="5"/>
      <c r="B34" s="552" t="s">
        <v>185</v>
      </c>
      <c r="C34" s="131">
        <v>1582165</v>
      </c>
      <c r="D34" s="542">
        <v>627006</v>
      </c>
      <c r="E34" s="551">
        <v>36.9</v>
      </c>
      <c r="F34" s="131">
        <v>1580639</v>
      </c>
      <c r="G34" s="132" t="s">
        <v>186</v>
      </c>
      <c r="H34" s="133" t="s">
        <v>187</v>
      </c>
      <c r="I34" s="542">
        <f>C34-F34</f>
        <v>1526</v>
      </c>
      <c r="J34" s="542">
        <v>1115</v>
      </c>
      <c r="K34" s="121"/>
      <c r="L34" s="541">
        <f>I34-J34</f>
        <v>411</v>
      </c>
      <c r="M34" s="540">
        <v>101.9</v>
      </c>
      <c r="N34" s="538">
        <v>2660209</v>
      </c>
    </row>
    <row r="35" spans="1:14" ht="15" customHeight="1">
      <c r="B35" s="552"/>
      <c r="C35" s="134">
        <v>1700781</v>
      </c>
      <c r="D35" s="542"/>
      <c r="E35" s="551"/>
      <c r="F35" s="134">
        <v>1699255</v>
      </c>
      <c r="G35" s="49"/>
      <c r="H35" s="123">
        <v>3</v>
      </c>
      <c r="I35" s="542"/>
      <c r="J35" s="542"/>
      <c r="K35" s="122"/>
      <c r="L35" s="541"/>
      <c r="M35" s="540"/>
      <c r="N35" s="539"/>
    </row>
    <row r="36" spans="1:14" ht="16.5" customHeight="1">
      <c r="A36" s="5"/>
      <c r="B36" s="46" t="s">
        <v>202</v>
      </c>
      <c r="C36" s="47">
        <v>1675766</v>
      </c>
      <c r="D36" s="47">
        <v>641870</v>
      </c>
      <c r="E36" s="48">
        <v>38.299999999999997</v>
      </c>
      <c r="F36" s="47">
        <v>1650402</v>
      </c>
      <c r="G36" s="49" t="s">
        <v>41</v>
      </c>
      <c r="H36" s="50">
        <v>2.9</v>
      </c>
      <c r="I36" s="47">
        <f>C36-F36</f>
        <v>25364</v>
      </c>
      <c r="J36" s="47">
        <v>1141</v>
      </c>
      <c r="K36" s="49"/>
      <c r="L36" s="139">
        <f>I36-J36</f>
        <v>24223</v>
      </c>
      <c r="M36" s="101">
        <v>98.3</v>
      </c>
      <c r="N36" s="104">
        <v>2578573</v>
      </c>
    </row>
    <row r="37" spans="1:14" ht="16.5" customHeight="1">
      <c r="A37" s="5"/>
      <c r="B37" s="46" t="s">
        <v>227</v>
      </c>
      <c r="C37" s="205">
        <v>1641158</v>
      </c>
      <c r="D37" s="205">
        <v>659256</v>
      </c>
      <c r="E37" s="206">
        <v>40.170172524522322</v>
      </c>
      <c r="F37" s="205">
        <v>1635843</v>
      </c>
      <c r="G37" s="49" t="s">
        <v>41</v>
      </c>
      <c r="H37" s="208">
        <v>0.88214871285904894</v>
      </c>
      <c r="I37" s="205">
        <f>C37-F37</f>
        <v>5315</v>
      </c>
      <c r="J37" s="205">
        <v>4881</v>
      </c>
      <c r="K37" s="207"/>
      <c r="L37" s="209">
        <f>I37-J37</f>
        <v>434</v>
      </c>
      <c r="M37" s="101">
        <v>98.8</v>
      </c>
      <c r="N37" s="210">
        <v>2473326</v>
      </c>
    </row>
    <row r="38" spans="1:14" ht="16.5" customHeight="1">
      <c r="A38" s="5"/>
      <c r="B38" s="46" t="s">
        <v>242</v>
      </c>
      <c r="C38" s="205">
        <v>1631983</v>
      </c>
      <c r="D38" s="205">
        <v>660088</v>
      </c>
      <c r="E38" s="206">
        <v>40.4</v>
      </c>
      <c r="F38" s="205">
        <v>1630073</v>
      </c>
      <c r="G38" s="49" t="s">
        <v>41</v>
      </c>
      <c r="H38" s="208">
        <v>0.4</v>
      </c>
      <c r="I38" s="205">
        <f>C38-F38</f>
        <v>1910</v>
      </c>
      <c r="J38" s="205">
        <v>1509</v>
      </c>
      <c r="K38" s="207"/>
      <c r="L38" s="209">
        <f>I38-J38</f>
        <v>401</v>
      </c>
      <c r="M38" s="101">
        <v>97.6</v>
      </c>
      <c r="N38" s="210">
        <v>2327170</v>
      </c>
    </row>
    <row r="39" spans="1:14" ht="16.5" customHeight="1">
      <c r="A39" s="5"/>
      <c r="B39" s="46" t="s">
        <v>299</v>
      </c>
      <c r="C39" s="205">
        <v>1574838</v>
      </c>
      <c r="D39" s="205">
        <v>659473</v>
      </c>
      <c r="E39" s="206">
        <v>41.9</v>
      </c>
      <c r="F39" s="205">
        <v>1572848</v>
      </c>
      <c r="G39" s="49" t="s">
        <v>41</v>
      </c>
      <c r="H39" s="208">
        <v>3.5</v>
      </c>
      <c r="I39" s="205">
        <f>C39-F39</f>
        <v>1990</v>
      </c>
      <c r="J39" s="205">
        <v>1590</v>
      </c>
      <c r="K39" s="207"/>
      <c r="L39" s="209">
        <f>I39-J39</f>
        <v>400</v>
      </c>
      <c r="M39" s="101">
        <v>100.1</v>
      </c>
      <c r="N39" s="210">
        <v>2185864</v>
      </c>
    </row>
    <row r="40" spans="1:14">
      <c r="A40" s="5"/>
      <c r="B40" s="124" t="s">
        <v>200</v>
      </c>
      <c r="C40" s="30"/>
      <c r="D40" s="30"/>
      <c r="E40" s="30"/>
    </row>
    <row r="41" spans="1:14" ht="14.25" customHeight="1">
      <c r="A41" s="5"/>
      <c r="B41" s="29"/>
      <c r="C41" s="31"/>
      <c r="D41" s="31"/>
      <c r="E41" s="31"/>
      <c r="G41" s="550"/>
      <c r="H41" s="550"/>
    </row>
    <row r="42" spans="1:14" ht="14.25" customHeight="1">
      <c r="A42" s="5"/>
      <c r="B42" s="29"/>
      <c r="C42" s="31"/>
      <c r="D42" s="31"/>
      <c r="E42" s="31"/>
      <c r="G42" s="32"/>
      <c r="H42" s="33"/>
    </row>
    <row r="43" spans="1:14" ht="14.25" customHeight="1">
      <c r="B43" s="29"/>
      <c r="C43" s="31"/>
      <c r="D43" s="31"/>
      <c r="E43" s="31"/>
      <c r="G43" s="553"/>
      <c r="H43" s="553"/>
    </row>
    <row r="44" spans="1:14" ht="14.25" customHeight="1">
      <c r="B44" s="29"/>
      <c r="C44" s="31"/>
      <c r="D44" s="31"/>
      <c r="E44" s="31"/>
      <c r="G44" s="32"/>
      <c r="H44" s="33"/>
    </row>
    <row r="45" spans="1:14" ht="14.25" customHeight="1">
      <c r="A45" s="5"/>
      <c r="B45" s="29"/>
      <c r="C45" s="31"/>
      <c r="D45" s="31"/>
      <c r="E45" s="31"/>
      <c r="G45" s="550"/>
      <c r="H45" s="550"/>
    </row>
    <row r="46" spans="1:14" ht="14.25" customHeight="1">
      <c r="A46" s="5"/>
      <c r="B46" s="29"/>
      <c r="C46" s="31"/>
      <c r="D46" s="31"/>
      <c r="E46" s="31"/>
      <c r="G46" s="32"/>
      <c r="H46" s="33"/>
    </row>
    <row r="47" spans="1:14" ht="14.25" customHeight="1">
      <c r="B47" s="29"/>
      <c r="C47" s="31"/>
      <c r="D47" s="31"/>
      <c r="E47" s="31"/>
      <c r="G47" s="550"/>
      <c r="H47" s="550"/>
    </row>
    <row r="48" spans="1:14" ht="14.25" customHeight="1">
      <c r="B48" s="29"/>
      <c r="C48" s="31"/>
      <c r="D48" s="31"/>
      <c r="E48" s="31"/>
      <c r="G48" s="32"/>
      <c r="H48" s="33"/>
    </row>
    <row r="49" spans="1:8" ht="14.25" customHeight="1">
      <c r="A49" s="5"/>
      <c r="B49" s="29"/>
      <c r="C49" s="31"/>
      <c r="D49" s="31"/>
      <c r="E49" s="31"/>
      <c r="G49" s="550"/>
      <c r="H49" s="550"/>
    </row>
    <row r="50" spans="1:8" ht="14.25" customHeight="1">
      <c r="A50" s="5"/>
      <c r="B50" s="29"/>
      <c r="C50" s="31"/>
      <c r="D50" s="31"/>
      <c r="E50" s="31"/>
      <c r="G50" s="32"/>
      <c r="H50" s="33"/>
    </row>
    <row r="51" spans="1:8" ht="14.25" customHeight="1">
      <c r="B51" s="29"/>
      <c r="C51" s="31"/>
      <c r="D51" s="31"/>
      <c r="E51" s="31"/>
      <c r="G51" s="550"/>
      <c r="H51" s="550"/>
    </row>
    <row r="52" spans="1:8" ht="14.25" customHeight="1">
      <c r="B52" s="29"/>
      <c r="C52" s="31"/>
      <c r="D52" s="31"/>
      <c r="E52" s="31"/>
      <c r="G52" s="32"/>
      <c r="H52" s="33"/>
    </row>
    <row r="53" spans="1:8" ht="14.25" customHeight="1">
      <c r="A53" s="5"/>
      <c r="B53" s="29"/>
      <c r="C53" s="31"/>
      <c r="D53" s="31"/>
      <c r="E53" s="31"/>
      <c r="G53" s="550"/>
      <c r="H53" s="550"/>
    </row>
    <row r="54" spans="1:8" ht="14.25" customHeight="1">
      <c r="A54" s="5"/>
      <c r="B54" s="29"/>
      <c r="C54" s="31"/>
      <c r="D54" s="31"/>
      <c r="E54" s="31"/>
      <c r="G54" s="32"/>
      <c r="H54" s="33"/>
    </row>
    <row r="55" spans="1:8" ht="14.25" customHeight="1">
      <c r="B55" s="29"/>
      <c r="C55" s="31"/>
      <c r="D55" s="31"/>
      <c r="E55" s="31"/>
      <c r="G55" s="550"/>
      <c r="H55" s="550"/>
    </row>
    <row r="56" spans="1:8" ht="14.25" customHeight="1">
      <c r="B56" s="29"/>
      <c r="C56" s="31"/>
      <c r="D56" s="31"/>
      <c r="E56" s="31"/>
      <c r="G56" s="32"/>
      <c r="H56" s="33"/>
    </row>
    <row r="57" spans="1:8" ht="14.25" customHeight="1">
      <c r="A57" s="5"/>
      <c r="B57" s="29"/>
      <c r="C57" s="31"/>
      <c r="D57" s="31"/>
      <c r="E57" s="31"/>
      <c r="G57" s="550"/>
      <c r="H57" s="554"/>
    </row>
    <row r="58" spans="1:8" ht="14.25" customHeight="1">
      <c r="A58" s="5"/>
      <c r="B58" s="29"/>
      <c r="C58" s="31"/>
      <c r="D58" s="31"/>
      <c r="E58" s="31"/>
      <c r="G58" s="32"/>
      <c r="H58" s="33"/>
    </row>
    <row r="59" spans="1:8" ht="14.25" customHeight="1">
      <c r="C59" s="31"/>
      <c r="D59" s="31"/>
      <c r="E59" s="31"/>
      <c r="G59" s="550"/>
      <c r="H59" s="554"/>
    </row>
    <row r="60" spans="1:8" ht="10.7" customHeight="1"/>
    <row r="61" spans="1:8">
      <c r="A61" s="5"/>
    </row>
    <row r="62" spans="1:8" ht="10.7" customHeight="1"/>
    <row r="63" spans="1:8">
      <c r="A63" s="5"/>
    </row>
    <row r="64" spans="1:8">
      <c r="A64" s="5"/>
    </row>
    <row r="65" spans="1:1">
      <c r="A65" s="5"/>
    </row>
    <row r="66" spans="1:1">
      <c r="A66" s="5"/>
    </row>
    <row r="67" spans="1:1">
      <c r="A67" s="5"/>
    </row>
  </sheetData>
  <mergeCells count="25">
    <mergeCell ref="G55:H55"/>
    <mergeCell ref="G57:H57"/>
    <mergeCell ref="G59:H59"/>
    <mergeCell ref="G47:H47"/>
    <mergeCell ref="G49:H49"/>
    <mergeCell ref="G51:H51"/>
    <mergeCell ref="G53:H53"/>
    <mergeCell ref="G43:H43"/>
    <mergeCell ref="G45:H45"/>
    <mergeCell ref="G6:H6"/>
    <mergeCell ref="G7:H7"/>
    <mergeCell ref="G8:H8"/>
    <mergeCell ref="K6:L6"/>
    <mergeCell ref="K7:L7"/>
    <mergeCell ref="K8:L8"/>
    <mergeCell ref="B5:B8"/>
    <mergeCell ref="G41:H41"/>
    <mergeCell ref="E34:E35"/>
    <mergeCell ref="D34:D35"/>
    <mergeCell ref="B34:B35"/>
    <mergeCell ref="N34:N35"/>
    <mergeCell ref="M34:M35"/>
    <mergeCell ref="L34:L35"/>
    <mergeCell ref="J34:J35"/>
    <mergeCell ref="I34:I35"/>
  </mergeCells>
  <phoneticPr fontId="11"/>
  <pageMargins left="0.86" right="0.70866141732283472" top="0.31" bottom="0.17" header="0" footer="0"/>
  <pageSetup paperSize="9" scale="9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5"/>
  <sheetViews>
    <sheetView showOutlineSymbols="0" view="pageBreakPreview" topLeftCell="A19" zoomScale="115" zoomScaleNormal="100" zoomScaleSheetLayoutView="115" workbookViewId="0">
      <selection activeCell="K12" sqref="K12"/>
    </sheetView>
  </sheetViews>
  <sheetFormatPr defaultRowHeight="13.5"/>
  <cols>
    <col min="1" max="3" width="3.140625" style="347" customWidth="1"/>
    <col min="4" max="7" width="19" style="347" customWidth="1"/>
    <col min="8" max="8" width="16.7109375" style="347" customWidth="1"/>
    <col min="9" max="9" width="3.140625" style="347" customWidth="1"/>
    <col min="10" max="16384" width="9.140625" style="347"/>
  </cols>
  <sheetData>
    <row r="1" spans="1:9" s="344" customFormat="1" ht="17.25">
      <c r="A1" s="561"/>
      <c r="B1" s="561"/>
      <c r="C1" s="561"/>
      <c r="D1" s="561"/>
      <c r="E1" s="561"/>
      <c r="F1" s="561"/>
      <c r="G1" s="561"/>
      <c r="H1" s="561"/>
      <c r="I1" s="561"/>
    </row>
    <row r="2" spans="1:9" ht="17.25" customHeight="1">
      <c r="A2" s="345"/>
      <c r="B2" s="346"/>
      <c r="C2" s="346"/>
      <c r="D2" s="346"/>
      <c r="E2" s="346"/>
      <c r="F2" s="346"/>
      <c r="G2" s="346"/>
      <c r="H2" s="346"/>
      <c r="I2" s="346"/>
    </row>
    <row r="3" spans="1:9" ht="17.25" customHeight="1">
      <c r="A3" s="345"/>
      <c r="B3" s="346"/>
      <c r="C3" s="346"/>
      <c r="D3" s="346"/>
      <c r="E3" s="346"/>
      <c r="F3" s="346"/>
      <c r="G3" s="346"/>
      <c r="H3" s="346"/>
      <c r="I3" s="346"/>
    </row>
    <row r="4" spans="1:9" ht="15" thickBot="1">
      <c r="G4" s="348"/>
      <c r="H4" s="349" t="s">
        <v>247</v>
      </c>
      <c r="I4" s="350"/>
    </row>
    <row r="5" spans="1:9" ht="17.25" customHeight="1" thickBot="1">
      <c r="B5" s="562" t="s">
        <v>248</v>
      </c>
      <c r="C5" s="563"/>
      <c r="D5" s="564"/>
      <c r="E5" s="351" t="s">
        <v>298</v>
      </c>
      <c r="F5" s="352" t="s">
        <v>238</v>
      </c>
      <c r="G5" s="353" t="s">
        <v>249</v>
      </c>
      <c r="H5" s="354" t="s">
        <v>250</v>
      </c>
      <c r="I5" s="355"/>
    </row>
    <row r="6" spans="1:9" ht="17.25" customHeight="1" thickBot="1">
      <c r="B6" s="565" t="s">
        <v>251</v>
      </c>
      <c r="C6" s="566"/>
      <c r="D6" s="567"/>
      <c r="E6" s="356">
        <v>659473</v>
      </c>
      <c r="F6" s="357">
        <v>660088</v>
      </c>
      <c r="G6" s="358">
        <v>-614</v>
      </c>
      <c r="H6" s="359">
        <v>-9.3042342497312802E-2</v>
      </c>
      <c r="I6" s="360"/>
    </row>
    <row r="7" spans="1:9" ht="17.25" customHeight="1" thickTop="1">
      <c r="B7" s="361"/>
      <c r="C7" s="568" t="s">
        <v>252</v>
      </c>
      <c r="D7" s="569"/>
      <c r="E7" s="362">
        <v>268822</v>
      </c>
      <c r="F7" s="363">
        <v>274082</v>
      </c>
      <c r="G7" s="364">
        <v>-5260</v>
      </c>
      <c r="H7" s="365">
        <v>-1.9190908783933622</v>
      </c>
      <c r="I7" s="360"/>
    </row>
    <row r="8" spans="1:9" ht="17.25" customHeight="1">
      <c r="B8" s="560"/>
      <c r="C8" s="570"/>
      <c r="D8" s="366" t="s">
        <v>253</v>
      </c>
      <c r="E8" s="367">
        <v>146467</v>
      </c>
      <c r="F8" s="368">
        <v>142223</v>
      </c>
      <c r="G8" s="369">
        <v>4245</v>
      </c>
      <c r="H8" s="370">
        <v>2.9845363176219166</v>
      </c>
      <c r="I8" s="360"/>
    </row>
    <row r="9" spans="1:9" ht="17.25" customHeight="1">
      <c r="B9" s="560"/>
      <c r="C9" s="571"/>
      <c r="D9" s="366" t="s">
        <v>254</v>
      </c>
      <c r="E9" s="367">
        <v>122355</v>
      </c>
      <c r="F9" s="368">
        <v>131859</v>
      </c>
      <c r="G9" s="369">
        <v>-9505</v>
      </c>
      <c r="H9" s="370">
        <v>-7.2081141534805653</v>
      </c>
      <c r="I9" s="360"/>
    </row>
    <row r="10" spans="1:9" ht="17.25" customHeight="1">
      <c r="B10" s="361"/>
      <c r="C10" s="572" t="s">
        <v>255</v>
      </c>
      <c r="D10" s="573"/>
      <c r="E10" s="367">
        <v>275709</v>
      </c>
      <c r="F10" s="368">
        <v>271533</v>
      </c>
      <c r="G10" s="369">
        <v>4176</v>
      </c>
      <c r="H10" s="370">
        <v>1.5378022909119977</v>
      </c>
      <c r="I10" s="360"/>
    </row>
    <row r="11" spans="1:9" ht="17.25" customHeight="1">
      <c r="B11" s="560"/>
      <c r="C11" s="574"/>
      <c r="D11" s="366" t="s">
        <v>256</v>
      </c>
      <c r="E11" s="367">
        <v>104613</v>
      </c>
      <c r="F11" s="368">
        <v>104113</v>
      </c>
      <c r="G11" s="369">
        <v>500</v>
      </c>
      <c r="H11" s="370">
        <v>0.4802115875848898</v>
      </c>
      <c r="I11" s="360"/>
    </row>
    <row r="12" spans="1:9" ht="17.25" customHeight="1">
      <c r="B12" s="560"/>
      <c r="C12" s="575"/>
      <c r="D12" s="366" t="s">
        <v>257</v>
      </c>
      <c r="E12" s="367">
        <v>134600</v>
      </c>
      <c r="F12" s="368">
        <v>131473</v>
      </c>
      <c r="G12" s="369">
        <v>3127</v>
      </c>
      <c r="H12" s="370">
        <v>2.3781948038859753</v>
      </c>
      <c r="I12" s="360"/>
    </row>
    <row r="13" spans="1:9" ht="17.25" customHeight="1">
      <c r="B13" s="560"/>
      <c r="C13" s="575"/>
      <c r="D13" s="366" t="s">
        <v>258</v>
      </c>
      <c r="E13" s="367">
        <v>35788</v>
      </c>
      <c r="F13" s="368">
        <v>35205</v>
      </c>
      <c r="G13" s="369">
        <v>583</v>
      </c>
      <c r="H13" s="370">
        <v>1.6551922464138187</v>
      </c>
      <c r="I13" s="360"/>
    </row>
    <row r="14" spans="1:9" ht="17.25" customHeight="1">
      <c r="B14" s="560"/>
      <c r="C14" s="576"/>
      <c r="D14" s="366" t="s">
        <v>259</v>
      </c>
      <c r="E14" s="367">
        <v>708</v>
      </c>
      <c r="F14" s="368">
        <v>742</v>
      </c>
      <c r="G14" s="369">
        <v>-34</v>
      </c>
      <c r="H14" s="370">
        <v>-4.5465454937705658</v>
      </c>
      <c r="I14" s="360"/>
    </row>
    <row r="15" spans="1:9" ht="17.25" customHeight="1">
      <c r="B15" s="361"/>
      <c r="C15" s="572" t="s">
        <v>260</v>
      </c>
      <c r="D15" s="573"/>
      <c r="E15" s="367">
        <v>55978</v>
      </c>
      <c r="F15" s="368">
        <v>55103</v>
      </c>
      <c r="G15" s="369">
        <v>875</v>
      </c>
      <c r="H15" s="370">
        <v>1.5885564642096739</v>
      </c>
      <c r="I15" s="360"/>
    </row>
    <row r="16" spans="1:9" ht="17.25" customHeight="1">
      <c r="B16" s="560"/>
      <c r="C16" s="372"/>
      <c r="D16" s="366" t="s">
        <v>256</v>
      </c>
      <c r="E16" s="367">
        <v>26363</v>
      </c>
      <c r="F16" s="368">
        <v>26228</v>
      </c>
      <c r="G16" s="369">
        <v>136</v>
      </c>
      <c r="H16" s="370">
        <v>0.51800537656485801</v>
      </c>
      <c r="I16" s="360"/>
    </row>
    <row r="17" spans="2:9" ht="17.25" customHeight="1">
      <c r="B17" s="560"/>
      <c r="C17" s="372"/>
      <c r="D17" s="366" t="s">
        <v>257</v>
      </c>
      <c r="E17" s="367">
        <v>29615</v>
      </c>
      <c r="F17" s="368">
        <v>28876</v>
      </c>
      <c r="G17" s="369">
        <v>739</v>
      </c>
      <c r="H17" s="370">
        <v>2.5609319320386419</v>
      </c>
      <c r="I17" s="360"/>
    </row>
    <row r="18" spans="2:9" ht="17.25" customHeight="1">
      <c r="B18" s="361"/>
      <c r="C18" s="555" t="s">
        <v>261</v>
      </c>
      <c r="D18" s="556"/>
      <c r="E18" s="373">
        <v>1646</v>
      </c>
      <c r="F18" s="374">
        <v>1320</v>
      </c>
      <c r="G18" s="375">
        <v>326</v>
      </c>
      <c r="H18" s="376">
        <v>24.680129349623485</v>
      </c>
      <c r="I18" s="360"/>
    </row>
    <row r="19" spans="2:9" ht="17.25" customHeight="1">
      <c r="B19" s="361"/>
      <c r="C19" s="555" t="s">
        <v>262</v>
      </c>
      <c r="D19" s="556"/>
      <c r="E19" s="373">
        <v>30055</v>
      </c>
      <c r="F19" s="374">
        <v>31225</v>
      </c>
      <c r="G19" s="375">
        <v>-1170</v>
      </c>
      <c r="H19" s="376">
        <v>-3.7470044822716346</v>
      </c>
      <c r="I19" s="360"/>
    </row>
    <row r="20" spans="2:9" ht="17.25" customHeight="1" thickBot="1">
      <c r="B20" s="377"/>
      <c r="C20" s="557" t="s">
        <v>263</v>
      </c>
      <c r="D20" s="558"/>
      <c r="E20" s="378">
        <v>27264</v>
      </c>
      <c r="F20" s="379">
        <v>26825</v>
      </c>
      <c r="G20" s="380">
        <v>439</v>
      </c>
      <c r="H20" s="381">
        <v>1.6361708430187321</v>
      </c>
      <c r="I20" s="360"/>
    </row>
    <row r="21" spans="2:9" ht="16.5" customHeight="1">
      <c r="B21" s="382" t="s">
        <v>350</v>
      </c>
      <c r="C21" s="383"/>
      <c r="D21" s="383"/>
      <c r="E21" s="384"/>
      <c r="F21" s="384"/>
      <c r="G21" s="384"/>
      <c r="H21" s="385"/>
      <c r="I21" s="360"/>
    </row>
    <row r="22" spans="2:9" ht="6" customHeight="1">
      <c r="B22" s="383"/>
      <c r="C22" s="383"/>
      <c r="D22" s="383"/>
      <c r="E22" s="384"/>
      <c r="F22" s="384"/>
      <c r="G22" s="384"/>
      <c r="H22" s="360"/>
      <c r="I22" s="360"/>
    </row>
    <row r="23" spans="2:9" s="388" customFormat="1" ht="16.5" customHeight="1" collapsed="1">
      <c r="B23" s="386" t="s">
        <v>264</v>
      </c>
      <c r="C23" s="387" t="s">
        <v>351</v>
      </c>
    </row>
    <row r="24" spans="2:9" ht="16.5" customHeight="1">
      <c r="B24" s="387"/>
      <c r="C24" s="387"/>
      <c r="D24" s="387"/>
      <c r="E24" s="387"/>
      <c r="F24" s="387"/>
      <c r="G24" s="387"/>
      <c r="H24" s="387"/>
      <c r="I24" s="389"/>
    </row>
    <row r="25" spans="2:9" ht="14.25">
      <c r="B25" s="390" t="s">
        <v>265</v>
      </c>
    </row>
    <row r="26" spans="2:9" ht="9.9499999999999993" customHeight="1">
      <c r="B26" s="344"/>
      <c r="C26" s="388"/>
      <c r="D26" s="388"/>
      <c r="E26" s="388"/>
      <c r="F26" s="388"/>
      <c r="G26" s="388"/>
      <c r="H26" s="388"/>
      <c r="I26" s="388"/>
    </row>
    <row r="27" spans="2:9" ht="14.25">
      <c r="B27" s="391" t="s">
        <v>268</v>
      </c>
      <c r="C27" s="392" t="s">
        <v>266</v>
      </c>
      <c r="D27" s="392"/>
      <c r="E27" s="392"/>
      <c r="F27" s="392"/>
      <c r="G27" s="392"/>
      <c r="H27" s="392"/>
      <c r="I27" s="393"/>
    </row>
    <row r="28" spans="2:9" ht="6" customHeight="1">
      <c r="B28" s="344"/>
      <c r="C28" s="388"/>
      <c r="D28" s="388"/>
      <c r="E28" s="388"/>
      <c r="F28" s="388"/>
      <c r="G28" s="388"/>
      <c r="H28" s="388"/>
      <c r="I28" s="388"/>
    </row>
    <row r="29" spans="2:9" ht="13.5" customHeight="1">
      <c r="B29" s="394"/>
      <c r="C29" s="395"/>
      <c r="D29" s="559" t="s">
        <v>352</v>
      </c>
      <c r="E29" s="559"/>
      <c r="F29" s="559"/>
      <c r="G29" s="559"/>
      <c r="H29" s="559"/>
    </row>
    <row r="30" spans="2:9" ht="6" customHeight="1">
      <c r="B30" s="344"/>
      <c r="C30" s="396"/>
      <c r="D30" s="397"/>
      <c r="E30" s="397"/>
      <c r="F30" s="397"/>
      <c r="G30" s="397"/>
      <c r="H30" s="397"/>
      <c r="I30" s="388"/>
    </row>
    <row r="31" spans="2:9" ht="14.25">
      <c r="B31" s="391" t="s">
        <v>353</v>
      </c>
      <c r="C31" s="392" t="s">
        <v>267</v>
      </c>
      <c r="D31" s="392"/>
      <c r="E31" s="392"/>
      <c r="F31" s="392"/>
      <c r="G31" s="392"/>
      <c r="H31" s="392"/>
      <c r="I31" s="393"/>
    </row>
    <row r="32" spans="2:9" ht="6" customHeight="1">
      <c r="B32" s="344"/>
      <c r="C32" s="388"/>
      <c r="D32" s="388"/>
      <c r="E32" s="388"/>
      <c r="F32" s="388"/>
      <c r="G32" s="388"/>
      <c r="H32" s="388"/>
      <c r="I32" s="388"/>
    </row>
    <row r="33" spans="2:9" ht="13.5" customHeight="1">
      <c r="B33" s="394"/>
      <c r="C33" s="395"/>
      <c r="D33" s="559" t="s">
        <v>354</v>
      </c>
      <c r="E33" s="559"/>
      <c r="F33" s="559"/>
      <c r="G33" s="559"/>
      <c r="H33" s="559"/>
    </row>
    <row r="34" spans="2:9" ht="6" customHeight="1">
      <c r="B34" s="344"/>
      <c r="C34" s="396"/>
      <c r="D34" s="397"/>
      <c r="E34" s="397"/>
      <c r="F34" s="397"/>
      <c r="G34" s="397"/>
      <c r="H34" s="397"/>
      <c r="I34" s="388"/>
    </row>
    <row r="35" spans="2:9" ht="14.25">
      <c r="B35" s="391" t="s">
        <v>355</v>
      </c>
      <c r="C35" s="392" t="s">
        <v>255</v>
      </c>
      <c r="D35" s="392"/>
      <c r="E35" s="392"/>
      <c r="F35" s="392"/>
      <c r="G35" s="392"/>
      <c r="H35" s="392"/>
      <c r="I35" s="393"/>
    </row>
    <row r="36" spans="2:9" ht="6" customHeight="1">
      <c r="B36" s="344"/>
      <c r="C36" s="388"/>
      <c r="D36" s="388"/>
      <c r="E36" s="388"/>
      <c r="F36" s="388"/>
      <c r="G36" s="388"/>
      <c r="H36" s="388"/>
      <c r="I36" s="388"/>
    </row>
    <row r="37" spans="2:9">
      <c r="C37" s="395"/>
      <c r="D37" s="392" t="s">
        <v>356</v>
      </c>
      <c r="E37" s="392"/>
      <c r="F37" s="392"/>
      <c r="G37" s="392"/>
      <c r="H37" s="392"/>
      <c r="I37" s="398"/>
    </row>
    <row r="38" spans="2:9" ht="11.25" customHeight="1">
      <c r="B38" s="344"/>
      <c r="C38" s="388"/>
      <c r="D38" s="388"/>
      <c r="E38" s="388"/>
      <c r="F38" s="388"/>
      <c r="G38" s="388"/>
      <c r="H38" s="388"/>
      <c r="I38" s="388"/>
    </row>
    <row r="39" spans="2:9" ht="16.5" customHeight="1">
      <c r="B39" s="399" t="s">
        <v>269</v>
      </c>
      <c r="C39" s="388"/>
      <c r="D39" s="388"/>
      <c r="E39" s="388"/>
      <c r="F39" s="388"/>
      <c r="G39" s="388"/>
      <c r="H39" s="388"/>
      <c r="I39" s="388"/>
    </row>
    <row r="40" spans="2:9" ht="11.25" customHeight="1">
      <c r="B40" s="400"/>
      <c r="C40" s="388"/>
      <c r="D40" s="388"/>
      <c r="E40" s="388"/>
      <c r="F40" s="388"/>
      <c r="G40" s="388"/>
      <c r="H40" s="388"/>
      <c r="I40" s="388"/>
    </row>
    <row r="41" spans="2:9" s="345" customFormat="1" ht="16.5" customHeight="1">
      <c r="B41" s="400"/>
    </row>
    <row r="42" spans="2:9" s="345" customFormat="1" ht="16.5" customHeight="1">
      <c r="B42" s="400"/>
    </row>
    <row r="43" spans="2:9" ht="11.25" customHeight="1">
      <c r="B43" s="344"/>
      <c r="C43" s="388"/>
      <c r="D43" s="388"/>
      <c r="E43" s="388"/>
      <c r="F43" s="388"/>
      <c r="G43" s="388"/>
      <c r="H43" s="388"/>
      <c r="I43" s="388"/>
    </row>
    <row r="44" spans="2:9" s="345" customFormat="1" ht="16.5" customHeight="1">
      <c r="B44" s="390" t="s">
        <v>270</v>
      </c>
    </row>
    <row r="45" spans="2:9" ht="24" customHeight="1">
      <c r="B45" s="344"/>
      <c r="C45" s="388"/>
      <c r="D45" s="388"/>
      <c r="E45" s="388"/>
      <c r="F45" s="388"/>
      <c r="G45" s="388"/>
      <c r="H45" s="388"/>
      <c r="I45" s="388"/>
    </row>
    <row r="46" spans="2:9" ht="21.75" customHeight="1"/>
    <row r="47" spans="2:9" ht="21.75" customHeight="1"/>
    <row r="53" spans="4:4" ht="6" customHeight="1"/>
    <row r="54" spans="4:4">
      <c r="D54" s="401"/>
    </row>
    <row r="55" spans="4:4">
      <c r="D55" s="401" t="s">
        <v>357</v>
      </c>
    </row>
  </sheetData>
  <mergeCells count="17">
    <mergeCell ref="B16:B17"/>
    <mergeCell ref="A1:I1"/>
    <mergeCell ref="B5:D5"/>
    <mergeCell ref="B6:D6"/>
    <mergeCell ref="C7:D7"/>
    <mergeCell ref="B8:B9"/>
    <mergeCell ref="C8:C9"/>
    <mergeCell ref="C10:D10"/>
    <mergeCell ref="B11:B12"/>
    <mergeCell ref="C11:C14"/>
    <mergeCell ref="B13:B14"/>
    <mergeCell ref="C15:D15"/>
    <mergeCell ref="C18:D18"/>
    <mergeCell ref="C19:D19"/>
    <mergeCell ref="C20:D20"/>
    <mergeCell ref="D29:H29"/>
    <mergeCell ref="D33:H33"/>
  </mergeCells>
  <phoneticPr fontId="11"/>
  <printOptions horizontalCentered="1" verticalCentered="1"/>
  <pageMargins left="0.39370078740157483" right="0.39370078740157483" top="0.39370078740157483" bottom="0.19685039370078741" header="0.39370078740157483" footer="0.19685039370078741"/>
  <pageSetup paperSize="9"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B10" zoomScaleNormal="70" zoomScaleSheetLayoutView="100" workbookViewId="0">
      <selection activeCell="AH50" sqref="AH50"/>
    </sheetView>
  </sheetViews>
  <sheetFormatPr defaultRowHeight="13.5"/>
  <cols>
    <col min="1" max="41" width="3.42578125" style="418" customWidth="1"/>
    <col min="42" max="16384" width="9.140625" style="418"/>
  </cols>
  <sheetData/>
  <phoneticPr fontId="11"/>
  <pageMargins left="0.78740157480314965" right="0.31496062992125984" top="1.0236220472440944" bottom="0.43307086614173229" header="0.51181102362204722" footer="0.23622047244094491"/>
  <pageSetup paperSize="9" scale="86" orientation="portrait" horizontalDpi="300" verticalDpi="300" r:id="rId1"/>
  <headerFooter alignWithMargins="0">
    <oddHeader>&amp;L&amp;"HGP創英角ﾎﾟｯﾌﾟ体,標準"&amp;18○参考：市税の収納状況について</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R39"/>
  <sheetViews>
    <sheetView view="pageBreakPreview" zoomScale="60" zoomScaleNormal="100" workbookViewId="0">
      <selection activeCell="AH50" sqref="AH50"/>
    </sheetView>
  </sheetViews>
  <sheetFormatPr defaultRowHeight="13.5" outlineLevelRow="1"/>
  <cols>
    <col min="1" max="1" width="13.5703125" style="418" customWidth="1"/>
    <col min="2" max="2" width="9.140625" style="418"/>
    <col min="3" max="7" width="11.140625" style="418" customWidth="1"/>
    <col min="8" max="8" width="11.140625" style="418" hidden="1" customWidth="1"/>
    <col min="9" max="15" width="9.140625" style="418" hidden="1" customWidth="1"/>
    <col min="16" max="16" width="0.140625" style="418" customWidth="1"/>
    <col min="17" max="16384" width="9.140625" style="418"/>
  </cols>
  <sheetData>
    <row r="3" spans="1:18">
      <c r="A3" s="577"/>
      <c r="B3" s="577"/>
      <c r="C3" s="419" t="s">
        <v>374</v>
      </c>
      <c r="D3" s="419" t="s">
        <v>375</v>
      </c>
      <c r="E3" s="419" t="s">
        <v>376</v>
      </c>
      <c r="F3" s="419" t="s">
        <v>233</v>
      </c>
      <c r="G3" s="419" t="s">
        <v>377</v>
      </c>
      <c r="H3" s="419"/>
      <c r="I3" s="419" t="s">
        <v>378</v>
      </c>
      <c r="J3" s="419" t="s">
        <v>375</v>
      </c>
      <c r="K3" s="419" t="s">
        <v>376</v>
      </c>
      <c r="L3" s="419" t="s">
        <v>233</v>
      </c>
      <c r="M3" s="419" t="s">
        <v>288</v>
      </c>
      <c r="N3" s="419" t="s">
        <v>379</v>
      </c>
      <c r="O3" s="419" t="s">
        <v>380</v>
      </c>
      <c r="R3" s="419" t="s">
        <v>381</v>
      </c>
    </row>
    <row r="4" spans="1:18">
      <c r="A4" s="420" t="s">
        <v>382</v>
      </c>
      <c r="B4" s="420"/>
      <c r="C4" s="420">
        <v>217</v>
      </c>
      <c r="D4" s="420">
        <v>184</v>
      </c>
      <c r="E4" s="420">
        <v>163</v>
      </c>
      <c r="F4" s="420">
        <v>140</v>
      </c>
      <c r="G4" s="420">
        <v>119</v>
      </c>
      <c r="H4" s="420"/>
      <c r="I4" s="420"/>
      <c r="J4" s="420"/>
      <c r="K4" s="420"/>
      <c r="L4" s="420"/>
      <c r="M4" s="420"/>
      <c r="N4" s="420"/>
      <c r="O4" s="420"/>
      <c r="R4" s="420">
        <v>292</v>
      </c>
    </row>
    <row r="5" spans="1:18">
      <c r="A5" s="420" t="s">
        <v>383</v>
      </c>
      <c r="B5" s="420"/>
      <c r="C5" s="420">
        <v>58</v>
      </c>
      <c r="D5" s="421">
        <v>51</v>
      </c>
      <c r="E5" s="421">
        <v>48</v>
      </c>
      <c r="F5" s="421">
        <v>43</v>
      </c>
      <c r="G5" s="421">
        <v>40</v>
      </c>
      <c r="H5" s="421"/>
      <c r="I5" s="421"/>
      <c r="J5" s="421"/>
      <c r="K5" s="421"/>
      <c r="L5" s="421"/>
      <c r="M5" s="421"/>
      <c r="N5" s="421"/>
      <c r="O5" s="420"/>
      <c r="R5" s="420">
        <v>92</v>
      </c>
    </row>
    <row r="6" spans="1:18">
      <c r="A6" s="420" t="s">
        <v>384</v>
      </c>
      <c r="B6" s="420"/>
      <c r="C6" s="420">
        <v>159</v>
      </c>
      <c r="D6" s="422">
        <v>133</v>
      </c>
      <c r="E6" s="422">
        <v>115</v>
      </c>
      <c r="F6" s="422">
        <v>97</v>
      </c>
      <c r="G6" s="422">
        <v>79</v>
      </c>
      <c r="H6" s="422"/>
      <c r="I6" s="422"/>
      <c r="J6" s="422"/>
      <c r="K6" s="422"/>
      <c r="L6" s="422"/>
      <c r="M6" s="422"/>
      <c r="N6" s="422"/>
      <c r="O6" s="420"/>
      <c r="R6" s="420">
        <v>200</v>
      </c>
    </row>
    <row r="7" spans="1:18">
      <c r="A7" s="420" t="s">
        <v>385</v>
      </c>
      <c r="B7" s="420"/>
      <c r="C7" s="423">
        <v>0.99099999999999999</v>
      </c>
      <c r="D7" s="423">
        <v>0.99199999999999999</v>
      </c>
      <c r="E7" s="423">
        <v>0.99299999999999999</v>
      </c>
      <c r="F7" s="423">
        <v>0.99299999999999999</v>
      </c>
      <c r="G7" s="423">
        <v>0.99399999999999999</v>
      </c>
      <c r="H7" s="423"/>
      <c r="I7" s="423"/>
      <c r="J7" s="423"/>
      <c r="K7" s="423"/>
      <c r="L7" s="423"/>
      <c r="M7" s="423"/>
      <c r="N7" s="423"/>
      <c r="O7" s="423"/>
      <c r="R7" s="423">
        <v>0.98599999999999999</v>
      </c>
    </row>
    <row r="8" spans="1:18">
      <c r="A8" s="420" t="s">
        <v>386</v>
      </c>
      <c r="B8" s="420"/>
      <c r="C8" s="423">
        <v>0.96299999999999997</v>
      </c>
      <c r="D8" s="423">
        <v>0.96799999999999997</v>
      </c>
      <c r="E8" s="423">
        <v>0.97199999999999998</v>
      </c>
      <c r="F8" s="423">
        <v>0.97599999999999998</v>
      </c>
      <c r="G8" s="423">
        <v>0.97899999999999998</v>
      </c>
      <c r="H8" s="423"/>
      <c r="I8" s="423"/>
      <c r="J8" s="423"/>
      <c r="K8" s="423"/>
      <c r="L8" s="423"/>
      <c r="M8" s="423"/>
      <c r="N8" s="423"/>
      <c r="O8" s="423"/>
      <c r="R8" s="423">
        <v>0.95399999999999996</v>
      </c>
    </row>
    <row r="13" spans="1:18">
      <c r="A13" s="424"/>
      <c r="B13" s="424" t="s">
        <v>387</v>
      </c>
      <c r="C13" s="424" t="s">
        <v>388</v>
      </c>
      <c r="D13" s="424" t="s">
        <v>389</v>
      </c>
      <c r="E13" s="424" t="s">
        <v>390</v>
      </c>
      <c r="F13" s="424" t="s">
        <v>391</v>
      </c>
      <c r="G13" s="424" t="s">
        <v>392</v>
      </c>
    </row>
    <row r="14" spans="1:18" hidden="1" outlineLevel="1">
      <c r="A14" s="424" t="s">
        <v>393</v>
      </c>
      <c r="B14" s="425">
        <f>ROUND(98.9%,3)</f>
        <v>0.98899999999999999</v>
      </c>
      <c r="C14" s="425">
        <f>ROUND(0.41%,3)</f>
        <v>4.0000000000000001E-3</v>
      </c>
      <c r="D14" s="425">
        <f>ROUND(0.1%,3)</f>
        <v>1E-3</v>
      </c>
      <c r="E14" s="425">
        <f>ROUND(0.05%,3)</f>
        <v>1E-3</v>
      </c>
      <c r="F14" s="425">
        <f>ROUND(0.04%,3)</f>
        <v>0</v>
      </c>
      <c r="G14" s="425">
        <f t="shared" ref="G14:G25" si="0">SUM(B14:F14)</f>
        <v>0.995</v>
      </c>
    </row>
    <row r="15" spans="1:18" hidden="1" outlineLevel="1">
      <c r="A15" s="424" t="s">
        <v>394</v>
      </c>
      <c r="B15" s="425">
        <f>ROUND(98.38%,3)</f>
        <v>0.98399999999999999</v>
      </c>
      <c r="C15" s="425">
        <f>ROUND(0.62%,3)</f>
        <v>6.0000000000000001E-3</v>
      </c>
      <c r="D15" s="425">
        <f>ROUND(0.14%,3)</f>
        <v>1E-3</v>
      </c>
      <c r="E15" s="425">
        <f>ROUND(0.07%,3)</f>
        <v>1E-3</v>
      </c>
      <c r="F15" s="425">
        <f>ROUND(0.06%,3)</f>
        <v>1E-3</v>
      </c>
      <c r="G15" s="425">
        <f t="shared" si="0"/>
        <v>0.99299999999999999</v>
      </c>
    </row>
    <row r="16" spans="1:18" hidden="1" outlineLevel="1">
      <c r="A16" s="424" t="s">
        <v>395</v>
      </c>
      <c r="B16" s="425">
        <f>ROUND(98.1%,3)</f>
        <v>0.98099999999999998</v>
      </c>
      <c r="C16" s="425">
        <f>ROUND(0.75%,3)</f>
        <v>8.0000000000000002E-3</v>
      </c>
      <c r="D16" s="425">
        <f>ROUND(0.19%,3)</f>
        <v>2E-3</v>
      </c>
      <c r="E16" s="425">
        <f>ROUND(0.09%,3)</f>
        <v>1E-3</v>
      </c>
      <c r="F16" s="425">
        <f>ROUND(0.06%,3)</f>
        <v>1E-3</v>
      </c>
      <c r="G16" s="425">
        <f t="shared" si="0"/>
        <v>0.99299999999999999</v>
      </c>
    </row>
    <row r="17" spans="1:7" hidden="1" outlineLevel="1">
      <c r="A17" s="424" t="s">
        <v>396</v>
      </c>
      <c r="B17" s="425">
        <f>ROUND(97.91%,3)</f>
        <v>0.97899999999999998</v>
      </c>
      <c r="C17" s="425">
        <f>ROUND(0.78%,3)</f>
        <v>8.0000000000000002E-3</v>
      </c>
      <c r="D17" s="425">
        <f>ROUND(0.21%,3)</f>
        <v>2E-3</v>
      </c>
      <c r="E17" s="425">
        <f>ROUND(0.13%,3)</f>
        <v>1E-3</v>
      </c>
      <c r="F17" s="425">
        <f>ROUND(0.05%,3)</f>
        <v>1E-3</v>
      </c>
      <c r="G17" s="425">
        <f t="shared" si="0"/>
        <v>0.99099999999999999</v>
      </c>
    </row>
    <row r="18" spans="1:7" hidden="1" outlineLevel="1">
      <c r="A18" s="424" t="s">
        <v>397</v>
      </c>
      <c r="B18" s="425">
        <f>ROUND(97.83%,3)</f>
        <v>0.97799999999999998</v>
      </c>
      <c r="C18" s="425">
        <f>ROUND(0.8%,3)</f>
        <v>8.0000000000000002E-3</v>
      </c>
      <c r="D18" s="425">
        <f>ROUND(0.24%,3)</f>
        <v>2E-3</v>
      </c>
      <c r="E18" s="425">
        <f>ROUND(0.1%,3)</f>
        <v>1E-3</v>
      </c>
      <c r="F18" s="425">
        <f>ROUND(0.06%,3)</f>
        <v>1E-3</v>
      </c>
      <c r="G18" s="425">
        <f t="shared" si="0"/>
        <v>0.99</v>
      </c>
    </row>
    <row r="19" spans="1:7" hidden="1" outlineLevel="1">
      <c r="A19" s="424" t="s">
        <v>398</v>
      </c>
      <c r="B19" s="425">
        <f>ROUND(97.94%,3)</f>
        <v>0.97899999999999998</v>
      </c>
      <c r="C19" s="425">
        <f>ROUND(0.74%,3)</f>
        <v>7.0000000000000001E-3</v>
      </c>
      <c r="D19" s="425">
        <f>ROUND(0.21%,3)</f>
        <v>2E-3</v>
      </c>
      <c r="E19" s="425">
        <f>ROUND(0.09%,3)</f>
        <v>1E-3</v>
      </c>
      <c r="F19" s="425">
        <f>ROUND(0.04%,3)</f>
        <v>0</v>
      </c>
      <c r="G19" s="425">
        <f t="shared" si="0"/>
        <v>0.98899999999999999</v>
      </c>
    </row>
    <row r="20" spans="1:7" hidden="1" outlineLevel="1">
      <c r="A20" s="424" t="s">
        <v>399</v>
      </c>
      <c r="B20" s="425">
        <f>ROUND(97.84%,3)</f>
        <v>0.97799999999999998</v>
      </c>
      <c r="C20" s="425">
        <f>ROUND(0.74%,3)</f>
        <v>7.0000000000000001E-3</v>
      </c>
      <c r="D20" s="425">
        <f>ROUND(0.22%,3)</f>
        <v>2E-3</v>
      </c>
      <c r="E20" s="425">
        <f>ROUND(0.1%,3)</f>
        <v>1E-3</v>
      </c>
      <c r="F20" s="425">
        <f>ROUND(0.06%,3)</f>
        <v>1E-3</v>
      </c>
      <c r="G20" s="425">
        <f t="shared" si="0"/>
        <v>0.98899999999999999</v>
      </c>
    </row>
    <row r="21" spans="1:7" hidden="1" outlineLevel="1">
      <c r="A21" s="424" t="s">
        <v>400</v>
      </c>
      <c r="B21" s="425">
        <f>ROUND(97.69%,3)</f>
        <v>0.97699999999999998</v>
      </c>
      <c r="C21" s="425">
        <f>ROUND(0.85%,3)</f>
        <v>8.9999999999999993E-3</v>
      </c>
      <c r="D21" s="425">
        <f>ROUND(0.23%,3)</f>
        <v>2E-3</v>
      </c>
      <c r="E21" s="425">
        <f>ROUND(0.11%,3)</f>
        <v>1E-3</v>
      </c>
      <c r="F21" s="425">
        <f>ROUND(0.06%,3)</f>
        <v>1E-3</v>
      </c>
      <c r="G21" s="425">
        <f t="shared" si="0"/>
        <v>0.99</v>
      </c>
    </row>
    <row r="22" spans="1:7" hidden="1" outlineLevel="1">
      <c r="A22" s="424" t="s">
        <v>401</v>
      </c>
      <c r="B22" s="425">
        <f>ROUND(97.76%,3)</f>
        <v>0.97799999999999998</v>
      </c>
      <c r="C22" s="425">
        <f>ROUND(0.73%,3)</f>
        <v>7.0000000000000001E-3</v>
      </c>
      <c r="D22" s="425">
        <f>ROUND(0.21%,3)</f>
        <v>2E-3</v>
      </c>
      <c r="E22" s="425">
        <f>ROUND(0.11%,3)</f>
        <v>1E-3</v>
      </c>
      <c r="F22" s="425">
        <f>ROUND(0.09%,3)</f>
        <v>1E-3</v>
      </c>
      <c r="G22" s="425">
        <f t="shared" si="0"/>
        <v>0.98899999999999999</v>
      </c>
    </row>
    <row r="23" spans="1:7" hidden="1" outlineLevel="1">
      <c r="A23" s="424" t="s">
        <v>402</v>
      </c>
      <c r="B23" s="425">
        <f>ROUND(97.91%,3)</f>
        <v>0.97899999999999998</v>
      </c>
      <c r="C23" s="425">
        <f>ROUND(0.69%,3)</f>
        <v>7.0000000000000001E-3</v>
      </c>
      <c r="D23" s="425">
        <f>ROUND(0.23%,3)</f>
        <v>2E-3</v>
      </c>
      <c r="E23" s="425">
        <f>ROUND(0.14%,3)</f>
        <v>1E-3</v>
      </c>
      <c r="F23" s="425">
        <f>ROUND(0.08%,3)</f>
        <v>1E-3</v>
      </c>
      <c r="G23" s="425">
        <f t="shared" si="0"/>
        <v>0.99</v>
      </c>
    </row>
    <row r="24" spans="1:7" hidden="1" outlineLevel="1">
      <c r="A24" s="424" t="s">
        <v>403</v>
      </c>
      <c r="B24" s="425">
        <f>ROUND(98%,3)</f>
        <v>0.98</v>
      </c>
      <c r="C24" s="425">
        <f>ROUND(0.7%,3)</f>
        <v>7.0000000000000001E-3</v>
      </c>
      <c r="D24" s="425">
        <f>ROUND(0.25%,3)</f>
        <v>3.0000000000000001E-3</v>
      </c>
      <c r="E24" s="425">
        <f>ROUND(0.13%,3)</f>
        <v>1E-3</v>
      </c>
      <c r="F24" s="425">
        <v>1E-3</v>
      </c>
      <c r="G24" s="425">
        <f t="shared" si="0"/>
        <v>0.99199999999999999</v>
      </c>
    </row>
    <row r="25" spans="1:7" hidden="1" outlineLevel="1">
      <c r="A25" s="424" t="s">
        <v>404</v>
      </c>
      <c r="B25" s="425">
        <f>ROUND(98.01%,3)</f>
        <v>0.98</v>
      </c>
      <c r="C25" s="425">
        <f>ROUND(0.75%,3)</f>
        <v>8.0000000000000002E-3</v>
      </c>
      <c r="D25" s="425">
        <f>ROUND(0.24%,3)</f>
        <v>2E-3</v>
      </c>
      <c r="E25" s="425">
        <v>1E-3</v>
      </c>
      <c r="F25" s="425">
        <v>1E-3</v>
      </c>
      <c r="G25" s="425">
        <f t="shared" si="0"/>
        <v>0.99199999999999999</v>
      </c>
    </row>
    <row r="26" spans="1:7" hidden="1">
      <c r="A26" s="424" t="s">
        <v>405</v>
      </c>
      <c r="B26" s="425">
        <v>0.98699999999999999</v>
      </c>
      <c r="C26" s="425">
        <v>6.0000000000000001E-3</v>
      </c>
      <c r="D26" s="425">
        <v>1E-3</v>
      </c>
      <c r="E26" s="425">
        <v>1E-3</v>
      </c>
      <c r="F26" s="425">
        <v>1E-3</v>
      </c>
      <c r="G26" s="425">
        <v>0.99539999999999995</v>
      </c>
    </row>
    <row r="27" spans="1:7" hidden="1">
      <c r="A27" s="424" t="s">
        <v>406</v>
      </c>
      <c r="B27" s="425">
        <v>0.98799999999999999</v>
      </c>
      <c r="C27" s="425">
        <v>5.0000000000000001E-3</v>
      </c>
      <c r="D27" s="425">
        <v>1E-3</v>
      </c>
      <c r="E27" s="425">
        <v>1E-3</v>
      </c>
      <c r="F27" s="425">
        <f>[1]課税年度別収入歩合!F82</f>
        <v>1E-3</v>
      </c>
      <c r="G27" s="426">
        <f t="shared" ref="G27:G29" si="1">SUM(B27:F27)</f>
        <v>0.996</v>
      </c>
    </row>
    <row r="28" spans="1:7" hidden="1">
      <c r="A28" s="427" t="s">
        <v>381</v>
      </c>
      <c r="B28" s="425">
        <f>[2]課税年度別収入歩合!B83</f>
        <v>0.98599999999999999</v>
      </c>
      <c r="C28" s="425">
        <f>[2]課税年度別収入歩合!C83</f>
        <v>5.0000000000000001E-3</v>
      </c>
      <c r="D28" s="425">
        <f>[2]課税年度別収入歩合!D83</f>
        <v>2E-3</v>
      </c>
      <c r="E28" s="425">
        <f>[2]課税年度別収入歩合!E83</f>
        <v>1E-3</v>
      </c>
      <c r="F28" s="425">
        <f>[2]課税年度別収入歩合!F83</f>
        <v>1E-3</v>
      </c>
      <c r="G28" s="426">
        <f t="shared" si="1"/>
        <v>0.995</v>
      </c>
    </row>
    <row r="29" spans="1:7" hidden="1">
      <c r="A29" s="427" t="s">
        <v>171</v>
      </c>
      <c r="B29" s="425">
        <f>[2]課税年度別収入歩合!B84</f>
        <v>0.98599999999999999</v>
      </c>
      <c r="C29" s="425">
        <f>[2]課税年度別収入歩合!C84</f>
        <v>5.0000000000000001E-3</v>
      </c>
      <c r="D29" s="425">
        <f>[2]課税年度別収入歩合!D84</f>
        <v>2E-3</v>
      </c>
      <c r="E29" s="425">
        <f>[2]課税年度別収入歩合!E84</f>
        <v>1E-3</v>
      </c>
      <c r="F29" s="428">
        <f>[2]課税年度別収入歩合!F84</f>
        <v>1E-3</v>
      </c>
      <c r="G29" s="426">
        <f t="shared" si="1"/>
        <v>0.995</v>
      </c>
    </row>
    <row r="30" spans="1:7" hidden="1">
      <c r="A30" s="427" t="s">
        <v>407</v>
      </c>
      <c r="B30" s="425">
        <f>[2]課税年度別収入歩合!B85</f>
        <v>0.98499999999999999</v>
      </c>
      <c r="C30" s="425">
        <f>[2]課税年度別収入歩合!C85</f>
        <v>6.0000000000000001E-3</v>
      </c>
      <c r="D30" s="425">
        <f>[2]課税年度別収入歩合!D85</f>
        <v>2E-3</v>
      </c>
      <c r="E30" s="425">
        <f>[2]課税年度別収入歩合!E85</f>
        <v>1E-3</v>
      </c>
      <c r="F30" s="425">
        <f>[2]課税年度別収入歩合!F85</f>
        <v>1E-3</v>
      </c>
      <c r="G30" s="426">
        <f>SUM(B30:F30)</f>
        <v>0.995</v>
      </c>
    </row>
    <row r="31" spans="1:7" hidden="1">
      <c r="A31" s="427" t="s">
        <v>408</v>
      </c>
      <c r="B31" s="425">
        <f>[2]課税年度別収入歩合!B86</f>
        <v>0.98699999999999999</v>
      </c>
      <c r="C31" s="425">
        <f>[2]課税年度別収入歩合!C86</f>
        <v>5.0000000000000001E-3</v>
      </c>
      <c r="D31" s="425">
        <f>[2]課税年度別収入歩合!D86</f>
        <v>2E-3</v>
      </c>
      <c r="E31" s="425">
        <f>[2]課税年度別収入歩合!E86</f>
        <v>1E-3</v>
      </c>
      <c r="F31" s="425">
        <f>[2]課税年度別収入歩合!F86</f>
        <v>0</v>
      </c>
      <c r="G31" s="426">
        <f>SUM(B31:F31)</f>
        <v>0.995</v>
      </c>
    </row>
    <row r="32" spans="1:7" hidden="1">
      <c r="A32" s="427" t="s">
        <v>409</v>
      </c>
      <c r="B32" s="425">
        <f>[2]課税年度別収入歩合!B87</f>
        <v>0.98899999999999999</v>
      </c>
      <c r="C32" s="425">
        <f>[2]課税年度別収入歩合!C87</f>
        <v>5.0000000000000001E-3</v>
      </c>
      <c r="D32" s="425">
        <f>[2]課税年度別収入歩合!D87</f>
        <v>1E-3</v>
      </c>
      <c r="E32" s="425">
        <f>[2]課税年度別収入歩合!E87</f>
        <v>1E-3</v>
      </c>
      <c r="F32" s="425">
        <v>0</v>
      </c>
      <c r="G32" s="426">
        <f>SUM(B32:F32)</f>
        <v>0.996</v>
      </c>
    </row>
    <row r="33" spans="1:7">
      <c r="A33" s="427" t="s">
        <v>378</v>
      </c>
      <c r="B33" s="425">
        <v>0.99099999999999999</v>
      </c>
      <c r="C33" s="425">
        <v>4.0000000000000001E-3</v>
      </c>
      <c r="D33" s="425">
        <v>1E-3</v>
      </c>
      <c r="E33" s="425">
        <v>1E-3</v>
      </c>
      <c r="F33" s="425">
        <v>0</v>
      </c>
      <c r="G33" s="426">
        <v>0.997</v>
      </c>
    </row>
    <row r="34" spans="1:7">
      <c r="A34" s="427" t="s">
        <v>375</v>
      </c>
      <c r="B34" s="425">
        <v>0.99199999999999999</v>
      </c>
      <c r="C34" s="425">
        <v>3.0000000000000001E-3</v>
      </c>
      <c r="D34" s="425">
        <v>1E-3</v>
      </c>
      <c r="E34" s="425">
        <v>1E-3</v>
      </c>
      <c r="F34" s="425" t="s">
        <v>410</v>
      </c>
      <c r="G34" s="426">
        <v>0.997</v>
      </c>
    </row>
    <row r="35" spans="1:7" ht="13.5" customHeight="1">
      <c r="A35" s="427" t="s">
        <v>376</v>
      </c>
      <c r="B35" s="425">
        <v>0.99299999999999999</v>
      </c>
      <c r="C35" s="425">
        <v>3.0000000000000001E-3</v>
      </c>
      <c r="D35" s="425">
        <v>1E-3</v>
      </c>
      <c r="E35" s="425" t="s">
        <v>410</v>
      </c>
      <c r="F35" s="425" t="s">
        <v>410</v>
      </c>
      <c r="G35" s="426">
        <v>0.997</v>
      </c>
    </row>
    <row r="36" spans="1:7" ht="13.5" customHeight="1">
      <c r="A36" s="427" t="s">
        <v>233</v>
      </c>
      <c r="B36" s="425">
        <v>0.99299999999999999</v>
      </c>
      <c r="C36" s="425">
        <v>3.0000000000000001E-3</v>
      </c>
      <c r="D36" s="425" t="s">
        <v>410</v>
      </c>
      <c r="E36" s="425" t="s">
        <v>410</v>
      </c>
      <c r="F36" s="425" t="s">
        <v>410</v>
      </c>
      <c r="G36" s="426">
        <v>0.996</v>
      </c>
    </row>
    <row r="37" spans="1:7" ht="13.5" customHeight="1">
      <c r="A37" s="427" t="s">
        <v>377</v>
      </c>
      <c r="B37" s="425">
        <v>0.99399999999999999</v>
      </c>
      <c r="C37" s="429">
        <v>0</v>
      </c>
      <c r="D37" s="429">
        <v>0</v>
      </c>
      <c r="E37" s="429">
        <v>0</v>
      </c>
      <c r="F37" s="429">
        <v>0</v>
      </c>
      <c r="G37" s="426">
        <v>0.99399999999999999</v>
      </c>
    </row>
    <row r="38" spans="1:7" ht="21.75" hidden="1" customHeight="1">
      <c r="A38" s="427" t="s">
        <v>379</v>
      </c>
      <c r="B38" s="425">
        <f>[2]課税年度別収入歩合!B94</f>
        <v>0</v>
      </c>
      <c r="C38" s="425">
        <f>[2]課税年度別収入歩合!C94</f>
        <v>0</v>
      </c>
      <c r="D38" s="425">
        <f>[2]課税年度別収入歩合!D94</f>
        <v>0</v>
      </c>
      <c r="E38" s="425">
        <f>[2]課税年度別収入歩合!E94</f>
        <v>0</v>
      </c>
      <c r="F38" s="425">
        <f>[2]課税年度別収入歩合!F94</f>
        <v>0</v>
      </c>
      <c r="G38" s="426">
        <f t="shared" ref="G38:G39" si="2">SUM(B38:F38)</f>
        <v>0</v>
      </c>
    </row>
    <row r="39" spans="1:7" ht="15" hidden="1" customHeight="1">
      <c r="A39" s="427" t="s">
        <v>380</v>
      </c>
      <c r="B39" s="425">
        <f>[2]課税年度別収入歩合!B95</f>
        <v>0</v>
      </c>
      <c r="C39" s="425">
        <f>[2]課税年度別収入歩合!C95</f>
        <v>0</v>
      </c>
      <c r="D39" s="425">
        <f>[2]課税年度別収入歩合!D95</f>
        <v>0</v>
      </c>
      <c r="E39" s="425">
        <f>[2]課税年度別収入歩合!E95</f>
        <v>0</v>
      </c>
      <c r="F39" s="425">
        <f>[2]課税年度別収入歩合!F95</f>
        <v>0</v>
      </c>
      <c r="G39" s="426">
        <f t="shared" si="2"/>
        <v>0</v>
      </c>
    </row>
  </sheetData>
  <mergeCells count="1">
    <mergeCell ref="A3:B3"/>
  </mergeCells>
  <phoneticPr fontId="11"/>
  <pageMargins left="0.78700000000000003" right="0.78700000000000003" top="0.98399999999999999" bottom="0.98399999999999999" header="0.51200000000000001" footer="0.51200000000000001"/>
  <pageSetup paperSize="9" scale="7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20"/>
  <sheetViews>
    <sheetView view="pageBreakPreview" topLeftCell="B1" zoomScaleNormal="100" zoomScaleSheetLayoutView="100" workbookViewId="0">
      <pane xSplit="1" topLeftCell="E1" activePane="topRight" state="frozen"/>
      <selection activeCell="B1" sqref="B1"/>
      <selection pane="topRight" activeCell="G16" sqref="G16"/>
    </sheetView>
  </sheetViews>
  <sheetFormatPr defaultRowHeight="12.75"/>
  <cols>
    <col min="1" max="1" width="9.140625" style="1"/>
    <col min="2" max="2" width="13.140625" style="1" customWidth="1"/>
    <col min="3" max="23" width="11.85546875" style="1" customWidth="1"/>
    <col min="24" max="16384" width="9.140625" style="1"/>
  </cols>
  <sheetData>
    <row r="2" spans="2:23">
      <c r="C2" s="36" t="s">
        <v>52</v>
      </c>
      <c r="D2" s="36" t="s">
        <v>111</v>
      </c>
      <c r="E2" s="36" t="s">
        <v>53</v>
      </c>
      <c r="F2" s="36" t="s">
        <v>112</v>
      </c>
      <c r="G2" s="36" t="s">
        <v>54</v>
      </c>
      <c r="H2" s="36" t="s">
        <v>113</v>
      </c>
      <c r="I2" s="36" t="s">
        <v>55</v>
      </c>
      <c r="J2" s="36" t="s">
        <v>114</v>
      </c>
      <c r="K2" s="36" t="s">
        <v>56</v>
      </c>
      <c r="L2" s="36" t="s">
        <v>65</v>
      </c>
      <c r="M2" s="36" t="s">
        <v>67</v>
      </c>
      <c r="N2" s="36" t="s">
        <v>109</v>
      </c>
      <c r="O2" s="36" t="s">
        <v>127</v>
      </c>
      <c r="P2" s="36" t="s">
        <v>131</v>
      </c>
      <c r="Q2" s="36" t="s">
        <v>136</v>
      </c>
      <c r="R2" s="36" t="s">
        <v>175</v>
      </c>
      <c r="S2" s="36" t="s">
        <v>188</v>
      </c>
      <c r="T2" s="36" t="s">
        <v>217</v>
      </c>
      <c r="U2" s="36" t="s">
        <v>228</v>
      </c>
      <c r="V2" s="36" t="s">
        <v>241</v>
      </c>
      <c r="W2" s="36" t="s">
        <v>300</v>
      </c>
    </row>
    <row r="3" spans="2:23">
      <c r="B3" s="1" t="s">
        <v>57</v>
      </c>
      <c r="C3" s="1">
        <v>777637</v>
      </c>
      <c r="D3" s="1">
        <v>775187</v>
      </c>
      <c r="E3" s="1">
        <v>738656</v>
      </c>
      <c r="F3" s="1">
        <v>712955</v>
      </c>
      <c r="G3" s="1">
        <v>686522</v>
      </c>
      <c r="H3" s="1">
        <v>665501</v>
      </c>
      <c r="I3" s="1">
        <v>635039</v>
      </c>
      <c r="J3" s="1">
        <v>613049</v>
      </c>
      <c r="K3" s="1">
        <v>618500</v>
      </c>
      <c r="L3" s="1">
        <v>628573</v>
      </c>
      <c r="M3" s="1">
        <v>652624</v>
      </c>
      <c r="N3" s="1">
        <v>678485</v>
      </c>
      <c r="O3" s="1">
        <v>670787</v>
      </c>
      <c r="P3" s="1">
        <v>623613</v>
      </c>
      <c r="Q3" s="44">
        <v>626018</v>
      </c>
      <c r="R3" s="44">
        <v>636066</v>
      </c>
      <c r="S3" s="44">
        <v>627006</v>
      </c>
      <c r="T3" s="44">
        <v>641870</v>
      </c>
      <c r="U3" s="44">
        <v>659256</v>
      </c>
      <c r="V3" s="44">
        <v>660088</v>
      </c>
      <c r="W3" s="44">
        <v>659473</v>
      </c>
    </row>
    <row r="4" spans="2:23">
      <c r="B4" s="1" t="s">
        <v>58</v>
      </c>
      <c r="C4" s="1">
        <v>333494</v>
      </c>
      <c r="D4" s="1">
        <v>339766</v>
      </c>
      <c r="E4" s="1">
        <v>344027</v>
      </c>
      <c r="F4" s="1">
        <v>344624</v>
      </c>
      <c r="G4" s="1">
        <v>343620</v>
      </c>
      <c r="H4" s="1">
        <v>342117</v>
      </c>
      <c r="I4" s="1">
        <v>328600</v>
      </c>
      <c r="J4" s="1">
        <v>324236</v>
      </c>
      <c r="K4" s="1">
        <v>312114</v>
      </c>
      <c r="L4" s="1">
        <v>295822</v>
      </c>
      <c r="M4" s="1">
        <v>278549</v>
      </c>
      <c r="N4" s="1">
        <v>275570</v>
      </c>
      <c r="O4" s="1">
        <v>256522</v>
      </c>
      <c r="P4" s="1">
        <v>243904</v>
      </c>
      <c r="Q4" s="44">
        <v>239462</v>
      </c>
      <c r="R4" s="44">
        <v>241497</v>
      </c>
      <c r="S4" s="44">
        <v>232278</v>
      </c>
      <c r="T4" s="44">
        <v>209070</v>
      </c>
      <c r="U4" s="44">
        <v>207535</v>
      </c>
      <c r="V4" s="44">
        <v>203645</v>
      </c>
      <c r="W4" s="44">
        <v>196519</v>
      </c>
    </row>
    <row r="5" spans="2:23">
      <c r="B5" s="1" t="s">
        <v>59</v>
      </c>
      <c r="C5" s="1">
        <v>217325</v>
      </c>
      <c r="D5" s="1">
        <v>231951</v>
      </c>
      <c r="E5" s="1">
        <v>246904</v>
      </c>
      <c r="F5" s="1">
        <v>264778</v>
      </c>
      <c r="G5" s="1">
        <v>255380</v>
      </c>
      <c r="H5" s="1">
        <v>275392</v>
      </c>
      <c r="I5" s="1">
        <v>296340</v>
      </c>
      <c r="J5" s="1">
        <v>327848</v>
      </c>
      <c r="K5" s="1">
        <v>346732</v>
      </c>
      <c r="L5" s="1">
        <v>356313</v>
      </c>
      <c r="M5" s="1">
        <v>363149</v>
      </c>
      <c r="N5" s="1">
        <v>374569</v>
      </c>
      <c r="O5" s="1">
        <v>384863</v>
      </c>
      <c r="P5" s="1">
        <v>426249</v>
      </c>
      <c r="Q5" s="44">
        <v>481221</v>
      </c>
      <c r="R5" s="44">
        <v>496850</v>
      </c>
      <c r="S5" s="44">
        <v>498403</v>
      </c>
      <c r="T5" s="44">
        <v>501060</v>
      </c>
      <c r="U5" s="44">
        <v>517169</v>
      </c>
      <c r="V5" s="44">
        <v>528188</v>
      </c>
      <c r="W5" s="44">
        <v>541680</v>
      </c>
    </row>
    <row r="6" spans="2:23">
      <c r="B6" s="1" t="s">
        <v>4</v>
      </c>
      <c r="C6" s="1">
        <v>1738255</v>
      </c>
      <c r="D6" s="1">
        <v>1962349</v>
      </c>
      <c r="E6" s="1">
        <v>2279721</v>
      </c>
      <c r="F6" s="1">
        <v>2431273</v>
      </c>
      <c r="G6" s="1">
        <v>2532886</v>
      </c>
      <c r="H6" s="1">
        <v>2628930</v>
      </c>
      <c r="I6" s="1">
        <v>2716248</v>
      </c>
      <c r="J6" s="1">
        <v>2809765</v>
      </c>
      <c r="K6" s="1">
        <v>2853155</v>
      </c>
      <c r="L6" s="1">
        <v>2916377</v>
      </c>
      <c r="M6" s="1">
        <v>2849274</v>
      </c>
      <c r="N6" s="1">
        <v>2833410</v>
      </c>
      <c r="O6" s="1">
        <v>2814500</v>
      </c>
      <c r="P6" s="1">
        <v>2797041</v>
      </c>
      <c r="Q6" s="44">
        <v>2770468</v>
      </c>
      <c r="R6" s="44">
        <v>2745021</v>
      </c>
      <c r="S6" s="44">
        <v>2660209</v>
      </c>
      <c r="T6" s="44">
        <v>2578573</v>
      </c>
      <c r="U6" s="44">
        <v>2473326</v>
      </c>
      <c r="V6" s="44">
        <v>2327260</v>
      </c>
      <c r="W6" s="44">
        <v>2185864</v>
      </c>
    </row>
    <row r="7" spans="2:23">
      <c r="B7" s="1" t="s">
        <v>62</v>
      </c>
      <c r="C7" s="1">
        <v>145516</v>
      </c>
      <c r="D7" s="1">
        <v>160175</v>
      </c>
      <c r="E7" s="1">
        <v>166464</v>
      </c>
      <c r="F7" s="1">
        <v>189404</v>
      </c>
      <c r="G7" s="1">
        <v>199166</v>
      </c>
      <c r="H7" s="1">
        <v>209993</v>
      </c>
      <c r="I7" s="1">
        <v>233813</v>
      </c>
      <c r="J7" s="1">
        <v>218849</v>
      </c>
      <c r="K7" s="1">
        <v>217563</v>
      </c>
      <c r="L7" s="1">
        <v>210400</v>
      </c>
      <c r="M7" s="1">
        <v>207507</v>
      </c>
      <c r="N7" s="1">
        <v>207387</v>
      </c>
      <c r="O7" s="1">
        <v>213802</v>
      </c>
      <c r="P7" s="1">
        <v>221510</v>
      </c>
      <c r="Q7" s="44">
        <v>222238</v>
      </c>
      <c r="R7" s="44">
        <v>237153</v>
      </c>
      <c r="S7" s="44">
        <v>260026</v>
      </c>
      <c r="T7" s="44">
        <v>279755</v>
      </c>
      <c r="U7" s="44">
        <v>265954</v>
      </c>
      <c r="V7" s="44">
        <v>278423</v>
      </c>
      <c r="W7" s="44">
        <v>265961</v>
      </c>
    </row>
    <row r="8" spans="2:23">
      <c r="B8" s="1" t="s">
        <v>60</v>
      </c>
      <c r="C8" s="1">
        <v>490419</v>
      </c>
      <c r="D8" s="1">
        <v>473096</v>
      </c>
      <c r="E8" s="1">
        <v>555592</v>
      </c>
      <c r="F8" s="1">
        <v>407813</v>
      </c>
      <c r="G8" s="1">
        <v>390207</v>
      </c>
      <c r="H8" s="1">
        <v>357302</v>
      </c>
      <c r="I8" s="1">
        <v>287916</v>
      </c>
      <c r="J8" s="1">
        <v>219703</v>
      </c>
      <c r="K8" s="1">
        <v>185020</v>
      </c>
      <c r="L8" s="1">
        <v>166774</v>
      </c>
      <c r="M8" s="1">
        <v>150545</v>
      </c>
      <c r="N8" s="1">
        <v>162129</v>
      </c>
      <c r="O8" s="1">
        <v>124207</v>
      </c>
      <c r="P8" s="1">
        <v>125825</v>
      </c>
      <c r="Q8" s="44">
        <v>95376</v>
      </c>
      <c r="R8" s="44">
        <v>90088</v>
      </c>
      <c r="S8" s="44">
        <v>76715</v>
      </c>
      <c r="T8" s="44">
        <v>83723</v>
      </c>
      <c r="U8" s="44">
        <v>101864</v>
      </c>
      <c r="V8" s="44">
        <v>100879</v>
      </c>
      <c r="W8" s="44">
        <v>100112</v>
      </c>
    </row>
    <row r="9" spans="2:23" ht="38.25">
      <c r="B9" s="35" t="s">
        <v>63</v>
      </c>
      <c r="C9" s="1">
        <v>240033</v>
      </c>
      <c r="D9" s="1">
        <v>229735</v>
      </c>
      <c r="E9" s="1">
        <v>219874</v>
      </c>
      <c r="F9" s="1">
        <v>216215</v>
      </c>
      <c r="G9" s="1">
        <v>198050</v>
      </c>
      <c r="H9" s="1">
        <v>179038</v>
      </c>
      <c r="I9" s="1">
        <v>160512</v>
      </c>
      <c r="J9" s="1">
        <v>151682</v>
      </c>
      <c r="K9" s="1">
        <v>141757</v>
      </c>
      <c r="L9" s="1">
        <v>134363</v>
      </c>
      <c r="M9" s="1">
        <v>130355</v>
      </c>
      <c r="N9" s="1">
        <v>130194</v>
      </c>
      <c r="O9" s="1">
        <v>130276</v>
      </c>
      <c r="P9" s="1">
        <v>135929</v>
      </c>
      <c r="Q9" s="44">
        <v>138152</v>
      </c>
      <c r="R9" s="44">
        <v>135459</v>
      </c>
      <c r="S9" s="44">
        <v>132093</v>
      </c>
      <c r="T9" s="44">
        <v>130665</v>
      </c>
      <c r="U9" s="44">
        <v>129916</v>
      </c>
      <c r="V9" s="44">
        <v>130341</v>
      </c>
      <c r="W9" s="44">
        <v>130977</v>
      </c>
    </row>
    <row r="10" spans="2:23">
      <c r="D10" s="34"/>
      <c r="E10" s="34"/>
    </row>
    <row r="12" spans="2:23">
      <c r="B12" s="1" t="s">
        <v>61</v>
      </c>
    </row>
    <row r="13" spans="2:23">
      <c r="C13" s="2" t="s">
        <v>52</v>
      </c>
      <c r="D13" s="2" t="s">
        <v>111</v>
      </c>
      <c r="E13" s="2" t="s">
        <v>53</v>
      </c>
      <c r="F13" s="2" t="s">
        <v>112</v>
      </c>
      <c r="G13" s="2" t="s">
        <v>54</v>
      </c>
      <c r="H13" s="2" t="s">
        <v>113</v>
      </c>
      <c r="I13" s="2" t="s">
        <v>55</v>
      </c>
      <c r="J13" s="2" t="s">
        <v>114</v>
      </c>
      <c r="K13" s="2" t="s">
        <v>56</v>
      </c>
      <c r="L13" s="2" t="s">
        <v>65</v>
      </c>
      <c r="M13" s="2" t="s">
        <v>67</v>
      </c>
      <c r="N13" s="2" t="s">
        <v>109</v>
      </c>
      <c r="O13" s="2" t="s">
        <v>127</v>
      </c>
      <c r="P13" s="2" t="s">
        <v>131</v>
      </c>
      <c r="Q13" s="2" t="s">
        <v>136</v>
      </c>
      <c r="R13" s="2" t="s">
        <v>175</v>
      </c>
      <c r="S13" s="36" t="s">
        <v>188</v>
      </c>
      <c r="T13" s="2" t="s">
        <v>217</v>
      </c>
      <c r="U13" s="2" t="s">
        <v>228</v>
      </c>
      <c r="V13" s="2" t="s">
        <v>241</v>
      </c>
      <c r="W13" s="2" t="s">
        <v>300</v>
      </c>
    </row>
    <row r="14" spans="2:23">
      <c r="B14" s="1" t="s">
        <v>57</v>
      </c>
      <c r="C14" s="34">
        <f t="shared" ref="C14:O14" si="0">C3/$C$3*100</f>
        <v>100</v>
      </c>
      <c r="D14" s="34">
        <f t="shared" si="0"/>
        <v>99.684942974678421</v>
      </c>
      <c r="E14" s="34">
        <f t="shared" si="0"/>
        <v>94.987249835077293</v>
      </c>
      <c r="F14" s="34">
        <f t="shared" si="0"/>
        <v>91.682237342101786</v>
      </c>
      <c r="G14" s="34">
        <f t="shared" si="0"/>
        <v>88.283093525642428</v>
      </c>
      <c r="H14" s="34">
        <f t="shared" si="0"/>
        <v>85.579904248383244</v>
      </c>
      <c r="I14" s="34">
        <f t="shared" si="0"/>
        <v>81.662652368650157</v>
      </c>
      <c r="J14" s="34">
        <f t="shared" si="0"/>
        <v>78.834854823008683</v>
      </c>
      <c r="K14" s="34">
        <f>K3/$C$3*100</f>
        <v>79.535824555673145</v>
      </c>
      <c r="L14" s="34">
        <f t="shared" si="0"/>
        <v>80.831159011209593</v>
      </c>
      <c r="M14" s="34">
        <f t="shared" si="0"/>
        <v>83.923990242233842</v>
      </c>
      <c r="N14" s="34">
        <f>N3/$C$3*100</f>
        <v>87.249577887883419</v>
      </c>
      <c r="O14" s="34">
        <f t="shared" si="0"/>
        <v>86.259655854852596</v>
      </c>
      <c r="P14" s="34">
        <f t="shared" ref="P14:U14" si="1">P3/$C$3*100</f>
        <v>80.193329278313669</v>
      </c>
      <c r="Q14" s="34">
        <f t="shared" si="1"/>
        <v>80.502599541945656</v>
      </c>
      <c r="R14" s="34">
        <f t="shared" si="1"/>
        <v>81.794719129876796</v>
      </c>
      <c r="S14" s="34">
        <f t="shared" si="1"/>
        <v>80.629651109708007</v>
      </c>
      <c r="T14" s="34">
        <f t="shared" si="1"/>
        <v>82.541082793128425</v>
      </c>
      <c r="U14" s="34">
        <f t="shared" si="1"/>
        <v>84.776830320573737</v>
      </c>
      <c r="V14" s="34">
        <f t="shared" ref="V14:W14" si="2">V3/$C$3*100</f>
        <v>84.883821114478863</v>
      </c>
      <c r="W14" s="34">
        <f t="shared" si="2"/>
        <v>84.804735371387935</v>
      </c>
    </row>
    <row r="15" spans="2:23">
      <c r="B15" s="1" t="s">
        <v>58</v>
      </c>
      <c r="C15" s="34">
        <f t="shared" ref="C15:O15" si="3">C4/$C$4*100</f>
        <v>100</v>
      </c>
      <c r="D15" s="34">
        <f t="shared" si="3"/>
        <v>101.88069350573024</v>
      </c>
      <c r="E15" s="34">
        <f t="shared" si="3"/>
        <v>103.15837766196694</v>
      </c>
      <c r="F15" s="34">
        <f t="shared" si="3"/>
        <v>103.33739137735611</v>
      </c>
      <c r="G15" s="34">
        <f t="shared" si="3"/>
        <v>103.03633648581383</v>
      </c>
      <c r="H15" s="34">
        <f t="shared" si="3"/>
        <v>102.58565371490943</v>
      </c>
      <c r="I15" s="34">
        <f t="shared" si="3"/>
        <v>98.532507331466235</v>
      </c>
      <c r="J15" s="34">
        <f t="shared" si="3"/>
        <v>97.223938061854184</v>
      </c>
      <c r="K15" s="34">
        <f t="shared" si="3"/>
        <v>93.589090058591765</v>
      </c>
      <c r="L15" s="34">
        <f t="shared" si="3"/>
        <v>88.703844746832033</v>
      </c>
      <c r="M15" s="34">
        <f t="shared" si="3"/>
        <v>83.524441219332274</v>
      </c>
      <c r="N15" s="34">
        <f t="shared" si="3"/>
        <v>82.631171775204351</v>
      </c>
      <c r="O15" s="34">
        <f t="shared" si="3"/>
        <v>76.919524789051678</v>
      </c>
      <c r="P15" s="34">
        <f t="shared" ref="P15:U15" si="4">P4/$C$4*100</f>
        <v>73.135948472836091</v>
      </c>
      <c r="Q15" s="34">
        <f t="shared" si="4"/>
        <v>71.803990476590286</v>
      </c>
      <c r="R15" s="34">
        <f t="shared" si="4"/>
        <v>72.414196357355749</v>
      </c>
      <c r="S15" s="34">
        <f t="shared" si="4"/>
        <v>69.649828782526825</v>
      </c>
      <c r="T15" s="34">
        <f t="shared" si="4"/>
        <v>62.690783042573486</v>
      </c>
      <c r="U15" s="34">
        <f t="shared" si="4"/>
        <v>62.230504896639815</v>
      </c>
      <c r="V15" s="34">
        <f t="shared" ref="V15:W15" si="5">V4/$C$4*100</f>
        <v>61.064067119648321</v>
      </c>
      <c r="W15" s="34">
        <f t="shared" si="5"/>
        <v>58.927297042825359</v>
      </c>
    </row>
    <row r="16" spans="2:23">
      <c r="B16" s="1" t="s">
        <v>59</v>
      </c>
      <c r="C16" s="34">
        <f t="shared" ref="C16:O16" si="6">C5/$C$5*100</f>
        <v>100</v>
      </c>
      <c r="D16" s="34">
        <f t="shared" si="6"/>
        <v>106.73001265385942</v>
      </c>
      <c r="E16" s="34">
        <f t="shared" si="6"/>
        <v>113.61049119981594</v>
      </c>
      <c r="F16" s="34">
        <f t="shared" si="6"/>
        <v>121.83503968710457</v>
      </c>
      <c r="G16" s="34">
        <f t="shared" si="6"/>
        <v>117.51064074542737</v>
      </c>
      <c r="H16" s="34">
        <f t="shared" si="6"/>
        <v>126.71896928563211</v>
      </c>
      <c r="I16" s="34">
        <f t="shared" si="6"/>
        <v>136.35798918670196</v>
      </c>
      <c r="J16" s="34">
        <f t="shared" si="6"/>
        <v>150.85609110778788</v>
      </c>
      <c r="K16" s="34">
        <f>K5/$C$5*100</f>
        <v>159.54538134130908</v>
      </c>
      <c r="L16" s="34">
        <f t="shared" si="6"/>
        <v>163.95398596571954</v>
      </c>
      <c r="M16" s="34">
        <f t="shared" si="6"/>
        <v>167.0995053491315</v>
      </c>
      <c r="N16" s="34">
        <f t="shared" si="6"/>
        <v>172.35430806395951</v>
      </c>
      <c r="O16" s="34">
        <f t="shared" si="6"/>
        <v>177.09099275278962</v>
      </c>
      <c r="P16" s="34">
        <f t="shared" ref="P16:U16" si="7">P5/$C$5*100</f>
        <v>196.13436098009893</v>
      </c>
      <c r="Q16" s="34">
        <f t="shared" si="7"/>
        <v>221.42919590475097</v>
      </c>
      <c r="R16" s="34">
        <f t="shared" si="7"/>
        <v>228.62072932244334</v>
      </c>
      <c r="S16" s="34">
        <f t="shared" si="7"/>
        <v>229.33532727481884</v>
      </c>
      <c r="T16" s="34">
        <f t="shared" si="7"/>
        <v>230.5579201656505</v>
      </c>
      <c r="U16" s="34">
        <f t="shared" si="7"/>
        <v>237.97032094788912</v>
      </c>
      <c r="V16" s="34">
        <f t="shared" ref="V16:W16" si="8">V5/$C$5*100</f>
        <v>243.04060738525251</v>
      </c>
      <c r="W16" s="34">
        <f t="shared" si="8"/>
        <v>249.24882089037155</v>
      </c>
    </row>
    <row r="17" spans="2:23" hidden="1">
      <c r="B17" s="1" t="s">
        <v>4</v>
      </c>
      <c r="C17" s="34">
        <f t="shared" ref="C17:O17" si="9">C6/$C$6*100</f>
        <v>100</v>
      </c>
      <c r="D17" s="34">
        <f t="shared" si="9"/>
        <v>112.89189445737249</v>
      </c>
      <c r="E17" s="34">
        <f t="shared" si="9"/>
        <v>131.14997511872539</v>
      </c>
      <c r="F17" s="34">
        <f t="shared" si="9"/>
        <v>139.86860385846725</v>
      </c>
      <c r="G17" s="34">
        <f t="shared" si="9"/>
        <v>145.71429393270839</v>
      </c>
      <c r="H17" s="34">
        <f t="shared" si="9"/>
        <v>151.23960523628583</v>
      </c>
      <c r="I17" s="34">
        <f t="shared" si="9"/>
        <v>156.26291884677451</v>
      </c>
      <c r="J17" s="34">
        <f t="shared" si="9"/>
        <v>161.64285447186978</v>
      </c>
      <c r="K17" s="34">
        <f t="shared" si="9"/>
        <v>164.13903598724008</v>
      </c>
      <c r="L17" s="34">
        <f t="shared" si="9"/>
        <v>167.77613181035002</v>
      </c>
      <c r="M17" s="34">
        <f t="shared" si="9"/>
        <v>163.91576609875997</v>
      </c>
      <c r="N17" s="34">
        <f t="shared" si="9"/>
        <v>163.00312669890207</v>
      </c>
      <c r="O17" s="34">
        <f t="shared" si="9"/>
        <v>161.91525409102806</v>
      </c>
      <c r="P17" s="34">
        <f t="shared" ref="P17:U17" si="10">P6/$C$6*100</f>
        <v>160.91085600214006</v>
      </c>
      <c r="Q17" s="34">
        <f t="shared" si="10"/>
        <v>159.3821389842112</v>
      </c>
      <c r="R17" s="34">
        <f t="shared" si="10"/>
        <v>157.91819957371044</v>
      </c>
      <c r="S17" s="34">
        <f t="shared" si="10"/>
        <v>153.03905353357246</v>
      </c>
      <c r="T17" s="34">
        <f t="shared" si="10"/>
        <v>148.34261946607376</v>
      </c>
      <c r="U17" s="34">
        <f t="shared" si="10"/>
        <v>142.28786915613648</v>
      </c>
      <c r="V17" s="34">
        <f t="shared" ref="V17:W17" si="11">V6/$C$6*100</f>
        <v>133.88484428349122</v>
      </c>
      <c r="W17" s="34">
        <f t="shared" si="11"/>
        <v>125.75047964769266</v>
      </c>
    </row>
    <row r="18" spans="2:23">
      <c r="B18" s="1" t="s">
        <v>62</v>
      </c>
      <c r="C18" s="34">
        <f t="shared" ref="C18:O18" si="12">C7/$C$7*100</f>
        <v>100</v>
      </c>
      <c r="D18" s="34">
        <f t="shared" si="12"/>
        <v>110.07380631683115</v>
      </c>
      <c r="E18" s="34">
        <f t="shared" si="12"/>
        <v>114.39566783034168</v>
      </c>
      <c r="F18" s="34">
        <f t="shared" si="12"/>
        <v>130.16025729129444</v>
      </c>
      <c r="G18" s="34">
        <f t="shared" si="12"/>
        <v>136.86879793287338</v>
      </c>
      <c r="H18" s="34">
        <f t="shared" si="12"/>
        <v>144.30921685587839</v>
      </c>
      <c r="I18" s="34">
        <f t="shared" si="12"/>
        <v>160.67855081228183</v>
      </c>
      <c r="J18" s="34">
        <f t="shared" si="12"/>
        <v>150.3951455510047</v>
      </c>
      <c r="K18" s="34">
        <f t="shared" si="12"/>
        <v>149.51139393606201</v>
      </c>
      <c r="L18" s="34">
        <f t="shared" si="12"/>
        <v>144.58891118502433</v>
      </c>
      <c r="M18" s="34">
        <f t="shared" si="12"/>
        <v>142.60081365623026</v>
      </c>
      <c r="N18" s="34">
        <f t="shared" si="12"/>
        <v>142.51834849775972</v>
      </c>
      <c r="O18" s="34">
        <f t="shared" si="12"/>
        <v>146.92679842766432</v>
      </c>
      <c r="P18" s="34">
        <f t="shared" ref="P18:U18" si="13">P7/$C$7*100</f>
        <v>152.22381044008907</v>
      </c>
      <c r="Q18" s="34">
        <f t="shared" si="13"/>
        <v>152.72409906814372</v>
      </c>
      <c r="R18" s="34">
        <f t="shared" si="13"/>
        <v>162.97383105637869</v>
      </c>
      <c r="S18" s="34">
        <f t="shared" si="13"/>
        <v>178.69237747051872</v>
      </c>
      <c r="T18" s="34">
        <f t="shared" si="13"/>
        <v>192.25033673273043</v>
      </c>
      <c r="U18" s="34">
        <f t="shared" si="13"/>
        <v>182.76615629896369</v>
      </c>
      <c r="V18" s="34">
        <f t="shared" ref="V18:W18" si="14">V7/$C$7*100</f>
        <v>191.33497347370735</v>
      </c>
      <c r="W18" s="34">
        <f t="shared" si="14"/>
        <v>182.77096676654114</v>
      </c>
    </row>
    <row r="19" spans="2:23">
      <c r="B19" s="1" t="s">
        <v>60</v>
      </c>
      <c r="C19" s="34">
        <f t="shared" ref="C19:O19" si="15">C8/$C$8*100</f>
        <v>100</v>
      </c>
      <c r="D19" s="34">
        <f t="shared" si="15"/>
        <v>96.467714342225733</v>
      </c>
      <c r="E19" s="34">
        <f t="shared" si="15"/>
        <v>113.28924858131518</v>
      </c>
      <c r="F19" s="34">
        <f t="shared" si="15"/>
        <v>83.156035961086332</v>
      </c>
      <c r="G19" s="34">
        <f t="shared" si="15"/>
        <v>79.566044545582443</v>
      </c>
      <c r="H19" s="34">
        <f t="shared" si="15"/>
        <v>72.85647578907016</v>
      </c>
      <c r="I19" s="34">
        <f t="shared" si="15"/>
        <v>58.708165874486916</v>
      </c>
      <c r="J19" s="34">
        <f t="shared" si="15"/>
        <v>44.799039188938437</v>
      </c>
      <c r="K19" s="34">
        <f t="shared" si="15"/>
        <v>37.72692330435811</v>
      </c>
      <c r="L19" s="34">
        <f t="shared" si="15"/>
        <v>34.006431235331419</v>
      </c>
      <c r="M19" s="34">
        <f t="shared" si="15"/>
        <v>30.697220132172692</v>
      </c>
      <c r="N19" s="34">
        <f t="shared" si="15"/>
        <v>33.059281960935444</v>
      </c>
      <c r="O19" s="34">
        <f t="shared" si="15"/>
        <v>25.326710425167047</v>
      </c>
      <c r="P19" s="34">
        <f t="shared" ref="P19:U19" si="16">P8/$C$8*100</f>
        <v>25.656632389854391</v>
      </c>
      <c r="Q19" s="34">
        <f t="shared" si="16"/>
        <v>19.447859891235861</v>
      </c>
      <c r="R19" s="34">
        <f t="shared" si="16"/>
        <v>18.369598241503692</v>
      </c>
      <c r="S19" s="34">
        <f t="shared" si="16"/>
        <v>15.64274630469048</v>
      </c>
      <c r="T19" s="34">
        <f t="shared" si="16"/>
        <v>17.071728460765183</v>
      </c>
      <c r="U19" s="34">
        <f t="shared" si="16"/>
        <v>20.770810266323288</v>
      </c>
      <c r="V19" s="34">
        <f t="shared" ref="V19:W19" si="17">V8/$C$8*100</f>
        <v>20.569961604260847</v>
      </c>
      <c r="W19" s="34">
        <f t="shared" si="17"/>
        <v>20.41356472730461</v>
      </c>
    </row>
    <row r="20" spans="2:23" ht="38.25">
      <c r="B20" s="35" t="s">
        <v>63</v>
      </c>
      <c r="C20" s="34">
        <f t="shared" ref="C20:O20" si="18">C9/$C$9*100</f>
        <v>100</v>
      </c>
      <c r="D20" s="34">
        <f t="shared" si="18"/>
        <v>95.70975657513759</v>
      </c>
      <c r="E20" s="34">
        <f t="shared" si="18"/>
        <v>91.601571450592218</v>
      </c>
      <c r="F20" s="34">
        <f t="shared" si="18"/>
        <v>90.077197718647014</v>
      </c>
      <c r="G20" s="34">
        <f t="shared" si="18"/>
        <v>82.509488278695002</v>
      </c>
      <c r="H20" s="34">
        <f t="shared" si="18"/>
        <v>74.5889106914466</v>
      </c>
      <c r="I20" s="34">
        <f t="shared" si="18"/>
        <v>66.870805264276171</v>
      </c>
      <c r="J20" s="34">
        <f t="shared" si="18"/>
        <v>63.192144413476484</v>
      </c>
      <c r="K20" s="34">
        <f t="shared" si="18"/>
        <v>59.057296288427011</v>
      </c>
      <c r="L20" s="34">
        <f t="shared" si="18"/>
        <v>55.976886511438003</v>
      </c>
      <c r="M20" s="34">
        <f t="shared" si="18"/>
        <v>54.307116104868911</v>
      </c>
      <c r="N20" s="34">
        <f t="shared" si="18"/>
        <v>54.240041994225798</v>
      </c>
      <c r="O20" s="34">
        <f t="shared" si="18"/>
        <v>54.274203963621673</v>
      </c>
      <c r="P20" s="34">
        <f t="shared" ref="P20:U20" si="19">P9/$C$9*100</f>
        <v>56.629296805022648</v>
      </c>
      <c r="Q20" s="34">
        <f t="shared" si="19"/>
        <v>57.555419463157151</v>
      </c>
      <c r="R20" s="34">
        <f t="shared" si="19"/>
        <v>56.43349039507067</v>
      </c>
      <c r="S20" s="34">
        <f t="shared" si="19"/>
        <v>55.031183212308306</v>
      </c>
      <c r="T20" s="34">
        <f t="shared" si="19"/>
        <v>54.436265013560636</v>
      </c>
      <c r="U20" s="34">
        <f t="shared" si="19"/>
        <v>54.124224585786116</v>
      </c>
      <c r="V20" s="34">
        <f t="shared" ref="V20:W20" si="20">V9/$C$9*100</f>
        <v>54.301283573508641</v>
      </c>
      <c r="W20" s="34">
        <f t="shared" si="20"/>
        <v>54.56624714101811</v>
      </c>
    </row>
  </sheetData>
  <phoneticPr fontId="11"/>
  <pageMargins left="0.78700000000000003" right="0.78700000000000003" top="0.98399999999999999" bottom="0.98399999999999999" header="0.51200000000000001" footer="0.51200000000000001"/>
  <pageSetup paperSize="9"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1"/>
  <sheetViews>
    <sheetView view="pageBreakPreview" topLeftCell="A49" zoomScaleNormal="100" zoomScaleSheetLayoutView="100" workbookViewId="0">
      <selection activeCell="H39" sqref="H39"/>
    </sheetView>
  </sheetViews>
  <sheetFormatPr defaultRowHeight="14.25"/>
  <cols>
    <col min="1" max="2" width="9.140625" style="40"/>
    <col min="3" max="3" width="11.5703125" style="40" customWidth="1"/>
    <col min="4" max="4" width="9.140625" style="40"/>
    <col min="5" max="7" width="10.5703125" style="40" customWidth="1"/>
    <col min="8" max="10" width="9.140625" style="40"/>
    <col min="11" max="11" width="13.85546875" style="40" customWidth="1"/>
    <col min="12" max="16384" width="9.140625" style="40"/>
  </cols>
  <sheetData>
    <row r="1" spans="1:12" ht="15" customHeight="1"/>
    <row r="2" spans="1:12" ht="15" customHeight="1">
      <c r="A2" s="41" t="s">
        <v>5</v>
      </c>
      <c r="B2" s="41"/>
      <c r="C2" s="41"/>
      <c r="D2" s="41"/>
      <c r="E2" s="41"/>
      <c r="F2" s="41"/>
      <c r="G2" s="41"/>
      <c r="H2" s="41"/>
      <c r="I2" s="41"/>
      <c r="J2" s="41"/>
    </row>
    <row r="3" spans="1:12" ht="15" customHeight="1">
      <c r="A3" s="41" t="s">
        <v>6</v>
      </c>
      <c r="B3" s="41"/>
      <c r="C3" s="41"/>
      <c r="D3" s="41"/>
      <c r="E3" s="41"/>
      <c r="F3" s="41"/>
      <c r="G3" s="41"/>
      <c r="H3" s="41"/>
      <c r="I3" s="41"/>
      <c r="J3" s="41"/>
    </row>
    <row r="4" spans="1:12" ht="15" customHeight="1">
      <c r="A4" s="41"/>
      <c r="B4" s="41"/>
      <c r="C4" s="41"/>
      <c r="D4" s="41"/>
      <c r="E4" s="41"/>
      <c r="F4" s="41"/>
      <c r="G4" s="41"/>
      <c r="H4" s="41"/>
      <c r="I4" s="41"/>
      <c r="J4" s="41"/>
    </row>
    <row r="5" spans="1:12" ht="20.25" customHeight="1">
      <c r="A5" s="41"/>
      <c r="B5" s="41"/>
      <c r="C5" s="580" t="s">
        <v>203</v>
      </c>
      <c r="D5" s="580"/>
      <c r="E5" s="580"/>
      <c r="F5" s="580"/>
      <c r="G5" s="580"/>
      <c r="H5" s="580"/>
      <c r="I5" s="580"/>
      <c r="J5" s="580"/>
      <c r="K5" s="580"/>
    </row>
    <row r="6" spans="1:12" ht="20.25" customHeight="1">
      <c r="A6" s="41"/>
      <c r="B6" s="41"/>
      <c r="C6" s="580" t="s">
        <v>189</v>
      </c>
      <c r="D6" s="580"/>
      <c r="E6" s="580"/>
      <c r="F6" s="580"/>
      <c r="G6" s="580"/>
      <c r="H6" s="580"/>
      <c r="I6" s="580"/>
      <c r="J6" s="580"/>
      <c r="K6" s="580"/>
    </row>
    <row r="7" spans="1:12" ht="12.75" customHeight="1">
      <c r="A7" s="41"/>
      <c r="B7" s="41"/>
      <c r="C7" s="580"/>
      <c r="D7" s="580"/>
      <c r="E7" s="580"/>
      <c r="F7" s="580"/>
      <c r="G7" s="580"/>
      <c r="H7" s="580"/>
      <c r="I7" s="580"/>
      <c r="J7" s="580"/>
      <c r="K7" s="580"/>
    </row>
    <row r="8" spans="1:12">
      <c r="A8" s="41"/>
      <c r="B8" s="41"/>
      <c r="C8" s="41" t="s">
        <v>7</v>
      </c>
      <c r="D8" s="41"/>
      <c r="E8" s="41"/>
      <c r="F8" s="41"/>
      <c r="G8" s="41"/>
      <c r="H8" s="41"/>
      <c r="I8" s="41"/>
      <c r="J8" s="41"/>
    </row>
    <row r="9" spans="1:12">
      <c r="A9" s="41"/>
      <c r="B9" s="41"/>
      <c r="C9" s="41"/>
      <c r="D9" s="41"/>
      <c r="E9" s="41"/>
      <c r="F9" s="41"/>
      <c r="G9" s="41"/>
      <c r="H9" s="41"/>
      <c r="I9" s="41"/>
      <c r="J9" s="41"/>
    </row>
    <row r="10" spans="1:12" ht="18.75" customHeight="1">
      <c r="A10" s="41"/>
      <c r="B10" s="41"/>
      <c r="C10" s="41"/>
      <c r="D10" s="197" t="s">
        <v>219</v>
      </c>
      <c r="E10" s="41"/>
      <c r="F10" s="41"/>
      <c r="G10" s="41"/>
      <c r="H10" s="41"/>
      <c r="I10" s="41"/>
      <c r="J10" s="41"/>
      <c r="L10" s="198"/>
    </row>
    <row r="11" spans="1:12" ht="9.75" customHeight="1">
      <c r="A11" s="41"/>
      <c r="B11" s="41"/>
      <c r="C11" s="41"/>
      <c r="D11" s="41"/>
      <c r="E11" s="41"/>
      <c r="F11" s="41"/>
      <c r="G11" s="41"/>
      <c r="H11" s="41"/>
      <c r="I11" s="41"/>
      <c r="J11" s="41"/>
    </row>
    <row r="12" spans="1:12" ht="18.75" customHeight="1">
      <c r="A12" s="41"/>
      <c r="B12" s="41"/>
      <c r="C12" s="41"/>
      <c r="D12" s="41" t="s">
        <v>8</v>
      </c>
      <c r="E12" s="41"/>
      <c r="F12" s="41"/>
      <c r="G12" s="41"/>
      <c r="H12" s="41"/>
      <c r="I12" s="41"/>
      <c r="J12" s="41"/>
    </row>
    <row r="13" spans="1:12" ht="9.75" customHeight="1">
      <c r="A13" s="41"/>
      <c r="B13" s="41"/>
      <c r="C13" s="41"/>
      <c r="D13" s="41"/>
      <c r="E13" s="41"/>
      <c r="F13" s="41"/>
      <c r="G13" s="41"/>
      <c r="H13" s="41"/>
      <c r="I13" s="41"/>
      <c r="J13" s="41"/>
    </row>
    <row r="14" spans="1:12" ht="18.75" customHeight="1">
      <c r="A14" s="41"/>
      <c r="B14" s="41"/>
      <c r="C14" s="41"/>
      <c r="D14" s="41" t="s">
        <v>9</v>
      </c>
      <c r="E14" s="41"/>
      <c r="F14" s="41"/>
      <c r="G14" s="41"/>
      <c r="H14" s="41"/>
      <c r="I14" s="41"/>
      <c r="J14" s="41"/>
    </row>
    <row r="15" spans="1:12" ht="18.75" customHeight="1">
      <c r="A15" s="41"/>
      <c r="B15" s="41"/>
      <c r="C15" s="41"/>
      <c r="D15" s="41" t="s">
        <v>10</v>
      </c>
      <c r="E15" s="41"/>
      <c r="F15" s="41"/>
      <c r="G15" s="41"/>
      <c r="H15" s="41"/>
      <c r="I15" s="41"/>
      <c r="J15" s="41"/>
    </row>
    <row r="16" spans="1:12" ht="15" customHeight="1">
      <c r="A16" s="41"/>
      <c r="B16" s="41"/>
      <c r="C16" s="41"/>
      <c r="D16" s="41"/>
      <c r="E16" s="41"/>
      <c r="F16" s="41"/>
      <c r="G16" s="41"/>
      <c r="H16" s="41"/>
      <c r="I16" s="41"/>
      <c r="J16" s="41"/>
    </row>
    <row r="17" spans="1:11" ht="18.75" customHeight="1">
      <c r="A17" s="41"/>
      <c r="B17" s="41"/>
      <c r="C17" s="41" t="s">
        <v>11</v>
      </c>
      <c r="D17" s="41"/>
      <c r="E17" s="41"/>
      <c r="F17" s="41"/>
      <c r="G17" s="41"/>
      <c r="H17" s="41"/>
      <c r="I17" s="41"/>
      <c r="J17" s="41"/>
    </row>
    <row r="18" spans="1:11" ht="14.25" customHeight="1">
      <c r="A18" s="41"/>
      <c r="B18" s="41"/>
      <c r="C18" s="41"/>
      <c r="D18" s="41"/>
      <c r="E18" s="41"/>
      <c r="F18" s="41"/>
      <c r="G18" s="41"/>
      <c r="H18" s="41"/>
      <c r="I18" s="41"/>
      <c r="J18" s="41"/>
    </row>
    <row r="19" spans="1:11" ht="19.5" customHeight="1">
      <c r="A19" s="41"/>
      <c r="B19" s="41"/>
      <c r="C19" s="41"/>
      <c r="D19" s="41"/>
      <c r="E19" s="137"/>
      <c r="F19" s="41"/>
      <c r="G19" s="41"/>
      <c r="H19" s="41"/>
      <c r="I19" s="41"/>
      <c r="J19" s="41"/>
    </row>
    <row r="20" spans="1:11" ht="19.5" customHeight="1">
      <c r="A20" s="41"/>
      <c r="B20" s="41"/>
      <c r="C20" s="43" t="s">
        <v>204</v>
      </c>
      <c r="D20" s="41"/>
      <c r="E20" s="580" t="s">
        <v>230</v>
      </c>
      <c r="F20" s="580"/>
      <c r="G20" s="580"/>
      <c r="H20" s="580"/>
      <c r="I20" s="43" t="s">
        <v>301</v>
      </c>
      <c r="J20" s="255"/>
    </row>
    <row r="21" spans="1:11" ht="19.5" customHeight="1">
      <c r="A21" s="41"/>
      <c r="B21" s="41"/>
      <c r="C21" s="41"/>
      <c r="D21" s="41"/>
      <c r="E21" s="255" t="s">
        <v>205</v>
      </c>
      <c r="F21" s="41"/>
      <c r="G21" s="41"/>
      <c r="H21" s="41"/>
      <c r="I21" s="41"/>
      <c r="J21" s="41"/>
    </row>
    <row r="22" spans="1:11" ht="19.5" customHeight="1">
      <c r="A22" s="41"/>
      <c r="B22" s="41"/>
      <c r="C22" s="41"/>
      <c r="D22" s="41"/>
      <c r="E22" s="137"/>
      <c r="F22" s="41"/>
      <c r="G22" s="41"/>
      <c r="H22" s="41"/>
      <c r="I22" s="41"/>
      <c r="J22" s="41"/>
    </row>
    <row r="23" spans="1:11" ht="19.5" customHeight="1">
      <c r="A23" s="299"/>
      <c r="B23" s="299"/>
      <c r="C23" s="299"/>
      <c r="D23" s="299"/>
      <c r="E23" s="299"/>
      <c r="F23" s="299"/>
      <c r="G23" s="299"/>
      <c r="H23" s="299"/>
      <c r="I23" s="299"/>
      <c r="J23" s="299"/>
    </row>
    <row r="24" spans="1:11" ht="26.25" customHeight="1">
      <c r="A24" s="41"/>
      <c r="B24" s="41"/>
      <c r="C24" s="41"/>
      <c r="D24" s="41"/>
      <c r="E24" s="41"/>
      <c r="F24" s="41"/>
      <c r="G24" s="41"/>
      <c r="H24" s="41"/>
      <c r="I24" s="41"/>
      <c r="J24" s="41"/>
    </row>
    <row r="25" spans="1:11" ht="15" customHeight="1">
      <c r="A25" s="41" t="s">
        <v>12</v>
      </c>
      <c r="B25" s="41"/>
      <c r="C25" s="41"/>
      <c r="D25" s="41"/>
      <c r="E25" s="41"/>
      <c r="F25" s="41"/>
      <c r="G25" s="41"/>
      <c r="H25" s="41"/>
      <c r="I25" s="41"/>
      <c r="J25" s="41"/>
    </row>
    <row r="26" spans="1:11" ht="15" customHeight="1">
      <c r="A26" s="41"/>
      <c r="B26" s="41"/>
      <c r="C26" s="41"/>
      <c r="D26" s="41"/>
      <c r="E26" s="41"/>
      <c r="F26" s="41"/>
      <c r="G26" s="41"/>
      <c r="H26" s="41"/>
      <c r="I26" s="41"/>
      <c r="J26" s="41"/>
    </row>
    <row r="27" spans="1:11" ht="20.25" customHeight="1">
      <c r="A27" s="41"/>
      <c r="B27" s="41"/>
      <c r="C27" s="578" t="s">
        <v>190</v>
      </c>
      <c r="D27" s="578"/>
      <c r="E27" s="578"/>
      <c r="F27" s="578"/>
      <c r="G27" s="578"/>
      <c r="H27" s="578"/>
      <c r="I27" s="578"/>
      <c r="J27" s="578"/>
      <c r="K27" s="578"/>
    </row>
    <row r="28" spans="1:11" ht="20.25" customHeight="1">
      <c r="A28" s="41"/>
      <c r="B28" s="41"/>
      <c r="C28" s="578" t="s">
        <v>191</v>
      </c>
      <c r="D28" s="578"/>
      <c r="E28" s="578"/>
      <c r="F28" s="578"/>
      <c r="G28" s="578"/>
      <c r="H28" s="578"/>
      <c r="I28" s="578"/>
      <c r="J28" s="578"/>
      <c r="K28" s="578"/>
    </row>
    <row r="29" spans="1:11" ht="20.25" customHeight="1">
      <c r="A29" s="41"/>
      <c r="B29" s="41"/>
      <c r="C29" s="578" t="s">
        <v>192</v>
      </c>
      <c r="D29" s="578"/>
      <c r="E29" s="578"/>
      <c r="F29" s="578"/>
      <c r="G29" s="578"/>
      <c r="H29" s="578"/>
      <c r="I29" s="578"/>
      <c r="J29" s="581"/>
      <c r="K29" s="581"/>
    </row>
    <row r="30" spans="1:11" ht="20.25" customHeight="1">
      <c r="A30" s="41"/>
      <c r="B30" s="41"/>
      <c r="C30" s="578" t="s">
        <v>193</v>
      </c>
      <c r="D30" s="578"/>
      <c r="E30" s="578"/>
      <c r="F30" s="578"/>
      <c r="G30" s="578"/>
      <c r="H30" s="578"/>
      <c r="I30" s="578"/>
      <c r="J30" s="581"/>
      <c r="K30" s="581"/>
    </row>
    <row r="31" spans="1:11" ht="18" customHeight="1">
      <c r="A31" s="41"/>
      <c r="B31" s="41"/>
      <c r="C31" s="42"/>
      <c r="D31" s="42"/>
      <c r="E31" s="42"/>
      <c r="F31" s="42"/>
      <c r="G31" s="42"/>
      <c r="H31" s="42"/>
      <c r="I31" s="42"/>
      <c r="J31" s="41"/>
    </row>
    <row r="32" spans="1:11" ht="18" customHeight="1">
      <c r="A32" s="41"/>
      <c r="B32" s="583" t="s">
        <v>115</v>
      </c>
      <c r="C32" s="584"/>
      <c r="D32" s="585" t="s">
        <v>116</v>
      </c>
      <c r="E32" s="585"/>
      <c r="F32" s="585"/>
      <c r="G32" s="585"/>
      <c r="H32" s="585"/>
      <c r="I32" s="585"/>
      <c r="J32" s="585"/>
      <c r="K32" s="582" t="s">
        <v>135</v>
      </c>
    </row>
    <row r="33" spans="1:22" ht="18" customHeight="1">
      <c r="A33" s="41"/>
      <c r="B33" s="584"/>
      <c r="C33" s="584"/>
      <c r="D33" s="586" t="s">
        <v>117</v>
      </c>
      <c r="E33" s="586"/>
      <c r="F33" s="586"/>
      <c r="G33" s="586"/>
      <c r="H33" s="586"/>
      <c r="I33" s="586"/>
      <c r="J33" s="586"/>
      <c r="K33" s="582"/>
    </row>
    <row r="34" spans="1:22" ht="26.25" customHeight="1">
      <c r="A34" s="41"/>
      <c r="B34" s="41"/>
      <c r="C34" s="42"/>
      <c r="D34" s="42"/>
      <c r="E34" s="42"/>
      <c r="F34" s="42"/>
      <c r="G34" s="42"/>
      <c r="H34" s="42"/>
      <c r="I34" s="42"/>
      <c r="J34" s="41"/>
    </row>
    <row r="35" spans="1:22" ht="26.25" customHeight="1">
      <c r="A35" s="298"/>
      <c r="B35" s="298"/>
      <c r="C35" s="300"/>
      <c r="D35" s="297"/>
      <c r="E35" s="297"/>
      <c r="F35" s="297"/>
      <c r="G35" s="297"/>
      <c r="H35" s="297"/>
      <c r="I35" s="297"/>
      <c r="J35" s="298"/>
    </row>
    <row r="36" spans="1:22" ht="18" customHeight="1">
      <c r="A36" s="41" t="s">
        <v>118</v>
      </c>
      <c r="B36" s="41"/>
      <c r="C36" s="42"/>
      <c r="D36" s="42"/>
      <c r="E36" s="42"/>
      <c r="F36" s="42"/>
      <c r="G36" s="42"/>
      <c r="H36" s="42"/>
      <c r="I36" s="42"/>
      <c r="J36" s="41"/>
    </row>
    <row r="37" spans="1:22" ht="15" customHeight="1">
      <c r="A37" s="41"/>
      <c r="B37" s="41"/>
      <c r="C37" s="42"/>
      <c r="D37" s="42"/>
      <c r="E37" s="42"/>
      <c r="F37" s="42"/>
      <c r="G37" s="42"/>
      <c r="H37" s="42"/>
      <c r="I37" s="42"/>
      <c r="J37" s="41"/>
    </row>
    <row r="38" spans="1:22" ht="18" customHeight="1">
      <c r="A38" s="41"/>
      <c r="B38" s="41"/>
      <c r="C38" s="578" t="s">
        <v>120</v>
      </c>
      <c r="D38" s="578"/>
      <c r="E38" s="578"/>
      <c r="F38" s="578"/>
      <c r="G38" s="578"/>
      <c r="H38" s="578"/>
      <c r="I38" s="578"/>
      <c r="J38" s="41"/>
    </row>
    <row r="39" spans="1:22" ht="26.25" customHeight="1">
      <c r="A39" s="41"/>
      <c r="B39" s="41"/>
      <c r="C39" s="42"/>
      <c r="D39" s="42"/>
      <c r="E39" s="42"/>
      <c r="F39" s="42"/>
      <c r="G39" s="42"/>
      <c r="H39" s="42"/>
      <c r="I39" s="42"/>
      <c r="J39" s="41"/>
    </row>
    <row r="40" spans="1:22" ht="18" customHeight="1">
      <c r="A40" s="41" t="s">
        <v>119</v>
      </c>
      <c r="B40" s="41"/>
      <c r="C40" s="42"/>
      <c r="D40" s="42"/>
      <c r="E40" s="42"/>
      <c r="F40" s="42"/>
      <c r="G40" s="42"/>
      <c r="H40" s="42"/>
      <c r="I40" s="42"/>
      <c r="J40" s="41"/>
    </row>
    <row r="41" spans="1:22" ht="15" customHeight="1">
      <c r="A41" s="41"/>
      <c r="B41" s="41"/>
      <c r="C41" s="42"/>
      <c r="D41" s="42"/>
      <c r="E41" s="42"/>
      <c r="F41" s="42"/>
      <c r="G41" s="42"/>
      <c r="H41" s="42"/>
      <c r="I41" s="42"/>
      <c r="J41" s="41"/>
    </row>
    <row r="42" spans="1:22" ht="20.25" customHeight="1">
      <c r="A42" s="41"/>
      <c r="B42" s="41"/>
      <c r="C42" s="578" t="s">
        <v>194</v>
      </c>
      <c r="D42" s="578"/>
      <c r="E42" s="578"/>
      <c r="F42" s="578"/>
      <c r="G42" s="578"/>
      <c r="H42" s="578"/>
      <c r="I42" s="578"/>
      <c r="J42" s="578"/>
      <c r="K42" s="578"/>
    </row>
    <row r="43" spans="1:22" ht="20.25" customHeight="1">
      <c r="A43" s="41"/>
      <c r="B43" s="41"/>
      <c r="C43" s="578" t="s">
        <v>195</v>
      </c>
      <c r="D43" s="578"/>
      <c r="E43" s="578"/>
      <c r="F43" s="578"/>
      <c r="G43" s="578"/>
      <c r="H43" s="578"/>
      <c r="I43" s="578"/>
      <c r="J43" s="578"/>
      <c r="K43" s="578"/>
    </row>
    <row r="44" spans="1:22" ht="20.25" customHeight="1">
      <c r="A44" s="41"/>
      <c r="B44" s="41"/>
      <c r="C44" s="578" t="s">
        <v>196</v>
      </c>
      <c r="D44" s="578"/>
      <c r="E44" s="578"/>
      <c r="F44" s="578"/>
      <c r="G44" s="578"/>
      <c r="H44" s="578"/>
      <c r="I44" s="578"/>
      <c r="J44" s="578"/>
      <c r="K44" s="578"/>
    </row>
    <row r="45" spans="1:22" ht="20.25" customHeight="1">
      <c r="A45" s="41"/>
      <c r="B45" s="41"/>
      <c r="C45" s="578" t="s">
        <v>197</v>
      </c>
      <c r="D45" s="578"/>
      <c r="E45" s="578"/>
      <c r="F45" s="578"/>
      <c r="G45" s="578"/>
      <c r="H45" s="578"/>
      <c r="I45" s="578"/>
      <c r="J45" s="578"/>
      <c r="K45" s="578"/>
    </row>
    <row r="46" spans="1:22" ht="20.25" customHeight="1">
      <c r="A46" s="41"/>
      <c r="B46" s="41"/>
      <c r="C46" s="578" t="s">
        <v>198</v>
      </c>
      <c r="D46" s="578"/>
      <c r="E46" s="578"/>
      <c r="F46" s="578"/>
      <c r="G46" s="578"/>
      <c r="H46" s="578"/>
      <c r="I46" s="578"/>
      <c r="J46" s="578"/>
      <c r="K46" s="578"/>
    </row>
    <row r="47" spans="1:22" ht="26.25" customHeight="1">
      <c r="A47" s="41"/>
      <c r="B47" s="41"/>
      <c r="C47" s="579"/>
      <c r="D47" s="579"/>
      <c r="E47" s="579"/>
      <c r="F47" s="579"/>
      <c r="G47" s="579"/>
      <c r="H47" s="579"/>
      <c r="I47" s="579"/>
      <c r="J47" s="579"/>
      <c r="K47" s="579"/>
    </row>
    <row r="48" spans="1:22" ht="18" customHeight="1">
      <c r="A48" s="130"/>
      <c r="B48" s="130"/>
      <c r="C48" s="129"/>
      <c r="D48" s="129"/>
      <c r="E48" s="129"/>
      <c r="F48" s="129"/>
      <c r="G48" s="129"/>
      <c r="H48" s="129"/>
      <c r="I48" s="129"/>
      <c r="J48" s="130"/>
      <c r="M48" s="212"/>
      <c r="N48" s="212"/>
      <c r="O48" s="211"/>
      <c r="P48" s="211"/>
      <c r="Q48" s="211"/>
      <c r="R48" s="211"/>
      <c r="S48" s="211"/>
      <c r="T48" s="211"/>
      <c r="U48" s="211"/>
      <c r="V48" s="212"/>
    </row>
    <row r="49" spans="1:23" ht="15" customHeight="1">
      <c r="A49" s="130"/>
      <c r="B49" s="130"/>
      <c r="C49" s="129"/>
      <c r="D49" s="129"/>
      <c r="E49" s="129"/>
      <c r="F49" s="129"/>
      <c r="G49" s="129"/>
      <c r="H49" s="129"/>
      <c r="I49" s="129"/>
      <c r="J49" s="130"/>
      <c r="M49" s="212"/>
      <c r="N49" s="212"/>
      <c r="O49" s="211"/>
      <c r="P49" s="211"/>
      <c r="Q49" s="211"/>
      <c r="R49" s="211"/>
      <c r="S49" s="211"/>
      <c r="T49" s="211"/>
      <c r="U49" s="211"/>
      <c r="V49" s="212"/>
    </row>
    <row r="50" spans="1:23" ht="20.25" customHeight="1">
      <c r="A50" s="130"/>
      <c r="B50" s="130"/>
      <c r="C50" s="578"/>
      <c r="D50" s="578"/>
      <c r="E50" s="578"/>
      <c r="F50" s="578"/>
      <c r="G50" s="578"/>
      <c r="H50" s="578"/>
      <c r="I50" s="578"/>
      <c r="J50" s="578"/>
      <c r="K50" s="578"/>
      <c r="M50" s="212"/>
      <c r="N50" s="212"/>
      <c r="O50" s="578"/>
      <c r="P50" s="578"/>
      <c r="Q50" s="578"/>
      <c r="R50" s="578"/>
      <c r="S50" s="578"/>
      <c r="T50" s="578"/>
      <c r="U50" s="578"/>
      <c r="V50" s="578"/>
      <c r="W50" s="578"/>
    </row>
    <row r="51" spans="1:23" ht="20.25" customHeight="1">
      <c r="C51" s="135"/>
      <c r="O51" s="212"/>
    </row>
  </sheetData>
  <mergeCells count="21">
    <mergeCell ref="C5:K5"/>
    <mergeCell ref="C28:K28"/>
    <mergeCell ref="C29:K29"/>
    <mergeCell ref="C30:K30"/>
    <mergeCell ref="K32:K33"/>
    <mergeCell ref="C6:K6"/>
    <mergeCell ref="C7:K7"/>
    <mergeCell ref="B32:C33"/>
    <mergeCell ref="D32:J32"/>
    <mergeCell ref="D33:J33"/>
    <mergeCell ref="C27:K27"/>
    <mergeCell ref="E20:H20"/>
    <mergeCell ref="O50:W50"/>
    <mergeCell ref="C50:K50"/>
    <mergeCell ref="C38:I38"/>
    <mergeCell ref="C42:K42"/>
    <mergeCell ref="C46:K46"/>
    <mergeCell ref="C47:K47"/>
    <mergeCell ref="C43:K43"/>
    <mergeCell ref="C44:K44"/>
    <mergeCell ref="C45:K45"/>
  </mergeCells>
  <phoneticPr fontId="11"/>
  <pageMargins left="0.64" right="0.34" top="0.66" bottom="0.98399999999999999" header="0.51200000000000001" footer="0.51200000000000001"/>
  <pageSetup paperSize="9" scale="83" firstPageNumber="8"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showOutlineSymbols="0" workbookViewId="0">
      <selection activeCell="G38" sqref="G38"/>
    </sheetView>
  </sheetViews>
  <sheetFormatPr defaultRowHeight="15" customHeight="1"/>
  <cols>
    <col min="1" max="1" width="18.7109375" style="405" customWidth="1"/>
    <col min="2" max="2" width="9.140625" style="405"/>
    <col min="3" max="3" width="9.140625" style="405" collapsed="1"/>
    <col min="4" max="6" width="9.140625" style="405"/>
    <col min="7" max="10" width="9.140625" style="405" collapsed="1"/>
    <col min="11" max="11" width="10.85546875" style="405" customWidth="1"/>
    <col min="12" max="12" width="10.28515625" style="405" customWidth="1"/>
    <col min="13" max="16384" width="9.140625" style="405"/>
  </cols>
  <sheetData>
    <row r="1" spans="1:11" ht="46.5" customHeight="1">
      <c r="A1" s="402" t="s">
        <v>248</v>
      </c>
      <c r="B1" s="403" t="s">
        <v>358</v>
      </c>
      <c r="C1" s="404" t="s">
        <v>359</v>
      </c>
      <c r="D1" s="404" t="s">
        <v>360</v>
      </c>
      <c r="E1" s="404" t="s">
        <v>361</v>
      </c>
      <c r="F1" s="404"/>
      <c r="G1" s="404" t="s">
        <v>362</v>
      </c>
      <c r="H1" s="404" t="s">
        <v>363</v>
      </c>
      <c r="I1" s="404" t="s">
        <v>364</v>
      </c>
      <c r="J1" s="404" t="s">
        <v>365</v>
      </c>
    </row>
    <row r="2" spans="1:11" ht="27.75" customHeight="1">
      <c r="A2" s="402" t="s">
        <v>253</v>
      </c>
      <c r="B2" s="406">
        <v>1294</v>
      </c>
      <c r="C2" s="406">
        <v>1400</v>
      </c>
      <c r="D2" s="407">
        <v>1389</v>
      </c>
      <c r="E2" s="407">
        <v>1306</v>
      </c>
      <c r="F2" s="407"/>
      <c r="G2" s="368">
        <v>1354</v>
      </c>
      <c r="H2" s="368">
        <v>1383</v>
      </c>
      <c r="I2" s="408">
        <v>1422</v>
      </c>
      <c r="J2" s="409">
        <v>1465</v>
      </c>
    </row>
    <row r="3" spans="1:11" ht="27.75" customHeight="1">
      <c r="A3" s="402" t="s">
        <v>254</v>
      </c>
      <c r="B3" s="406">
        <v>1643</v>
      </c>
      <c r="C3" s="406">
        <v>1544</v>
      </c>
      <c r="D3" s="407">
        <v>1034</v>
      </c>
      <c r="E3" s="407">
        <v>1081</v>
      </c>
      <c r="F3" s="407"/>
      <c r="G3" s="368">
        <v>1252</v>
      </c>
      <c r="H3" s="368">
        <v>1350</v>
      </c>
      <c r="I3" s="408">
        <v>1319</v>
      </c>
      <c r="J3" s="409">
        <v>1224</v>
      </c>
    </row>
    <row r="4" spans="1:11" ht="27.75" customHeight="1">
      <c r="A4" s="410" t="s">
        <v>366</v>
      </c>
      <c r="B4" s="406">
        <v>4296</v>
      </c>
      <c r="C4" s="406">
        <v>3242</v>
      </c>
      <c r="D4" s="407">
        <v>3302</v>
      </c>
      <c r="E4" s="407">
        <v>3363</v>
      </c>
      <c r="F4" s="407"/>
      <c r="G4" s="368">
        <v>3225</v>
      </c>
      <c r="H4" s="368">
        <v>3267</v>
      </c>
      <c r="I4" s="408">
        <v>3266</v>
      </c>
      <c r="J4" s="409">
        <v>3317</v>
      </c>
    </row>
    <row r="5" spans="1:11" ht="27.75" customHeight="1">
      <c r="A5" s="402" t="s">
        <v>367</v>
      </c>
      <c r="B5" s="406">
        <v>543</v>
      </c>
      <c r="C5" s="406">
        <v>522</v>
      </c>
      <c r="D5" s="407">
        <v>511</v>
      </c>
      <c r="E5" s="407">
        <v>510</v>
      </c>
      <c r="F5" s="407"/>
      <c r="G5" s="368">
        <v>588</v>
      </c>
      <c r="H5" s="368">
        <v>593</v>
      </c>
      <c r="I5" s="408">
        <v>594</v>
      </c>
      <c r="J5" s="409">
        <v>590</v>
      </c>
    </row>
    <row r="6" spans="1:11" ht="27.75" customHeight="1">
      <c r="A6" s="402" t="s">
        <v>251</v>
      </c>
      <c r="B6" s="411">
        <f t="shared" ref="B6" si="0">SUM(B2:B5)</f>
        <v>7776</v>
      </c>
      <c r="C6" s="411">
        <f>SUM(C2:C5)</f>
        <v>6708</v>
      </c>
      <c r="D6" s="411">
        <f>SUM(D2:D5)</f>
        <v>6236</v>
      </c>
      <c r="E6" s="411">
        <f>SUM(E2:E5)</f>
        <v>6260</v>
      </c>
      <c r="F6" s="411"/>
      <c r="G6" s="412">
        <f>SUM(G2:G5)</f>
        <v>6419</v>
      </c>
      <c r="H6" s="412">
        <v>6593</v>
      </c>
      <c r="I6" s="413">
        <v>6601</v>
      </c>
      <c r="J6" s="409">
        <v>6595</v>
      </c>
    </row>
    <row r="7" spans="1:11" ht="15" customHeight="1">
      <c r="A7" s="347"/>
      <c r="B7" s="347"/>
      <c r="C7" s="347"/>
      <c r="D7" s="347"/>
      <c r="E7" s="347"/>
      <c r="F7" s="347"/>
      <c r="G7" s="347"/>
      <c r="H7" s="347"/>
      <c r="I7" s="347"/>
      <c r="J7" s="347"/>
      <c r="K7" s="347"/>
    </row>
    <row r="8" spans="1:11" ht="31.5" customHeight="1">
      <c r="A8" s="402" t="s">
        <v>248</v>
      </c>
      <c r="B8" s="403" t="s">
        <v>358</v>
      </c>
      <c r="C8" s="404" t="s">
        <v>359</v>
      </c>
      <c r="D8" s="404" t="s">
        <v>360</v>
      </c>
      <c r="E8" s="404" t="s">
        <v>361</v>
      </c>
      <c r="F8" s="404" t="s">
        <v>368</v>
      </c>
      <c r="G8" s="404" t="s">
        <v>369</v>
      </c>
      <c r="H8" s="404" t="s">
        <v>362</v>
      </c>
      <c r="I8" s="404" t="s">
        <v>363</v>
      </c>
      <c r="J8" s="404" t="s">
        <v>364</v>
      </c>
      <c r="K8" s="404" t="s">
        <v>370</v>
      </c>
    </row>
    <row r="9" spans="1:11" ht="31.5" customHeight="1">
      <c r="A9" s="402" t="s">
        <v>253</v>
      </c>
      <c r="B9" s="406">
        <v>1294</v>
      </c>
      <c r="C9" s="406">
        <v>1400</v>
      </c>
      <c r="D9" s="407">
        <v>1389</v>
      </c>
      <c r="E9" s="407">
        <v>1306</v>
      </c>
      <c r="F9" s="407">
        <v>1287</v>
      </c>
      <c r="G9" s="368">
        <v>1340</v>
      </c>
      <c r="H9" s="368">
        <v>1354</v>
      </c>
      <c r="I9" s="368">
        <v>1383</v>
      </c>
      <c r="J9" s="408">
        <v>1422</v>
      </c>
      <c r="K9" s="409">
        <v>1465</v>
      </c>
    </row>
    <row r="10" spans="1:11" ht="31.5" customHeight="1">
      <c r="A10" s="402" t="s">
        <v>254</v>
      </c>
      <c r="B10" s="406">
        <v>1643</v>
      </c>
      <c r="C10" s="406">
        <v>1544</v>
      </c>
      <c r="D10" s="407">
        <v>1034</v>
      </c>
      <c r="E10" s="407">
        <v>1081</v>
      </c>
      <c r="F10" s="407">
        <v>1162</v>
      </c>
      <c r="G10" s="368">
        <v>1182</v>
      </c>
      <c r="H10" s="368">
        <v>1252</v>
      </c>
      <c r="I10" s="368">
        <v>1350</v>
      </c>
      <c r="J10" s="408">
        <v>1319</v>
      </c>
      <c r="K10" s="409">
        <v>1224</v>
      </c>
    </row>
    <row r="11" spans="1:11" ht="31.5" customHeight="1">
      <c r="A11" s="410" t="s">
        <v>366</v>
      </c>
      <c r="B11" s="406">
        <v>4296</v>
      </c>
      <c r="C11" s="406">
        <v>3242</v>
      </c>
      <c r="D11" s="407">
        <v>3302</v>
      </c>
      <c r="E11" s="407">
        <v>3363</v>
      </c>
      <c r="F11" s="407">
        <v>3357</v>
      </c>
      <c r="G11" s="368">
        <v>3191</v>
      </c>
      <c r="H11" s="368">
        <v>3225</v>
      </c>
      <c r="I11" s="368">
        <v>3267</v>
      </c>
      <c r="J11" s="408">
        <v>3266</v>
      </c>
      <c r="K11" s="409">
        <v>3317</v>
      </c>
    </row>
    <row r="12" spans="1:11" ht="31.5" customHeight="1">
      <c r="A12" s="402" t="s">
        <v>367</v>
      </c>
      <c r="B12" s="406">
        <v>543</v>
      </c>
      <c r="C12" s="406">
        <v>522</v>
      </c>
      <c r="D12" s="407">
        <v>511</v>
      </c>
      <c r="E12" s="407">
        <v>510</v>
      </c>
      <c r="F12" s="407">
        <v>555</v>
      </c>
      <c r="G12" s="368">
        <v>557</v>
      </c>
      <c r="H12" s="368">
        <v>588</v>
      </c>
      <c r="I12" s="368">
        <v>593</v>
      </c>
      <c r="J12" s="408">
        <v>594</v>
      </c>
      <c r="K12" s="409">
        <v>590</v>
      </c>
    </row>
    <row r="13" spans="1:11" ht="31.5" customHeight="1">
      <c r="A13" s="402" t="s">
        <v>251</v>
      </c>
      <c r="B13" s="411">
        <f t="shared" ref="B13" si="1">SUM(B9:B12)</f>
        <v>7776</v>
      </c>
      <c r="C13" s="411">
        <f>SUM(C9:C12)</f>
        <v>6708</v>
      </c>
      <c r="D13" s="411">
        <f>SUM(D9:D12)</f>
        <v>6236</v>
      </c>
      <c r="E13" s="411">
        <f>SUM(E9:E12)</f>
        <v>6260</v>
      </c>
      <c r="F13" s="411">
        <f t="shared" ref="F13" si="2">SUM(F9:F12)</f>
        <v>6361</v>
      </c>
      <c r="G13" s="412">
        <f>SUM(G9:G12)</f>
        <v>6270</v>
      </c>
      <c r="H13" s="412">
        <f>SUM(H9:H12)</f>
        <v>6419</v>
      </c>
      <c r="I13" s="412">
        <v>6593</v>
      </c>
      <c r="J13" s="413">
        <v>6601</v>
      </c>
      <c r="K13" s="409">
        <v>6595</v>
      </c>
    </row>
    <row r="14" spans="1:11" ht="15" customHeight="1">
      <c r="A14" s="347"/>
      <c r="B14" s="347"/>
      <c r="C14" s="347"/>
      <c r="D14" s="347"/>
      <c r="E14" s="347"/>
      <c r="F14" s="347"/>
      <c r="G14" s="347"/>
      <c r="H14" s="347"/>
      <c r="I14" s="347"/>
      <c r="J14" s="347"/>
      <c r="K14" s="347"/>
    </row>
    <row r="15" spans="1:11" ht="15" customHeight="1">
      <c r="A15" s="347" t="s">
        <v>371</v>
      </c>
      <c r="B15" s="347"/>
      <c r="C15" s="347"/>
      <c r="D15" s="347"/>
      <c r="E15" s="347"/>
      <c r="F15" s="347"/>
      <c r="G15" s="347"/>
      <c r="H15" s="347"/>
      <c r="I15" s="347"/>
      <c r="J15" s="347"/>
      <c r="K15" s="347"/>
    </row>
    <row r="16" spans="1:11" ht="15" customHeight="1">
      <c r="A16" s="414"/>
      <c r="B16" s="414"/>
      <c r="C16" s="414"/>
      <c r="D16" s="414"/>
      <c r="E16" s="414"/>
      <c r="F16" s="414"/>
      <c r="G16" s="414"/>
      <c r="H16" s="414"/>
      <c r="I16" s="414"/>
      <c r="J16" s="414"/>
    </row>
    <row r="17" spans="1:10" ht="15" customHeight="1">
      <c r="A17" s="414"/>
      <c r="B17" s="414"/>
      <c r="C17" s="414"/>
      <c r="D17" s="414"/>
      <c r="E17" s="414"/>
      <c r="F17" s="414"/>
      <c r="G17" s="414"/>
      <c r="H17" s="414"/>
      <c r="I17" s="414"/>
      <c r="J17" s="414"/>
    </row>
    <row r="18" spans="1:10" ht="15" customHeight="1">
      <c r="A18" s="414"/>
      <c r="B18" s="414"/>
      <c r="C18" s="414"/>
      <c r="D18" s="414"/>
      <c r="E18" s="414"/>
      <c r="F18" s="414"/>
      <c r="G18" s="414"/>
      <c r="H18" s="414"/>
      <c r="I18" s="414"/>
      <c r="J18" s="414"/>
    </row>
    <row r="19" spans="1:10" ht="15" customHeight="1">
      <c r="A19" s="414"/>
      <c r="B19" s="414"/>
      <c r="C19" s="414"/>
      <c r="D19" s="414"/>
      <c r="E19" s="414"/>
      <c r="F19" s="414"/>
      <c r="G19" s="414"/>
      <c r="H19" s="414"/>
      <c r="I19" s="414"/>
      <c r="J19" s="414"/>
    </row>
    <row r="20" spans="1:10" ht="15" customHeight="1">
      <c r="A20" s="414"/>
      <c r="B20" s="414"/>
      <c r="C20" s="414"/>
      <c r="D20" s="414"/>
      <c r="E20" s="414"/>
      <c r="F20" s="414"/>
      <c r="G20" s="414"/>
      <c r="H20" s="414"/>
      <c r="I20" s="414"/>
      <c r="J20" s="414"/>
    </row>
    <row r="21" spans="1:10" ht="15" customHeight="1">
      <c r="A21" s="414"/>
      <c r="B21" s="414"/>
      <c r="C21" s="414"/>
      <c r="D21" s="414"/>
      <c r="E21" s="414"/>
      <c r="F21" s="414"/>
      <c r="G21" s="414"/>
      <c r="H21" s="414"/>
      <c r="I21" s="414"/>
      <c r="J21" s="414"/>
    </row>
    <row r="22" spans="1:10" ht="15" customHeight="1">
      <c r="A22" s="414"/>
      <c r="B22" s="414"/>
      <c r="C22" s="414"/>
      <c r="D22" s="414"/>
      <c r="E22" s="414"/>
      <c r="F22" s="414"/>
      <c r="G22" s="414"/>
      <c r="H22" s="414"/>
      <c r="I22" s="414"/>
      <c r="J22" s="414"/>
    </row>
    <row r="23" spans="1:10" ht="15" customHeight="1">
      <c r="A23" s="414"/>
      <c r="B23" s="414"/>
      <c r="C23" s="414"/>
      <c r="D23" s="414"/>
      <c r="E23" s="414"/>
      <c r="F23" s="414"/>
      <c r="G23" s="414"/>
      <c r="H23" s="414"/>
      <c r="I23" s="414"/>
      <c r="J23" s="414"/>
    </row>
    <row r="24" spans="1:10" ht="15" customHeight="1">
      <c r="A24" s="414"/>
      <c r="B24" s="414"/>
      <c r="C24" s="414"/>
      <c r="D24" s="414"/>
      <c r="E24" s="414"/>
      <c r="F24" s="414"/>
      <c r="G24" s="414"/>
      <c r="H24" s="414"/>
      <c r="I24" s="414"/>
      <c r="J24" s="414"/>
    </row>
    <row r="25" spans="1:10" ht="15" customHeight="1">
      <c r="A25" s="414"/>
      <c r="B25" s="414"/>
      <c r="C25" s="414"/>
      <c r="D25" s="414"/>
      <c r="E25" s="414"/>
      <c r="F25" s="414"/>
      <c r="G25" s="414"/>
      <c r="H25" s="414"/>
      <c r="I25" s="414"/>
      <c r="J25" s="414"/>
    </row>
    <row r="26" spans="1:10" ht="15" customHeight="1">
      <c r="A26" s="414"/>
      <c r="B26" s="414"/>
      <c r="C26" s="414"/>
      <c r="D26" s="414"/>
      <c r="E26" s="414"/>
      <c r="F26" s="414"/>
      <c r="G26" s="414"/>
      <c r="H26" s="414"/>
      <c r="I26" s="414"/>
      <c r="J26" s="414"/>
    </row>
    <row r="27" spans="1:10" ht="15" customHeight="1">
      <c r="A27" s="414"/>
      <c r="B27" s="414"/>
      <c r="C27" s="414"/>
      <c r="D27" s="414"/>
      <c r="E27" s="414"/>
      <c r="F27" s="414"/>
      <c r="G27" s="414"/>
      <c r="H27" s="414"/>
      <c r="I27" s="414"/>
      <c r="J27" s="414"/>
    </row>
    <row r="28" spans="1:10" ht="15" customHeight="1">
      <c r="A28" s="414"/>
      <c r="B28" s="414"/>
      <c r="C28" s="414"/>
      <c r="D28" s="414"/>
      <c r="E28" s="414"/>
      <c r="F28" s="414"/>
      <c r="G28" s="414"/>
      <c r="H28" s="414"/>
      <c r="I28" s="414"/>
      <c r="J28" s="414"/>
    </row>
    <row r="29" spans="1:10" ht="15" customHeight="1">
      <c r="A29" s="414"/>
      <c r="B29" s="414"/>
      <c r="C29" s="414"/>
      <c r="D29" s="414"/>
      <c r="E29" s="414"/>
      <c r="F29" s="414"/>
      <c r="G29" s="414"/>
      <c r="H29" s="414"/>
      <c r="I29" s="414"/>
      <c r="J29" s="414"/>
    </row>
    <row r="30" spans="1:10" ht="15" customHeight="1">
      <c r="A30" s="414"/>
      <c r="B30" s="414"/>
      <c r="C30" s="414"/>
      <c r="D30" s="414"/>
      <c r="E30" s="414"/>
      <c r="F30" s="414"/>
      <c r="G30" s="414"/>
      <c r="H30" s="414"/>
      <c r="I30" s="414"/>
      <c r="J30" s="414"/>
    </row>
    <row r="31" spans="1:10" ht="15" customHeight="1">
      <c r="A31" s="414"/>
      <c r="B31" s="414"/>
      <c r="C31" s="414"/>
      <c r="D31" s="414"/>
      <c r="E31" s="414"/>
      <c r="F31" s="414"/>
      <c r="G31" s="414"/>
      <c r="H31" s="414"/>
      <c r="I31" s="414"/>
      <c r="J31" s="414"/>
    </row>
    <row r="32" spans="1:10" ht="15" customHeight="1">
      <c r="A32" s="414"/>
      <c r="B32" s="414"/>
      <c r="C32" s="414"/>
      <c r="D32" s="414"/>
      <c r="E32" s="414"/>
      <c r="F32" s="414"/>
      <c r="G32" s="414"/>
      <c r="H32" s="414"/>
      <c r="I32" s="414"/>
      <c r="J32" s="414"/>
    </row>
    <row r="33" spans="1:10" ht="15" customHeight="1">
      <c r="A33" s="414"/>
      <c r="B33" s="414"/>
      <c r="C33" s="414"/>
      <c r="D33" s="414"/>
      <c r="E33" s="414"/>
      <c r="F33" s="414"/>
      <c r="G33" s="414"/>
      <c r="H33" s="414"/>
      <c r="I33" s="414"/>
      <c r="J33" s="414"/>
    </row>
    <row r="34" spans="1:10" ht="15" customHeight="1">
      <c r="A34" s="414"/>
      <c r="B34" s="414"/>
      <c r="C34" s="414"/>
      <c r="D34" s="414"/>
      <c r="E34" s="414"/>
      <c r="F34" s="414"/>
      <c r="G34" s="414"/>
      <c r="H34" s="414"/>
      <c r="I34" s="414"/>
      <c r="J34" s="414"/>
    </row>
    <row r="35" spans="1:10" ht="15" customHeight="1">
      <c r="A35" s="414"/>
      <c r="B35" s="414"/>
      <c r="C35" s="414"/>
      <c r="D35" s="414"/>
      <c r="E35" s="414"/>
      <c r="F35" s="414"/>
      <c r="G35" s="414"/>
      <c r="H35" s="414"/>
      <c r="I35" s="414"/>
      <c r="J35" s="414"/>
    </row>
    <row r="36" spans="1:10" ht="15" customHeight="1">
      <c r="A36" s="414"/>
      <c r="B36" s="414"/>
      <c r="C36" s="414"/>
      <c r="D36" s="414"/>
      <c r="E36" s="414"/>
      <c r="F36" s="414"/>
      <c r="G36" s="414"/>
      <c r="H36" s="414"/>
      <c r="I36" s="414"/>
      <c r="J36" s="414"/>
    </row>
    <row r="37" spans="1:10" ht="15" customHeight="1">
      <c r="A37" s="414"/>
      <c r="B37" s="414"/>
      <c r="C37" s="414"/>
      <c r="D37" s="414"/>
      <c r="E37" s="414"/>
      <c r="F37" s="414"/>
      <c r="G37" s="414"/>
      <c r="H37" s="414"/>
      <c r="I37" s="414"/>
      <c r="J37" s="414"/>
    </row>
    <row r="38" spans="1:10" ht="15" customHeight="1">
      <c r="A38" s="414"/>
      <c r="B38" s="414"/>
      <c r="C38" s="414"/>
      <c r="D38" s="414"/>
      <c r="E38" s="414"/>
      <c r="F38" s="414"/>
      <c r="G38" s="414"/>
      <c r="H38" s="414"/>
      <c r="I38" s="414"/>
      <c r="J38" s="414"/>
    </row>
  </sheetData>
  <phoneticPr fontId="11"/>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5"/>
  <sheetViews>
    <sheetView workbookViewId="0">
      <selection activeCell="G38" sqref="G38"/>
    </sheetView>
  </sheetViews>
  <sheetFormatPr defaultRowHeight="13.5"/>
  <cols>
    <col min="1" max="1" width="9.140625" style="347"/>
    <col min="2" max="2" width="13" style="347" bestFit="1" customWidth="1"/>
    <col min="3" max="3" width="12.7109375" style="347" bestFit="1" customWidth="1"/>
    <col min="4" max="6" width="12.7109375" style="347" customWidth="1"/>
    <col min="7" max="7" width="3" style="347" customWidth="1"/>
    <col min="8" max="8" width="12.7109375" style="347" customWidth="1"/>
    <col min="9" max="16384" width="9.140625" style="347"/>
  </cols>
  <sheetData>
    <row r="3" spans="2:4">
      <c r="B3" s="371"/>
      <c r="C3" s="415" t="s">
        <v>298</v>
      </c>
      <c r="D3" s="415" t="s">
        <v>238</v>
      </c>
    </row>
    <row r="4" spans="2:4">
      <c r="B4" s="415" t="s">
        <v>372</v>
      </c>
      <c r="C4" s="416">
        <v>0.97899999999999998</v>
      </c>
      <c r="D4" s="416">
        <v>0.97599999999999998</v>
      </c>
    </row>
    <row r="5" spans="2:4">
      <c r="B5" s="417" t="s">
        <v>373</v>
      </c>
      <c r="C5" s="416">
        <v>0.99399999999999999</v>
      </c>
      <c r="D5" s="416">
        <v>0.99299999999999999</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15</vt:i4>
      </vt:variant>
      <vt:variant>
        <vt:lpstr>グラフ</vt:lpstr>
      </vt:variant>
      <vt:variant>
        <vt:i4>3</vt:i4>
      </vt:variant>
      <vt:variant>
        <vt:lpstr>名前付き一覧</vt:lpstr>
      </vt:variant>
      <vt:variant>
        <vt:i4>11</vt:i4>
      </vt:variant>
    </vt:vector>
  </HeadingPairs>
  <TitlesOfParts>
    <vt:vector size="29" baseType="lpstr">
      <vt:lpstr>表紙</vt:lpstr>
      <vt:lpstr>頁１</vt:lpstr>
      <vt:lpstr>頁２・３・５・７</vt:lpstr>
      <vt:lpstr>頁７データ（収支）</vt:lpstr>
      <vt:lpstr>頁４データ</vt:lpstr>
      <vt:lpstr>頁６データ</vt:lpstr>
      <vt:lpstr>頁6データ (2)</vt:lpstr>
      <vt:lpstr>頁8</vt:lpstr>
      <vt:lpstr>頁9</vt:lpstr>
      <vt:lpstr>頁10</vt:lpstr>
      <vt:lpstr>ＢＤ</vt:lpstr>
      <vt:lpstr>頁１１データ</vt:lpstr>
      <vt:lpstr>頁12</vt:lpstr>
      <vt:lpstr>頁9データ</vt:lpstr>
      <vt:lpstr>頁9データ（２）</vt:lpstr>
      <vt:lpstr>頁４</vt:lpstr>
      <vt:lpstr>頁６</vt:lpstr>
      <vt:lpstr>頁11</vt:lpstr>
      <vt:lpstr>頁１!Print_Area</vt:lpstr>
      <vt:lpstr>頁10!Print_Area</vt:lpstr>
      <vt:lpstr>頁１１データ!Print_Area</vt:lpstr>
      <vt:lpstr>頁12!Print_Area</vt:lpstr>
      <vt:lpstr>頁２・３・５・７!Print_Area</vt:lpstr>
      <vt:lpstr>頁４データ!Print_Area</vt:lpstr>
      <vt:lpstr>頁６データ!Print_Area</vt:lpstr>
      <vt:lpstr>'頁6データ (2)'!Print_Area</vt:lpstr>
      <vt:lpstr>'頁７データ（収支）'!Print_Area</vt:lpstr>
      <vt:lpstr>頁8!Print_Area</vt:lpstr>
      <vt:lpstr>頁9!Print_Area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2018-08-30T02:44:03Z</dcterms:created>
  <dcterms:modified xsi:type="dcterms:W3CDTF">2018-08-30T06:29:58Z</dcterms:modified>
</cp:coreProperties>
</file>