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2.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3.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comments1.xml" ContentType="application/vnd.openxmlformats-officedocument.spreadsheetml.comments+xml"/>
  <Override PartName="/xl/drawings/drawing9.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10.xml" ContentType="application/vnd.openxmlformats-officedocument.drawingml.chartshapes+xml"/>
  <Override PartName="/xl/comments2.xml" ContentType="application/vnd.openxmlformats-officedocument.spreadsheetml.comment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5AE616CB-7D75-4D22-9E50-6CE11EE3688A}" xr6:coauthVersionLast="47" xr6:coauthVersionMax="47" xr10:uidLastSave="{00000000-0000-0000-0000-000000000000}"/>
  <bookViews>
    <workbookView xWindow="-120" yWindow="-120" windowWidth="20730" windowHeight="11040" tabRatio="814" firstSheet="1" activeTab="1" xr2:uid="{00000000-000D-0000-FFFF-FFFF00000000}"/>
  </bookViews>
  <sheets>
    <sheet name="頁７データ" sheetId="4" state="hidden" r:id="rId1"/>
    <sheet name="表紙" sheetId="40" r:id="rId2"/>
    <sheet name="頁１" sheetId="32" r:id="rId3"/>
    <sheet name="頁２・３・５・７" sheetId="33" r:id="rId4"/>
    <sheet name="頁４" sheetId="5" r:id="rId5"/>
    <sheet name="頁４データ" sheetId="6" state="hidden" r:id="rId6"/>
    <sheet name="頁9グラフ用 " sheetId="39" state="hidden" r:id="rId7"/>
    <sheet name="頁６" sheetId="7" r:id="rId8"/>
    <sheet name="頁8" sheetId="38" r:id="rId9"/>
    <sheet name="頁６データ" sheetId="8" state="hidden" r:id="rId10"/>
    <sheet name="頁6データ (カメラ)" sheetId="9" state="hidden" r:id="rId11"/>
    <sheet name="ＢＤ" sheetId="16" state="hidden" r:id="rId12"/>
    <sheet name="頁9" sheetId="29" r:id="rId13"/>
    <sheet name="10税ＢＤ" sheetId="30" state="hidden" r:id="rId14"/>
    <sheet name="頁10" sheetId="17" r:id="rId15"/>
    <sheet name="頁11" sheetId="18" r:id="rId16"/>
    <sheet name="頁12データ" sheetId="19" state="hidden" r:id="rId17"/>
    <sheet name="頁12" sheetId="35" r:id="rId18"/>
    <sheet name="最新年度" sheetId="31" state="hidden" r:id="rId19"/>
  </sheets>
  <externalReferences>
    <externalReference r:id="rId20"/>
    <externalReference r:id="rId21"/>
    <externalReference r:id="rId22"/>
  </externalReferences>
  <definedNames>
    <definedName name="_xlnm.Print_Area" localSheetId="18">最新年度!$A$2:$I$65</definedName>
    <definedName name="_xlnm.Print_Area" localSheetId="1">表紙!$A$1:$I$24</definedName>
    <definedName name="_xlnm.Print_Area" localSheetId="2">頁１!$A$2:$R$54</definedName>
    <definedName name="_xlnm.Print_Area" localSheetId="14">頁10!$A$1:$N$44</definedName>
    <definedName name="_xlnm.Print_Area" localSheetId="17">頁12!$A$2:$L$47</definedName>
    <definedName name="_xlnm.Print_Area" localSheetId="16">頁12データ!$A$1:$AA$20</definedName>
    <definedName name="_xlnm.Print_Area" localSheetId="3">頁２・３・５・７!$A$1:$K$161</definedName>
    <definedName name="_xlnm.Print_Area" localSheetId="5">頁４データ!$A$1:$AA$97</definedName>
    <definedName name="_xlnm.Print_Area" localSheetId="9">頁６データ!$A$1:$Z$101</definedName>
    <definedName name="_xlnm.Print_Area" localSheetId="10">'頁6データ (カメラ)'!$A$1:$P$25</definedName>
    <definedName name="_xlnm.Print_Area" localSheetId="8">頁8!$A$1:$I$60</definedName>
    <definedName name="_xlnm.Print_Area" localSheetId="12">頁9!$A$1:$AF$48</definedName>
    <definedName name="Z_71C5DEFA_8D10_42C7_8DCD_FC8B1FBE3160_.wvu.PrintArea" localSheetId="17" hidden="1">頁12!$A$1:$L$51</definedName>
    <definedName name="Z_71C5DEFA_8D10_42C7_8DCD_FC8B1FBE3160_.wvu.PrintArea" localSheetId="3" hidden="1">頁２・３・５・７!$A$1:$K$161</definedName>
    <definedName name="Z_71C5DEFA_8D10_42C7_8DCD_FC8B1FBE3160_.wvu.Rows" localSheetId="3" hidden="1">頁２・３・５・７!#REF!</definedName>
    <definedName name="Z_AEEB1EFF_BF80_4ECA_9294_529C19E3F0E2_.wvu.PrintArea" localSheetId="17" hidden="1">頁12!$A$1:$L$51</definedName>
    <definedName name="Z_AEEB1EFF_BF80_4ECA_9294_529C19E3F0E2_.wvu.PrintArea" localSheetId="3" hidden="1">頁２・３・５・７!$A$1:$K$161</definedName>
    <definedName name="Z_AEEB1EFF_BF80_4ECA_9294_529C19E3F0E2_.wvu.Rows" localSheetId="3" hidden="1">頁２・３・５・７!#REF!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38" l="1"/>
  <c r="B7" i="39" l="1"/>
  <c r="C7" i="39"/>
  <c r="D7" i="39"/>
  <c r="E7" i="39"/>
  <c r="F7" i="38"/>
  <c r="F8" i="38"/>
  <c r="E9" i="38"/>
  <c r="E10" i="38"/>
  <c r="F10" i="38"/>
  <c r="E11" i="38"/>
  <c r="F11" i="38"/>
  <c r="F12" i="38"/>
  <c r="E13" i="38"/>
  <c r="E14" i="38"/>
  <c r="F14" i="38"/>
  <c r="F15" i="38"/>
  <c r="F16" i="38"/>
  <c r="E17" i="38"/>
  <c r="E18" i="38"/>
  <c r="F18" i="38"/>
  <c r="F19" i="38"/>
  <c r="F20" i="38"/>
  <c r="E21" i="38"/>
  <c r="M15" i="38" l="1"/>
  <c r="G15" i="38" s="1"/>
  <c r="M20" i="38"/>
  <c r="G20" i="38" s="1"/>
  <c r="M10" i="38"/>
  <c r="G10" i="38" s="1"/>
  <c r="M16" i="38"/>
  <c r="G16" i="38" s="1"/>
  <c r="H13" i="38"/>
  <c r="M9" i="38"/>
  <c r="G9" i="38" s="1"/>
  <c r="M8" i="38"/>
  <c r="G8" i="38" s="1"/>
  <c r="H14" i="38"/>
  <c r="M19" i="38"/>
  <c r="G19" i="38" s="1"/>
  <c r="H18" i="38"/>
  <c r="M14" i="38"/>
  <c r="G14" i="38" s="1"/>
  <c r="M13" i="38"/>
  <c r="G13" i="38" s="1"/>
  <c r="M12" i="38"/>
  <c r="G12" i="38" s="1"/>
  <c r="H9" i="38"/>
  <c r="E8" i="38"/>
  <c r="M21" i="38"/>
  <c r="G21" i="38" s="1"/>
  <c r="M18" i="38"/>
  <c r="G18" i="38" s="1"/>
  <c r="M17" i="38"/>
  <c r="G17" i="38" s="1"/>
  <c r="H21" i="38"/>
  <c r="H17" i="38"/>
  <c r="H10" i="38"/>
  <c r="K6" i="38"/>
  <c r="E6" i="38" s="1"/>
  <c r="L57" i="38" s="1"/>
  <c r="E19" i="38"/>
  <c r="E15" i="38"/>
  <c r="E7" i="38"/>
  <c r="F21" i="38"/>
  <c r="E20" i="38"/>
  <c r="H19" i="38"/>
  <c r="F17" i="38"/>
  <c r="E16" i="38"/>
  <c r="H15" i="38"/>
  <c r="F13" i="38"/>
  <c r="E12" i="38"/>
  <c r="H11" i="38"/>
  <c r="F9" i="38"/>
  <c r="H7" i="38"/>
  <c r="H20" i="38"/>
  <c r="H16" i="38"/>
  <c r="H12" i="38"/>
  <c r="M11" i="38"/>
  <c r="G11" i="38" s="1"/>
  <c r="H8" i="38"/>
  <c r="G7" i="38"/>
  <c r="L6" i="38"/>
  <c r="F6" i="38" s="1"/>
  <c r="H6" i="38" l="1"/>
  <c r="M6" i="38"/>
  <c r="G6" i="38" s="1"/>
  <c r="O5" i="32" l="1"/>
  <c r="P5" i="32"/>
  <c r="H6" i="31"/>
  <c r="H7" i="31" s="1"/>
  <c r="J6" i="31"/>
  <c r="G7" i="31"/>
  <c r="H8" i="31"/>
  <c r="J8" i="31"/>
  <c r="H9" i="31"/>
  <c r="H10" i="31"/>
  <c r="J10" i="31"/>
  <c r="H11" i="31"/>
  <c r="H12" i="31"/>
  <c r="H13" i="31" s="1"/>
  <c r="J12" i="31"/>
  <c r="H14" i="31"/>
  <c r="H15" i="31" s="1"/>
  <c r="J14" i="31"/>
  <c r="H16" i="31"/>
  <c r="H17" i="31" s="1"/>
  <c r="J16" i="31"/>
  <c r="H18" i="31"/>
  <c r="H19" i="31" s="1"/>
  <c r="J18" i="31"/>
  <c r="H20" i="31"/>
  <c r="H21" i="31" s="1"/>
  <c r="J20" i="31"/>
  <c r="H22" i="31"/>
  <c r="H23" i="31" s="1"/>
  <c r="J22" i="31"/>
  <c r="D23" i="31"/>
  <c r="E23" i="31"/>
  <c r="F23" i="31"/>
  <c r="G23" i="31"/>
  <c r="H24" i="31"/>
  <c r="H25" i="31" s="1"/>
  <c r="J24" i="31"/>
  <c r="C25" i="31"/>
  <c r="D25" i="31"/>
  <c r="E25" i="31"/>
  <c r="F25" i="31"/>
  <c r="G25" i="31"/>
  <c r="H26" i="31"/>
  <c r="H27" i="31" s="1"/>
  <c r="J26" i="31"/>
  <c r="C27" i="31"/>
  <c r="D27" i="31"/>
  <c r="E27" i="31"/>
  <c r="F27" i="31"/>
  <c r="G27" i="31"/>
  <c r="H28" i="31"/>
  <c r="H29" i="31" s="1"/>
  <c r="J28" i="31"/>
  <c r="C29" i="31"/>
  <c r="D29" i="31"/>
  <c r="E29" i="31"/>
  <c r="F29" i="31"/>
  <c r="G29" i="31"/>
  <c r="H30" i="31"/>
  <c r="H31" i="31" s="1"/>
  <c r="J30" i="31"/>
  <c r="C31" i="31"/>
  <c r="D31" i="31"/>
  <c r="E31" i="31"/>
  <c r="F31" i="31"/>
  <c r="G31" i="31"/>
  <c r="H32" i="31"/>
  <c r="H33" i="31" s="1"/>
  <c r="J32" i="31"/>
  <c r="C33" i="31"/>
  <c r="D33" i="31"/>
  <c r="E33" i="31"/>
  <c r="F33" i="31"/>
  <c r="G33" i="31"/>
  <c r="H34" i="31"/>
  <c r="H35" i="31" s="1"/>
  <c r="J34" i="31"/>
  <c r="C35" i="31"/>
  <c r="D35" i="31"/>
  <c r="E35" i="31"/>
  <c r="F35" i="31"/>
  <c r="G35" i="31"/>
  <c r="G36" i="31"/>
  <c r="G37" i="31" s="1"/>
  <c r="J36" i="31"/>
  <c r="C37" i="31"/>
  <c r="D37" i="31"/>
  <c r="E37" i="31"/>
  <c r="F37" i="31"/>
  <c r="F38" i="31"/>
  <c r="G38" i="31"/>
  <c r="G39" i="31" s="1"/>
  <c r="J38" i="31"/>
  <c r="C39" i="31"/>
  <c r="D39" i="31"/>
  <c r="E39" i="31"/>
  <c r="E40" i="31"/>
  <c r="F40" i="31"/>
  <c r="F41" i="31" s="1"/>
  <c r="G40" i="31"/>
  <c r="G41" i="31" s="1"/>
  <c r="H40" i="31"/>
  <c r="H41" i="31" s="1"/>
  <c r="J40" i="31"/>
  <c r="C41" i="31"/>
  <c r="D41" i="31"/>
  <c r="E41" i="31"/>
  <c r="J42" i="31"/>
  <c r="J54" i="31"/>
  <c r="B12" i="30"/>
  <c r="C12" i="30"/>
  <c r="D12" i="30"/>
  <c r="E12" i="30"/>
  <c r="F12" i="30"/>
  <c r="B13" i="30"/>
  <c r="G13" i="30" s="1"/>
  <c r="C13" i="30"/>
  <c r="D13" i="30"/>
  <c r="E13" i="30"/>
  <c r="F13" i="30"/>
  <c r="B14" i="30"/>
  <c r="C14" i="30"/>
  <c r="D14" i="30"/>
  <c r="E14" i="30"/>
  <c r="F14" i="30"/>
  <c r="B15" i="30"/>
  <c r="C15" i="30"/>
  <c r="D15" i="30"/>
  <c r="H15" i="30" s="1"/>
  <c r="E15" i="30"/>
  <c r="F15" i="30"/>
  <c r="B16" i="30"/>
  <c r="C16" i="30"/>
  <c r="H16" i="30" s="1"/>
  <c r="D16" i="30"/>
  <c r="E16" i="30"/>
  <c r="F16" i="30"/>
  <c r="B17" i="30"/>
  <c r="G17" i="30" s="1"/>
  <c r="C17" i="30"/>
  <c r="D17" i="30"/>
  <c r="E17" i="30"/>
  <c r="F17" i="30"/>
  <c r="B18" i="30"/>
  <c r="C18" i="30"/>
  <c r="D18" i="30"/>
  <c r="E18" i="30"/>
  <c r="F18" i="30"/>
  <c r="B19" i="30"/>
  <c r="C19" i="30"/>
  <c r="D19" i="30"/>
  <c r="H19" i="30" s="1"/>
  <c r="E19" i="30"/>
  <c r="F19" i="30"/>
  <c r="B20" i="30"/>
  <c r="C20" i="30"/>
  <c r="D20" i="30"/>
  <c r="E20" i="30"/>
  <c r="F20" i="30"/>
  <c r="B21" i="30"/>
  <c r="G21" i="30" s="1"/>
  <c r="C21" i="30"/>
  <c r="D21" i="30"/>
  <c r="E21" i="30"/>
  <c r="F21" i="30"/>
  <c r="B22" i="30"/>
  <c r="C22" i="30"/>
  <c r="D22" i="30"/>
  <c r="E22" i="30"/>
  <c r="B23" i="30"/>
  <c r="C23" i="30"/>
  <c r="H23" i="30" s="1"/>
  <c r="D23" i="30"/>
  <c r="G23" i="30"/>
  <c r="F25" i="30"/>
  <c r="H25" i="30" s="1"/>
  <c r="G25" i="30"/>
  <c r="F26" i="30"/>
  <c r="E27" i="30"/>
  <c r="D28" i="30"/>
  <c r="C29" i="30"/>
  <c r="B30" i="30"/>
  <c r="B31" i="30"/>
  <c r="G32" i="30"/>
  <c r="H32" i="30"/>
  <c r="G33" i="30"/>
  <c r="H33" i="30"/>
  <c r="G34" i="30"/>
  <c r="H34" i="30"/>
  <c r="G35" i="30"/>
  <c r="H35" i="30"/>
  <c r="G36" i="30"/>
  <c r="H36" i="30"/>
  <c r="G37" i="30"/>
  <c r="H37" i="30"/>
  <c r="G38" i="30"/>
  <c r="H38" i="30"/>
  <c r="G39" i="30"/>
  <c r="H39" i="30"/>
  <c r="H38" i="31" l="1"/>
  <c r="H39" i="31" s="1"/>
  <c r="H22" i="30"/>
  <c r="G20" i="30"/>
  <c r="H18" i="30"/>
  <c r="G16" i="30"/>
  <c r="H14" i="30"/>
  <c r="H12" i="30"/>
  <c r="G12" i="30"/>
  <c r="H36" i="31"/>
  <c r="H37" i="31" s="1"/>
  <c r="J66" i="31"/>
  <c r="F2" i="31" s="1"/>
  <c r="F39" i="31"/>
  <c r="G22" i="30"/>
  <c r="H20" i="30"/>
  <c r="G19" i="30"/>
  <c r="G15" i="30"/>
  <c r="G14" i="30"/>
  <c r="H21" i="30"/>
  <c r="H17" i="30"/>
  <c r="H13" i="30"/>
  <c r="G18" i="30"/>
  <c r="E31" i="30" l="1"/>
  <c r="F27" i="30" l="1"/>
  <c r="C27" i="30"/>
  <c r="F31" i="30"/>
  <c r="C31" i="30"/>
  <c r="D31" i="30"/>
  <c r="C30" i="30"/>
  <c r="D30" i="30"/>
  <c r="E30" i="30"/>
  <c r="G30" i="30" s="1"/>
  <c r="B27" i="30"/>
  <c r="B26" i="30"/>
  <c r="C26" i="30"/>
  <c r="D26" i="30"/>
  <c r="D27" i="30"/>
  <c r="G27" i="30" l="1"/>
  <c r="H27" i="30"/>
  <c r="H31" i="30"/>
  <c r="G31" i="30"/>
  <c r="H30" i="30"/>
  <c r="F28" i="30"/>
  <c r="F29" i="30"/>
  <c r="E29" i="30"/>
  <c r="D29" i="30"/>
  <c r="E28" i="30"/>
  <c r="B28" i="30"/>
  <c r="E26" i="30"/>
  <c r="G26" i="30" s="1"/>
  <c r="C28" i="30"/>
  <c r="H28" i="30" l="1"/>
  <c r="G28" i="30"/>
  <c r="G29" i="30"/>
  <c r="H26" i="30"/>
  <c r="B29" i="30"/>
  <c r="H29" i="30" s="1"/>
  <c r="E55" i="8" l="1"/>
  <c r="E57" i="8"/>
  <c r="E54" i="8"/>
  <c r="E50" i="8"/>
  <c r="E51" i="8"/>
  <c r="E52" i="8"/>
  <c r="E53" i="8"/>
  <c r="E49" i="8"/>
  <c r="E83" i="8" s="1"/>
  <c r="E94" i="8" s="1"/>
  <c r="F49" i="8"/>
  <c r="I49" i="8"/>
  <c r="K14" i="9"/>
  <c r="K7" i="9"/>
  <c r="K6" i="9"/>
  <c r="E62" i="8" l="1"/>
  <c r="J49" i="6"/>
  <c r="J41" i="6"/>
  <c r="J42" i="6"/>
  <c r="J43" i="6"/>
  <c r="J44" i="6"/>
  <c r="J45" i="6"/>
  <c r="J40" i="6"/>
  <c r="H40" i="6"/>
  <c r="I40" i="6"/>
  <c r="G41" i="6"/>
  <c r="H41" i="6"/>
  <c r="I41" i="6"/>
  <c r="H42" i="6"/>
  <c r="H45" i="6" s="1"/>
  <c r="I42" i="6"/>
  <c r="H43" i="6"/>
  <c r="I43" i="6"/>
  <c r="H44" i="6"/>
  <c r="I44" i="6"/>
  <c r="I45" i="6" l="1"/>
  <c r="N6" i="9"/>
  <c r="O6" i="9"/>
  <c r="O5" i="9"/>
  <c r="M6" i="9"/>
  <c r="N5" i="9"/>
  <c r="M5" i="9"/>
  <c r="M7" i="9" s="1"/>
  <c r="L5" i="9"/>
  <c r="L7" i="9" s="1"/>
  <c r="N7" i="9" l="1"/>
  <c r="G6" i="4" l="1"/>
  <c r="G38" i="16" l="1"/>
  <c r="G37" i="16"/>
  <c r="G36" i="16"/>
  <c r="G35" i="16"/>
  <c r="G34" i="16"/>
  <c r="G33" i="16"/>
  <c r="G32" i="16"/>
  <c r="F31" i="16"/>
  <c r="E31" i="16"/>
  <c r="D31" i="16"/>
  <c r="C31" i="16"/>
  <c r="B31" i="16"/>
  <c r="E30" i="16"/>
  <c r="D30" i="16"/>
  <c r="C30" i="16"/>
  <c r="B30" i="16"/>
  <c r="F29" i="16"/>
  <c r="E29" i="16"/>
  <c r="D29" i="16"/>
  <c r="C29" i="16"/>
  <c r="B29" i="16"/>
  <c r="F28" i="16"/>
  <c r="E28" i="16"/>
  <c r="D28" i="16"/>
  <c r="C28" i="16"/>
  <c r="B28" i="16"/>
  <c r="F27" i="16"/>
  <c r="E27" i="16"/>
  <c r="D27" i="16"/>
  <c r="C27" i="16"/>
  <c r="B27" i="16"/>
  <c r="F26" i="16"/>
  <c r="E26" i="16"/>
  <c r="D26" i="16"/>
  <c r="C26" i="16"/>
  <c r="B26" i="16"/>
  <c r="G26" i="16" s="1"/>
  <c r="F25" i="16"/>
  <c r="G25" i="16" s="1"/>
  <c r="D23" i="16"/>
  <c r="C23" i="16"/>
  <c r="B23" i="16"/>
  <c r="G23" i="16" s="1"/>
  <c r="E22" i="16"/>
  <c r="D22" i="16"/>
  <c r="C22" i="16"/>
  <c r="B22" i="16"/>
  <c r="G22" i="16" s="1"/>
  <c r="F21" i="16"/>
  <c r="E21" i="16"/>
  <c r="D21" i="16"/>
  <c r="C21" i="16"/>
  <c r="B21" i="16"/>
  <c r="F20" i="16"/>
  <c r="E20" i="16"/>
  <c r="D20" i="16"/>
  <c r="C20" i="16"/>
  <c r="B20" i="16"/>
  <c r="F19" i="16"/>
  <c r="E19" i="16"/>
  <c r="D19" i="16"/>
  <c r="C19" i="16"/>
  <c r="B19" i="16"/>
  <c r="F18" i="16"/>
  <c r="E18" i="16"/>
  <c r="D18" i="16"/>
  <c r="C18" i="16"/>
  <c r="B18" i="16"/>
  <c r="G18" i="16" s="1"/>
  <c r="F17" i="16"/>
  <c r="E17" i="16"/>
  <c r="D17" i="16"/>
  <c r="C17" i="16"/>
  <c r="B17" i="16"/>
  <c r="F16" i="16"/>
  <c r="E16" i="16"/>
  <c r="D16" i="16"/>
  <c r="C16" i="16"/>
  <c r="B16" i="16"/>
  <c r="F15" i="16"/>
  <c r="E15" i="16"/>
  <c r="D15" i="16"/>
  <c r="C15" i="16"/>
  <c r="B15" i="16"/>
  <c r="F14" i="16"/>
  <c r="E14" i="16"/>
  <c r="D14" i="16"/>
  <c r="C14" i="16"/>
  <c r="G14" i="16" s="1"/>
  <c r="B14" i="16"/>
  <c r="F13" i="16"/>
  <c r="E13" i="16"/>
  <c r="D13" i="16"/>
  <c r="C13" i="16"/>
  <c r="B13" i="16"/>
  <c r="F12" i="16"/>
  <c r="E12" i="16"/>
  <c r="D12" i="16"/>
  <c r="C12" i="16"/>
  <c r="B12" i="16"/>
  <c r="O10" i="9"/>
  <c r="I57" i="8"/>
  <c r="I56" i="8"/>
  <c r="I54" i="8"/>
  <c r="I50" i="8"/>
  <c r="I51" i="8"/>
  <c r="I52" i="8"/>
  <c r="I53" i="8"/>
  <c r="I83" i="8"/>
  <c r="I94" i="8" s="1"/>
  <c r="Z13" i="8"/>
  <c r="H57" i="8"/>
  <c r="H56" i="8"/>
  <c r="H54" i="8"/>
  <c r="H87" i="8" s="1"/>
  <c r="H53" i="8"/>
  <c r="H52" i="8"/>
  <c r="H51" i="8"/>
  <c r="H50" i="8"/>
  <c r="H49" i="8"/>
  <c r="G57" i="8"/>
  <c r="G70" i="8" s="1"/>
  <c r="G56" i="8"/>
  <c r="G54" i="8"/>
  <c r="G87" i="8" s="1"/>
  <c r="G53" i="8"/>
  <c r="G52" i="8"/>
  <c r="G86" i="8" s="1"/>
  <c r="G51" i="8"/>
  <c r="G50" i="8"/>
  <c r="G84" i="8" s="1"/>
  <c r="G49" i="8"/>
  <c r="F57" i="8"/>
  <c r="F50" i="8"/>
  <c r="F51" i="8"/>
  <c r="F52" i="8"/>
  <c r="F53" i="8"/>
  <c r="F54" i="8"/>
  <c r="F67" i="8" s="1"/>
  <c r="F62" i="8"/>
  <c r="G85" i="8"/>
  <c r="H86" i="8"/>
  <c r="Z32" i="8"/>
  <c r="Z44" i="8" s="1"/>
  <c r="Z30" i="8"/>
  <c r="Z42" i="8" s="1"/>
  <c r="Z41" i="8" s="1"/>
  <c r="Z29" i="8"/>
  <c r="Z40" i="8" s="1"/>
  <c r="Z28" i="8"/>
  <c r="Z39" i="8" s="1"/>
  <c r="Z27" i="8"/>
  <c r="Z38" i="8" s="1"/>
  <c r="Z26" i="8"/>
  <c r="Z37" i="8" s="1"/>
  <c r="N40" i="6"/>
  <c r="N49" i="6" s="1"/>
  <c r="N41" i="6"/>
  <c r="N42" i="6"/>
  <c r="N43" i="6"/>
  <c r="N44" i="6"/>
  <c r="N45" i="6"/>
  <c r="L40" i="6"/>
  <c r="M40" i="6"/>
  <c r="L41" i="6"/>
  <c r="M41" i="6"/>
  <c r="L42" i="6"/>
  <c r="M42" i="6"/>
  <c r="L43" i="6"/>
  <c r="M43" i="6"/>
  <c r="L44" i="6"/>
  <c r="M44" i="6"/>
  <c r="L45" i="6"/>
  <c r="M45" i="6"/>
  <c r="K45" i="6"/>
  <c r="K41" i="6"/>
  <c r="K42" i="6"/>
  <c r="K43" i="6"/>
  <c r="K44" i="6"/>
  <c r="K40" i="6"/>
  <c r="Z11" i="6"/>
  <c r="AA26" i="6"/>
  <c r="AA35" i="6" s="1"/>
  <c r="AA25" i="6"/>
  <c r="AA34" i="6" s="1"/>
  <c r="AA24" i="6"/>
  <c r="AA33" i="6" s="1"/>
  <c r="AA23" i="6"/>
  <c r="AA32" i="6" s="1"/>
  <c r="AA22" i="6"/>
  <c r="AA31" i="6" s="1"/>
  <c r="AA17" i="6"/>
  <c r="N60" i="6" s="1"/>
  <c r="AA16" i="6"/>
  <c r="N59" i="6" s="1"/>
  <c r="AA15" i="6"/>
  <c r="N58" i="6" s="1"/>
  <c r="AA11" i="6"/>
  <c r="Y11" i="6"/>
  <c r="AA20" i="19"/>
  <c r="AA19" i="19"/>
  <c r="AA18" i="19"/>
  <c r="AA17" i="19"/>
  <c r="AA16" i="19"/>
  <c r="AA15" i="19"/>
  <c r="AA14" i="19"/>
  <c r="F84" i="8" l="1"/>
  <c r="G89" i="8"/>
  <c r="G69" i="8"/>
  <c r="H89" i="8"/>
  <c r="G15" i="16"/>
  <c r="G19" i="16"/>
  <c r="F85" i="8"/>
  <c r="F70" i="8"/>
  <c r="H84" i="8"/>
  <c r="G12" i="16"/>
  <c r="G13" i="16"/>
  <c r="G16" i="16"/>
  <c r="G17" i="16"/>
  <c r="F83" i="8"/>
  <c r="G20" i="16"/>
  <c r="G21" i="16"/>
  <c r="G30" i="16"/>
  <c r="G27" i="16"/>
  <c r="G31" i="16"/>
  <c r="G28" i="16"/>
  <c r="G29" i="16"/>
  <c r="H85" i="8"/>
  <c r="F87" i="8"/>
  <c r="I62" i="8"/>
  <c r="H83" i="8"/>
  <c r="F86" i="8"/>
  <c r="G83" i="8"/>
  <c r="G90" i="8" s="1"/>
  <c r="Z45" i="8"/>
  <c r="Z33" i="8"/>
  <c r="AA18" i="6"/>
  <c r="AA36" i="6"/>
  <c r="AA27" i="6"/>
  <c r="I43" i="17"/>
  <c r="L43" i="17" s="1"/>
  <c r="H90" i="8" l="1"/>
  <c r="L10" i="9"/>
  <c r="Y20" i="19" l="1"/>
  <c r="Y19" i="19"/>
  <c r="Y18" i="19"/>
  <c r="Y17" i="19"/>
  <c r="Y16" i="19"/>
  <c r="Y15" i="19"/>
  <c r="Y14" i="19"/>
  <c r="I41" i="17"/>
  <c r="L41" i="17" s="1"/>
  <c r="N10" i="9" l="1"/>
  <c r="H70" i="8"/>
  <c r="H100" i="8"/>
  <c r="H66" i="8"/>
  <c r="H65" i="8"/>
  <c r="H64" i="8"/>
  <c r="H95" i="8"/>
  <c r="H62" i="8"/>
  <c r="X32" i="8"/>
  <c r="X44" i="8" s="1"/>
  <c r="X30" i="8"/>
  <c r="X42" i="8" s="1"/>
  <c r="X41" i="8" s="1"/>
  <c r="X29" i="8"/>
  <c r="X40" i="8" s="1"/>
  <c r="X28" i="8"/>
  <c r="X39" i="8" s="1"/>
  <c r="X27" i="8"/>
  <c r="X38" i="8" s="1"/>
  <c r="X26" i="8"/>
  <c r="X13" i="8"/>
  <c r="H96" i="8" l="1"/>
  <c r="H97" i="8"/>
  <c r="X33" i="8"/>
  <c r="H98" i="8"/>
  <c r="H63" i="8"/>
  <c r="H67" i="8"/>
  <c r="H58" i="8"/>
  <c r="H69" i="8"/>
  <c r="X37" i="8"/>
  <c r="X45" i="8" s="1"/>
  <c r="M76" i="6"/>
  <c r="M85" i="6" s="1"/>
  <c r="M75" i="6"/>
  <c r="M84" i="6" s="1"/>
  <c r="M50" i="6"/>
  <c r="M49" i="6"/>
  <c r="M79" i="6"/>
  <c r="M88" i="6" s="1"/>
  <c r="M78" i="6"/>
  <c r="M87" i="6" s="1"/>
  <c r="M77" i="6"/>
  <c r="M86" i="6" s="1"/>
  <c r="Y26" i="6"/>
  <c r="Y35" i="6" s="1"/>
  <c r="Y25" i="6"/>
  <c r="Y34" i="6" s="1"/>
  <c r="Y24" i="6"/>
  <c r="Y33" i="6" s="1"/>
  <c r="Y23" i="6"/>
  <c r="Y32" i="6" s="1"/>
  <c r="Y22" i="6"/>
  <c r="Y31" i="6" s="1"/>
  <c r="Y17" i="6"/>
  <c r="L60" i="6" s="1"/>
  <c r="Y16" i="6"/>
  <c r="L59" i="6" s="1"/>
  <c r="Y15" i="6"/>
  <c r="L58" i="6" s="1"/>
  <c r="H94" i="8" l="1"/>
  <c r="H101" i="8" s="1"/>
  <c r="M53" i="6"/>
  <c r="M68" i="6" s="1"/>
  <c r="Y18" i="6"/>
  <c r="M46" i="6"/>
  <c r="M54" i="6"/>
  <c r="M89" i="6"/>
  <c r="M80" i="6"/>
  <c r="M51" i="6"/>
  <c r="M66" i="6" s="1"/>
  <c r="M52" i="6"/>
  <c r="M67" i="6" s="1"/>
  <c r="Y36" i="6"/>
  <c r="Y27" i="6"/>
  <c r="M69" i="6" l="1"/>
  <c r="F8" i="4" l="1"/>
  <c r="E8" i="4"/>
  <c r="D8" i="4"/>
  <c r="J14" i="9" l="1"/>
  <c r="I14" i="9"/>
  <c r="H14" i="9"/>
  <c r="G14" i="9"/>
  <c r="F14" i="9"/>
  <c r="E14" i="9"/>
  <c r="D14" i="9"/>
  <c r="C14" i="9"/>
  <c r="M10" i="9"/>
  <c r="J7" i="9"/>
  <c r="I7" i="9"/>
  <c r="H7" i="9"/>
  <c r="F7" i="9"/>
  <c r="E7" i="9"/>
  <c r="D7" i="9"/>
  <c r="C7" i="9"/>
  <c r="O7" i="9"/>
  <c r="G5" i="9"/>
  <c r="G7" i="9" s="1"/>
  <c r="D89" i="8"/>
  <c r="D100" i="8" s="1"/>
  <c r="C89" i="8"/>
  <c r="C100" i="8" s="1"/>
  <c r="B89" i="8"/>
  <c r="B100" i="8" s="1"/>
  <c r="E88" i="8"/>
  <c r="E99" i="8" s="1"/>
  <c r="D88" i="8"/>
  <c r="D99" i="8" s="1"/>
  <c r="C88" i="8"/>
  <c r="C99" i="8" s="1"/>
  <c r="B88" i="8"/>
  <c r="B99" i="8" s="1"/>
  <c r="E87" i="8"/>
  <c r="E98" i="8" s="1"/>
  <c r="D87" i="8"/>
  <c r="D98" i="8" s="1"/>
  <c r="C87" i="8"/>
  <c r="C98" i="8" s="1"/>
  <c r="B87" i="8"/>
  <c r="B98" i="8" s="1"/>
  <c r="E86" i="8"/>
  <c r="E97" i="8" s="1"/>
  <c r="D86" i="8"/>
  <c r="D97" i="8" s="1"/>
  <c r="C86" i="8"/>
  <c r="C97" i="8" s="1"/>
  <c r="B86" i="8"/>
  <c r="B97" i="8" s="1"/>
  <c r="E85" i="8"/>
  <c r="E96" i="8" s="1"/>
  <c r="D85" i="8"/>
  <c r="D96" i="8" s="1"/>
  <c r="C85" i="8"/>
  <c r="C96" i="8" s="1"/>
  <c r="B85" i="8"/>
  <c r="B96" i="8" s="1"/>
  <c r="E84" i="8"/>
  <c r="E95" i="8" s="1"/>
  <c r="D84" i="8"/>
  <c r="D95" i="8" s="1"/>
  <c r="C84" i="8"/>
  <c r="C95" i="8" s="1"/>
  <c r="B84" i="8"/>
  <c r="B95" i="8" s="1"/>
  <c r="D83" i="8"/>
  <c r="D94" i="8" s="1"/>
  <c r="C83" i="8"/>
  <c r="C94" i="8" s="1"/>
  <c r="B83" i="8"/>
  <c r="B94" i="8" s="1"/>
  <c r="H77" i="8"/>
  <c r="G77" i="8"/>
  <c r="F77" i="8"/>
  <c r="E77" i="8"/>
  <c r="D77" i="8"/>
  <c r="C77" i="8"/>
  <c r="B77" i="8"/>
  <c r="I71" i="8"/>
  <c r="E70" i="8"/>
  <c r="D70" i="8"/>
  <c r="C70" i="8"/>
  <c r="B70" i="8"/>
  <c r="D69" i="8"/>
  <c r="C69" i="8"/>
  <c r="B69" i="8"/>
  <c r="E68" i="8"/>
  <c r="D68" i="8"/>
  <c r="C68" i="8"/>
  <c r="B68" i="8"/>
  <c r="E67" i="8"/>
  <c r="D67" i="8"/>
  <c r="C67" i="8"/>
  <c r="B67" i="8"/>
  <c r="E65" i="8"/>
  <c r="D65" i="8"/>
  <c r="C65" i="8"/>
  <c r="B65" i="8"/>
  <c r="E64" i="8"/>
  <c r="D64" i="8"/>
  <c r="C64" i="8"/>
  <c r="B64" i="8"/>
  <c r="E63" i="8"/>
  <c r="D63" i="8"/>
  <c r="C63" i="8"/>
  <c r="B63" i="8"/>
  <c r="D62" i="8"/>
  <c r="C62" i="8"/>
  <c r="B62" i="8"/>
  <c r="I70" i="8"/>
  <c r="I89" i="8"/>
  <c r="I100" i="8" s="1"/>
  <c r="I66" i="8"/>
  <c r="F66" i="8"/>
  <c r="E66" i="8"/>
  <c r="D53" i="8"/>
  <c r="D66" i="8" s="1"/>
  <c r="C53" i="8"/>
  <c r="C66" i="8" s="1"/>
  <c r="B53" i="8"/>
  <c r="B66" i="8" s="1"/>
  <c r="I86" i="8"/>
  <c r="I97" i="8" s="1"/>
  <c r="F65" i="8"/>
  <c r="I85" i="8"/>
  <c r="I96" i="8" s="1"/>
  <c r="F64" i="8"/>
  <c r="I84" i="8"/>
  <c r="I95" i="8" s="1"/>
  <c r="G95" i="8"/>
  <c r="F63" i="8"/>
  <c r="Y32" i="8"/>
  <c r="Y44" i="8" s="1"/>
  <c r="R32" i="8"/>
  <c r="R44" i="8" s="1"/>
  <c r="Q32" i="8"/>
  <c r="Q44" i="8" s="1"/>
  <c r="P32" i="8"/>
  <c r="P44" i="8" s="1"/>
  <c r="O32" i="8"/>
  <c r="O44" i="8" s="1"/>
  <c r="N32" i="8"/>
  <c r="N44" i="8" s="1"/>
  <c r="C32" i="8"/>
  <c r="C44" i="8" s="1"/>
  <c r="B32" i="8"/>
  <c r="B44" i="8" s="1"/>
  <c r="P31" i="8"/>
  <c r="P43" i="8" s="1"/>
  <c r="O31" i="8"/>
  <c r="O43" i="8" s="1"/>
  <c r="N31" i="8"/>
  <c r="N43" i="8" s="1"/>
  <c r="M31" i="8"/>
  <c r="M43" i="8" s="1"/>
  <c r="L31" i="8"/>
  <c r="L43" i="8" s="1"/>
  <c r="K31" i="8"/>
  <c r="K43" i="8" s="1"/>
  <c r="J31" i="8"/>
  <c r="J43" i="8" s="1"/>
  <c r="I31" i="8"/>
  <c r="I43" i="8" s="1"/>
  <c r="H31" i="8"/>
  <c r="H43" i="8" s="1"/>
  <c r="G31" i="8"/>
  <c r="G43" i="8" s="1"/>
  <c r="F31" i="8"/>
  <c r="F43" i="8" s="1"/>
  <c r="E31" i="8"/>
  <c r="E43" i="8" s="1"/>
  <c r="D31" i="8"/>
  <c r="D43" i="8" s="1"/>
  <c r="C31" i="8"/>
  <c r="C43" i="8" s="1"/>
  <c r="B31" i="8"/>
  <c r="B43" i="8" s="1"/>
  <c r="Y30" i="8"/>
  <c r="Y42" i="8" s="1"/>
  <c r="Y41" i="8" s="1"/>
  <c r="W30" i="8"/>
  <c r="W42" i="8" s="1"/>
  <c r="W41" i="8" s="1"/>
  <c r="V30" i="8"/>
  <c r="V42" i="8" s="1"/>
  <c r="V41" i="8" s="1"/>
  <c r="U30" i="8"/>
  <c r="U42" i="8" s="1"/>
  <c r="U41" i="8" s="1"/>
  <c r="T30" i="8"/>
  <c r="T42" i="8" s="1"/>
  <c r="T41" i="8" s="1"/>
  <c r="S30" i="8"/>
  <c r="S42" i="8" s="1"/>
  <c r="S41" i="8" s="1"/>
  <c r="R30" i="8"/>
  <c r="R42" i="8" s="1"/>
  <c r="R41" i="8" s="1"/>
  <c r="Q30" i="8"/>
  <c r="Q42" i="8" s="1"/>
  <c r="Q41" i="8" s="1"/>
  <c r="P30" i="8"/>
  <c r="P42" i="8" s="1"/>
  <c r="O30" i="8"/>
  <c r="O42" i="8" s="1"/>
  <c r="N30" i="8"/>
  <c r="N42" i="8" s="1"/>
  <c r="M30" i="8"/>
  <c r="M42" i="8" s="1"/>
  <c r="L30" i="8"/>
  <c r="L42" i="8" s="1"/>
  <c r="K30" i="8"/>
  <c r="K42" i="8" s="1"/>
  <c r="J30" i="8"/>
  <c r="J42" i="8" s="1"/>
  <c r="I30" i="8"/>
  <c r="I42" i="8" s="1"/>
  <c r="H30" i="8"/>
  <c r="H42" i="8" s="1"/>
  <c r="G30" i="8"/>
  <c r="G42" i="8" s="1"/>
  <c r="F30" i="8"/>
  <c r="F42" i="8" s="1"/>
  <c r="E30" i="8"/>
  <c r="E42" i="8" s="1"/>
  <c r="D30" i="8"/>
  <c r="D42" i="8" s="1"/>
  <c r="C30" i="8"/>
  <c r="C42" i="8" s="1"/>
  <c r="B30" i="8"/>
  <c r="B42" i="8" s="1"/>
  <c r="Y29" i="8"/>
  <c r="Y40" i="8" s="1"/>
  <c r="W29" i="8"/>
  <c r="W40" i="8" s="1"/>
  <c r="V29" i="8"/>
  <c r="V40" i="8" s="1"/>
  <c r="U29" i="8"/>
  <c r="U40" i="8" s="1"/>
  <c r="T29" i="8"/>
  <c r="T40" i="8" s="1"/>
  <c r="S29" i="8"/>
  <c r="S40" i="8" s="1"/>
  <c r="R29" i="8"/>
  <c r="R40" i="8" s="1"/>
  <c r="Q29" i="8"/>
  <c r="Q40" i="8" s="1"/>
  <c r="P29" i="8"/>
  <c r="P40" i="8" s="1"/>
  <c r="O29" i="8"/>
  <c r="O40" i="8" s="1"/>
  <c r="N29" i="8"/>
  <c r="N40" i="8" s="1"/>
  <c r="M29" i="8"/>
  <c r="M40" i="8" s="1"/>
  <c r="L29" i="8"/>
  <c r="L40" i="8" s="1"/>
  <c r="K29" i="8"/>
  <c r="K40" i="8" s="1"/>
  <c r="J29" i="8"/>
  <c r="J40" i="8" s="1"/>
  <c r="I29" i="8"/>
  <c r="I40" i="8" s="1"/>
  <c r="H29" i="8"/>
  <c r="H40" i="8" s="1"/>
  <c r="G29" i="8"/>
  <c r="G40" i="8" s="1"/>
  <c r="F29" i="8"/>
  <c r="F40" i="8" s="1"/>
  <c r="E29" i="8"/>
  <c r="E40" i="8" s="1"/>
  <c r="D29" i="8"/>
  <c r="D40" i="8" s="1"/>
  <c r="C29" i="8"/>
  <c r="C40" i="8" s="1"/>
  <c r="B29" i="8"/>
  <c r="B40" i="8" s="1"/>
  <c r="Y28" i="8"/>
  <c r="Y39" i="8" s="1"/>
  <c r="W28" i="8"/>
  <c r="W39" i="8" s="1"/>
  <c r="V28" i="8"/>
  <c r="V39" i="8" s="1"/>
  <c r="R28" i="8"/>
  <c r="R39" i="8" s="1"/>
  <c r="Q28" i="8"/>
  <c r="Q39" i="8" s="1"/>
  <c r="P28" i="8"/>
  <c r="P39" i="8" s="1"/>
  <c r="O28" i="8"/>
  <c r="O39" i="8" s="1"/>
  <c r="N28" i="8"/>
  <c r="N39" i="8" s="1"/>
  <c r="M28" i="8"/>
  <c r="M39" i="8" s="1"/>
  <c r="L28" i="8"/>
  <c r="L39" i="8" s="1"/>
  <c r="K28" i="8"/>
  <c r="K39" i="8" s="1"/>
  <c r="J28" i="8"/>
  <c r="J39" i="8" s="1"/>
  <c r="I28" i="8"/>
  <c r="I39" i="8" s="1"/>
  <c r="H28" i="8"/>
  <c r="H39" i="8" s="1"/>
  <c r="G28" i="8"/>
  <c r="G39" i="8" s="1"/>
  <c r="F28" i="8"/>
  <c r="F39" i="8" s="1"/>
  <c r="E28" i="8"/>
  <c r="E39" i="8" s="1"/>
  <c r="D28" i="8"/>
  <c r="D39" i="8" s="1"/>
  <c r="C28" i="8"/>
  <c r="C39" i="8" s="1"/>
  <c r="B28" i="8"/>
  <c r="B39" i="8" s="1"/>
  <c r="Y27" i="8"/>
  <c r="Y38" i="8" s="1"/>
  <c r="W27" i="8"/>
  <c r="W38" i="8" s="1"/>
  <c r="V27" i="8"/>
  <c r="V38" i="8" s="1"/>
  <c r="U27" i="8"/>
  <c r="U38" i="8" s="1"/>
  <c r="T27" i="8"/>
  <c r="T38" i="8" s="1"/>
  <c r="S27" i="8"/>
  <c r="S38" i="8" s="1"/>
  <c r="R27" i="8"/>
  <c r="R38" i="8" s="1"/>
  <c r="Q27" i="8"/>
  <c r="Q38" i="8" s="1"/>
  <c r="P27" i="8"/>
  <c r="P38" i="8" s="1"/>
  <c r="O27" i="8"/>
  <c r="O38" i="8" s="1"/>
  <c r="N27" i="8"/>
  <c r="N38" i="8" s="1"/>
  <c r="M27" i="8"/>
  <c r="M38" i="8" s="1"/>
  <c r="L27" i="8"/>
  <c r="L38" i="8" s="1"/>
  <c r="K27" i="8"/>
  <c r="K38" i="8" s="1"/>
  <c r="J27" i="8"/>
  <c r="J38" i="8" s="1"/>
  <c r="I27" i="8"/>
  <c r="I38" i="8" s="1"/>
  <c r="H27" i="8"/>
  <c r="H38" i="8" s="1"/>
  <c r="G27" i="8"/>
  <c r="G38" i="8" s="1"/>
  <c r="F27" i="8"/>
  <c r="F38" i="8" s="1"/>
  <c r="E27" i="8"/>
  <c r="E38" i="8" s="1"/>
  <c r="D27" i="8"/>
  <c r="D38" i="8" s="1"/>
  <c r="C27" i="8"/>
  <c r="C38" i="8" s="1"/>
  <c r="B27" i="8"/>
  <c r="B38" i="8" s="1"/>
  <c r="Y26" i="8"/>
  <c r="W26" i="8"/>
  <c r="W37" i="8" s="1"/>
  <c r="V26" i="8"/>
  <c r="V37" i="8" s="1"/>
  <c r="U26" i="8"/>
  <c r="U37" i="8" s="1"/>
  <c r="T26" i="8"/>
  <c r="S26" i="8"/>
  <c r="R26" i="8"/>
  <c r="R37" i="8" s="1"/>
  <c r="Q26" i="8"/>
  <c r="Q37" i="8" s="1"/>
  <c r="P26" i="8"/>
  <c r="O26" i="8"/>
  <c r="N26" i="8"/>
  <c r="N37" i="8" s="1"/>
  <c r="M26" i="8"/>
  <c r="M37" i="8" s="1"/>
  <c r="L26" i="8"/>
  <c r="K26" i="8"/>
  <c r="J26" i="8"/>
  <c r="I26" i="8"/>
  <c r="I37" i="8" s="1"/>
  <c r="H26" i="8"/>
  <c r="G26" i="8"/>
  <c r="F26" i="8"/>
  <c r="F37" i="8" s="1"/>
  <c r="E26" i="8"/>
  <c r="E37" i="8" s="1"/>
  <c r="D26" i="8"/>
  <c r="C26" i="8"/>
  <c r="B26" i="8"/>
  <c r="L22" i="8"/>
  <c r="K22" i="8"/>
  <c r="J22" i="8"/>
  <c r="I22" i="8"/>
  <c r="H22" i="8"/>
  <c r="G22" i="8"/>
  <c r="F22" i="8"/>
  <c r="E22" i="8"/>
  <c r="D22" i="8"/>
  <c r="C22" i="8"/>
  <c r="B22" i="8"/>
  <c r="P15" i="8"/>
  <c r="O15" i="8"/>
  <c r="K15" i="8"/>
  <c r="J15" i="8"/>
  <c r="I15" i="8"/>
  <c r="H15" i="8"/>
  <c r="G15" i="8"/>
  <c r="F15" i="8"/>
  <c r="E15" i="8"/>
  <c r="D15" i="8"/>
  <c r="C15" i="8"/>
  <c r="B15" i="8"/>
  <c r="N14" i="8"/>
  <c r="N15" i="8" s="1"/>
  <c r="M14" i="8"/>
  <c r="M15" i="8" s="1"/>
  <c r="L14" i="8"/>
  <c r="L15" i="8" s="1"/>
  <c r="Y13" i="8"/>
  <c r="R13" i="8"/>
  <c r="Q13" i="8"/>
  <c r="P13" i="8"/>
  <c r="O13" i="8"/>
  <c r="N13" i="8"/>
  <c r="C13" i="8"/>
  <c r="B13" i="8"/>
  <c r="W11" i="8"/>
  <c r="F56" i="8" s="1"/>
  <c r="V11" i="8"/>
  <c r="E56" i="8" s="1"/>
  <c r="E69" i="8" s="1"/>
  <c r="T11" i="8"/>
  <c r="T32" i="8" s="1"/>
  <c r="T44" i="8" s="1"/>
  <c r="S11" i="8"/>
  <c r="S32" i="8" s="1"/>
  <c r="S44" i="8" s="1"/>
  <c r="M11" i="8"/>
  <c r="M32" i="8" s="1"/>
  <c r="M44" i="8" s="1"/>
  <c r="L11" i="8"/>
  <c r="L13" i="8" s="1"/>
  <c r="K11" i="8"/>
  <c r="K32" i="8" s="1"/>
  <c r="K44" i="8" s="1"/>
  <c r="J11" i="8"/>
  <c r="J32" i="8" s="1"/>
  <c r="J44" i="8" s="1"/>
  <c r="I11" i="8"/>
  <c r="I32" i="8" s="1"/>
  <c r="I44" i="8" s="1"/>
  <c r="H11" i="8"/>
  <c r="H13" i="8" s="1"/>
  <c r="G11" i="8"/>
  <c r="G32" i="8" s="1"/>
  <c r="G44" i="8" s="1"/>
  <c r="F11" i="8"/>
  <c r="F32" i="8" s="1"/>
  <c r="F44" i="8" s="1"/>
  <c r="E11" i="8"/>
  <c r="E32" i="8" s="1"/>
  <c r="E44" i="8" s="1"/>
  <c r="D11" i="8"/>
  <c r="D13" i="8" s="1"/>
  <c r="U7" i="8"/>
  <c r="T7" i="8"/>
  <c r="S7" i="8"/>
  <c r="S28" i="8" s="1"/>
  <c r="S39" i="8" s="1"/>
  <c r="E89" i="8" l="1"/>
  <c r="E100" i="8" s="1"/>
  <c r="F89" i="8"/>
  <c r="F90" i="8" s="1"/>
  <c r="F69" i="8"/>
  <c r="F71" i="8"/>
  <c r="C79" i="8"/>
  <c r="V13" i="8"/>
  <c r="T13" i="8"/>
  <c r="F79" i="8"/>
  <c r="L32" i="8"/>
  <c r="L44" i="8" s="1"/>
  <c r="G79" i="8"/>
  <c r="T28" i="8"/>
  <c r="T39" i="8" s="1"/>
  <c r="I87" i="8"/>
  <c r="I98" i="8" s="1"/>
  <c r="I101" i="8" s="1"/>
  <c r="J13" i="8"/>
  <c r="B33" i="8"/>
  <c r="J33" i="8"/>
  <c r="D41" i="8"/>
  <c r="H41" i="8"/>
  <c r="L41" i="8"/>
  <c r="P41" i="8"/>
  <c r="D79" i="8"/>
  <c r="H79" i="8"/>
  <c r="I13" i="8"/>
  <c r="M13" i="8"/>
  <c r="E79" i="8"/>
  <c r="E13" i="8"/>
  <c r="O41" i="8"/>
  <c r="D32" i="8"/>
  <c r="D44" i="8" s="1"/>
  <c r="G96" i="8"/>
  <c r="G97" i="8"/>
  <c r="G58" i="8"/>
  <c r="G66" i="8"/>
  <c r="F96" i="8"/>
  <c r="C33" i="8"/>
  <c r="O33" i="8"/>
  <c r="F97" i="8"/>
  <c r="F13" i="8"/>
  <c r="P33" i="8"/>
  <c r="Y33" i="8"/>
  <c r="B41" i="8"/>
  <c r="F41" i="8"/>
  <c r="F45" i="8" s="1"/>
  <c r="J41" i="8"/>
  <c r="N41" i="8"/>
  <c r="N45" i="8" s="1"/>
  <c r="F98" i="8"/>
  <c r="C41" i="8"/>
  <c r="G41" i="8"/>
  <c r="K41" i="8"/>
  <c r="H32" i="8"/>
  <c r="H44" i="8" s="1"/>
  <c r="G63" i="8"/>
  <c r="F95" i="8"/>
  <c r="F100" i="8"/>
  <c r="G33" i="8"/>
  <c r="K33" i="8"/>
  <c r="S33" i="8"/>
  <c r="G100" i="8"/>
  <c r="D71" i="8"/>
  <c r="C101" i="8"/>
  <c r="R45" i="8"/>
  <c r="I33" i="8"/>
  <c r="Q33" i="8"/>
  <c r="B37" i="8"/>
  <c r="B45" i="8" s="1"/>
  <c r="J37" i="8"/>
  <c r="U11" i="8"/>
  <c r="G13" i="8"/>
  <c r="K13" i="8"/>
  <c r="S13" i="8"/>
  <c r="W13" i="8"/>
  <c r="U28" i="8"/>
  <c r="F33" i="8"/>
  <c r="N33" i="8"/>
  <c r="R33" i="8"/>
  <c r="C37" i="8"/>
  <c r="G37" i="8"/>
  <c r="K37" i="8"/>
  <c r="O37" i="8"/>
  <c r="O45" i="8" s="1"/>
  <c r="S37" i="8"/>
  <c r="S45" i="8" s="1"/>
  <c r="Y37" i="8"/>
  <c r="Y45" i="8" s="1"/>
  <c r="G98" i="8"/>
  <c r="D58" i="8"/>
  <c r="G64" i="8"/>
  <c r="G67" i="8"/>
  <c r="D101" i="8"/>
  <c r="C90" i="8"/>
  <c r="M33" i="8"/>
  <c r="C71" i="8"/>
  <c r="V32" i="8"/>
  <c r="V44" i="8" s="1"/>
  <c r="V45" i="8" s="1"/>
  <c r="D37" i="8"/>
  <c r="H37" i="8"/>
  <c r="L37" i="8"/>
  <c r="P37" i="8"/>
  <c r="P45" i="8" s="1"/>
  <c r="T37" i="8"/>
  <c r="T45" i="8" s="1"/>
  <c r="G94" i="8"/>
  <c r="G65" i="8"/>
  <c r="E71" i="8"/>
  <c r="E101" i="8"/>
  <c r="E33" i="8"/>
  <c r="E41" i="8"/>
  <c r="E45" i="8" s="1"/>
  <c r="I41" i="8"/>
  <c r="I45" i="8" s="1"/>
  <c r="M41" i="8"/>
  <c r="M45" i="8" s="1"/>
  <c r="Q45" i="8"/>
  <c r="W32" i="8"/>
  <c r="W44" i="8" s="1"/>
  <c r="W45" i="8" s="1"/>
  <c r="G62" i="8"/>
  <c r="B71" i="8"/>
  <c r="B101" i="8"/>
  <c r="E58" i="8"/>
  <c r="I58" i="8"/>
  <c r="I63" i="8"/>
  <c r="I64" i="8"/>
  <c r="I65" i="8"/>
  <c r="I67" i="8"/>
  <c r="I69" i="8"/>
  <c r="D90" i="8"/>
  <c r="B58" i="8"/>
  <c r="E90" i="8"/>
  <c r="C58" i="8"/>
  <c r="F58" i="8"/>
  <c r="B90" i="8"/>
  <c r="G45" i="8" l="1"/>
  <c r="H45" i="8"/>
  <c r="T33" i="8"/>
  <c r="L33" i="8"/>
  <c r="L45" i="8"/>
  <c r="D45" i="8"/>
  <c r="I90" i="8"/>
  <c r="K45" i="8"/>
  <c r="H71" i="8"/>
  <c r="G71" i="8"/>
  <c r="J45" i="8"/>
  <c r="D33" i="8"/>
  <c r="C45" i="8"/>
  <c r="F94" i="8"/>
  <c r="F101" i="8" s="1"/>
  <c r="H33" i="8"/>
  <c r="U32" i="8"/>
  <c r="U44" i="8" s="1"/>
  <c r="U13" i="8"/>
  <c r="G101" i="8"/>
  <c r="V33" i="8"/>
  <c r="U39" i="8"/>
  <c r="W33" i="8"/>
  <c r="U33" i="8" l="1"/>
  <c r="U45" i="8"/>
  <c r="X20" i="19" l="1"/>
  <c r="X19" i="19"/>
  <c r="X18" i="19"/>
  <c r="X17" i="19"/>
  <c r="X16" i="19"/>
  <c r="X15" i="19"/>
  <c r="X14" i="19"/>
  <c r="I40" i="17"/>
  <c r="L40" i="17" s="1"/>
  <c r="L49" i="6"/>
  <c r="L50" i="6"/>
  <c r="L51" i="6"/>
  <c r="L66" i="6" s="1"/>
  <c r="L53" i="6"/>
  <c r="L68" i="6" s="1"/>
  <c r="L54" i="6"/>
  <c r="L75" i="6"/>
  <c r="L84" i="6" s="1"/>
  <c r="L79" i="6"/>
  <c r="L88" i="6" s="1"/>
  <c r="X26" i="6"/>
  <c r="X35" i="6" s="1"/>
  <c r="X25" i="6"/>
  <c r="X34" i="6" s="1"/>
  <c r="X24" i="6"/>
  <c r="X33" i="6" s="1"/>
  <c r="X23" i="6"/>
  <c r="X32" i="6" s="1"/>
  <c r="X22" i="6"/>
  <c r="X17" i="6"/>
  <c r="K60" i="6" s="1"/>
  <c r="X16" i="6"/>
  <c r="K59" i="6" s="1"/>
  <c r="X15" i="6"/>
  <c r="K58" i="6" s="1"/>
  <c r="X11" i="6"/>
  <c r="L46" i="6" l="1"/>
  <c r="L61" i="6"/>
  <c r="L70" i="6" s="1"/>
  <c r="L78" i="6"/>
  <c r="L87" i="6" s="1"/>
  <c r="L52" i="6"/>
  <c r="L67" i="6" s="1"/>
  <c r="L69" i="6" s="1"/>
  <c r="L77" i="6"/>
  <c r="L86" i="6" s="1"/>
  <c r="L76" i="6"/>
  <c r="L85" i="6" s="1"/>
  <c r="X27" i="6"/>
  <c r="X31" i="6"/>
  <c r="X36" i="6" s="1"/>
  <c r="X18" i="6"/>
  <c r="L71" i="6" l="1"/>
  <c r="L80" i="6"/>
  <c r="L89" i="6"/>
  <c r="I42" i="17" l="1"/>
  <c r="L42" i="17" s="1"/>
  <c r="Z20" i="19"/>
  <c r="Z19" i="19"/>
  <c r="Z18" i="19"/>
  <c r="Z17" i="19"/>
  <c r="Z16" i="19"/>
  <c r="Z15" i="19"/>
  <c r="Z14" i="19"/>
  <c r="N54" i="6"/>
  <c r="N53" i="6"/>
  <c r="N68" i="6" s="1"/>
  <c r="N78" i="6"/>
  <c r="N77" i="6"/>
  <c r="N76" i="6"/>
  <c r="K54" i="6"/>
  <c r="K79" i="6"/>
  <c r="K78" i="6"/>
  <c r="K51" i="6"/>
  <c r="K66" i="6" s="1"/>
  <c r="K50" i="6"/>
  <c r="K49" i="6"/>
  <c r="K75" i="6" l="1"/>
  <c r="K84" i="6" s="1"/>
  <c r="K53" i="6"/>
  <c r="K76" i="6"/>
  <c r="N79" i="6"/>
  <c r="K77" i="6"/>
  <c r="N75" i="6"/>
  <c r="N84" i="6" s="1"/>
  <c r="N50" i="6"/>
  <c r="N51" i="6"/>
  <c r="K52" i="6"/>
  <c r="N52" i="6"/>
  <c r="Z26" i="6" l="1"/>
  <c r="Z35" i="6" s="1"/>
  <c r="Z25" i="6"/>
  <c r="Z34" i="6" s="1"/>
  <c r="Z24" i="6"/>
  <c r="Z33" i="6" s="1"/>
  <c r="Z23" i="6"/>
  <c r="Z32" i="6" s="1"/>
  <c r="Z22" i="6"/>
  <c r="Z17" i="6"/>
  <c r="M60" i="6" s="1"/>
  <c r="Z16" i="6"/>
  <c r="M59" i="6" s="1"/>
  <c r="Z15" i="6"/>
  <c r="M58" i="6" s="1"/>
  <c r="M61" i="6" l="1"/>
  <c r="M70" i="6" s="1"/>
  <c r="M71" i="6" s="1"/>
  <c r="Z18" i="6"/>
  <c r="Z27" i="6"/>
  <c r="Z31" i="6"/>
  <c r="Z36" i="6" s="1"/>
  <c r="W20" i="19"/>
  <c r="W19" i="19"/>
  <c r="W18" i="19"/>
  <c r="W17" i="19"/>
  <c r="W16" i="19"/>
  <c r="W15" i="19"/>
  <c r="W14" i="19"/>
  <c r="I38" i="17"/>
  <c r="L38" i="17" s="1"/>
  <c r="N11" i="6" l="1"/>
  <c r="N18" i="6"/>
  <c r="N22" i="6"/>
  <c r="N31" i="6" s="1"/>
  <c r="N23" i="6"/>
  <c r="N32" i="6" s="1"/>
  <c r="N24" i="6"/>
  <c r="N33" i="6" s="1"/>
  <c r="N25" i="6"/>
  <c r="N34" i="6" s="1"/>
  <c r="N26" i="6"/>
  <c r="N35" i="6" s="1"/>
  <c r="K88" i="6"/>
  <c r="K87" i="6"/>
  <c r="K86" i="6"/>
  <c r="K85" i="6"/>
  <c r="V26" i="6"/>
  <c r="V35" i="6" s="1"/>
  <c r="V25" i="6"/>
  <c r="V34" i="6" s="1"/>
  <c r="V24" i="6"/>
  <c r="V33" i="6" s="1"/>
  <c r="V23" i="6"/>
  <c r="V32" i="6" s="1"/>
  <c r="V22" i="6"/>
  <c r="V17" i="6"/>
  <c r="V16" i="6"/>
  <c r="V15" i="6"/>
  <c r="V11" i="6"/>
  <c r="N36" i="6" l="1"/>
  <c r="N27" i="6"/>
  <c r="K67" i="6"/>
  <c r="K68" i="6"/>
  <c r="K89" i="6"/>
  <c r="V27" i="6"/>
  <c r="V18" i="6"/>
  <c r="K46" i="6"/>
  <c r="V31" i="6"/>
  <c r="V36" i="6" s="1"/>
  <c r="K69" i="6" l="1"/>
  <c r="K80" i="6"/>
  <c r="I37" i="17" l="1"/>
  <c r="L37" i="17" s="1"/>
  <c r="V20" i="19"/>
  <c r="V19" i="19"/>
  <c r="V18" i="19"/>
  <c r="V17" i="19"/>
  <c r="V16" i="19"/>
  <c r="V15" i="19"/>
  <c r="V14" i="19"/>
  <c r="N66" i="6" l="1"/>
  <c r="W11" i="6"/>
  <c r="W26" i="6"/>
  <c r="W35" i="6" s="1"/>
  <c r="W25" i="6"/>
  <c r="W34" i="6" s="1"/>
  <c r="W24" i="6"/>
  <c r="W33" i="6" s="1"/>
  <c r="W23" i="6"/>
  <c r="W32" i="6" s="1"/>
  <c r="W22" i="6"/>
  <c r="W17" i="6"/>
  <c r="J60" i="6" s="1"/>
  <c r="W16" i="6"/>
  <c r="J59" i="6" s="1"/>
  <c r="W15" i="6"/>
  <c r="J58" i="6" s="1"/>
  <c r="K61" i="6" l="1"/>
  <c r="K70" i="6" s="1"/>
  <c r="K71" i="6" s="1"/>
  <c r="W18" i="6"/>
  <c r="W27" i="6"/>
  <c r="W31" i="6"/>
  <c r="W36" i="6" s="1"/>
  <c r="N86" i="6" l="1"/>
  <c r="T20" i="19" l="1"/>
  <c r="T19" i="19"/>
  <c r="T18" i="19"/>
  <c r="T17" i="19"/>
  <c r="T16" i="19"/>
  <c r="T15" i="19"/>
  <c r="T14" i="19"/>
  <c r="I36" i="17" l="1"/>
  <c r="L36" i="17" s="1"/>
  <c r="N88" i="6" l="1"/>
  <c r="N87" i="6"/>
  <c r="N85" i="6"/>
  <c r="N46" i="6"/>
  <c r="N89" i="6" l="1"/>
  <c r="N80" i="6"/>
  <c r="N61" i="6"/>
  <c r="N70" i="6" s="1"/>
  <c r="U26" i="6" l="1"/>
  <c r="U35" i="6" s="1"/>
  <c r="U25" i="6"/>
  <c r="U34" i="6" s="1"/>
  <c r="U24" i="6"/>
  <c r="U33" i="6" s="1"/>
  <c r="U23" i="6"/>
  <c r="U32" i="6" s="1"/>
  <c r="U22" i="6"/>
  <c r="U31" i="6" s="1"/>
  <c r="U17" i="6"/>
  <c r="U16" i="6"/>
  <c r="U15" i="6"/>
  <c r="T16" i="6"/>
  <c r="U11" i="6"/>
  <c r="T11" i="6"/>
  <c r="U18" i="6" l="1"/>
  <c r="U27" i="6"/>
  <c r="U36" i="6"/>
  <c r="U20" i="19" l="1"/>
  <c r="S20" i="19"/>
  <c r="R20" i="19"/>
  <c r="Q20" i="19"/>
  <c r="P20" i="19"/>
  <c r="O20" i="19"/>
  <c r="N20" i="19"/>
  <c r="M20" i="19"/>
  <c r="L20" i="19"/>
  <c r="K20" i="19"/>
  <c r="J20" i="19"/>
  <c r="I20" i="19"/>
  <c r="H20" i="19"/>
  <c r="G20" i="19"/>
  <c r="F20" i="19"/>
  <c r="E20" i="19"/>
  <c r="D20" i="19"/>
  <c r="C20" i="19"/>
  <c r="U19" i="19"/>
  <c r="S19" i="19"/>
  <c r="R19" i="19"/>
  <c r="Q19" i="19"/>
  <c r="P19" i="19"/>
  <c r="O19" i="19"/>
  <c r="N19" i="19"/>
  <c r="M19" i="19"/>
  <c r="L19" i="19"/>
  <c r="K19" i="19"/>
  <c r="J19" i="19"/>
  <c r="I19" i="19"/>
  <c r="H19" i="19"/>
  <c r="G19" i="19"/>
  <c r="F19" i="19"/>
  <c r="E19" i="19"/>
  <c r="D19" i="19"/>
  <c r="C19" i="19"/>
  <c r="U18" i="19"/>
  <c r="S18" i="19"/>
  <c r="R18" i="19"/>
  <c r="Q18" i="19"/>
  <c r="P18" i="19"/>
  <c r="O18" i="19"/>
  <c r="N18" i="19"/>
  <c r="M18" i="19"/>
  <c r="L18" i="19"/>
  <c r="K18" i="19"/>
  <c r="J18" i="19"/>
  <c r="I18" i="19"/>
  <c r="H18" i="19"/>
  <c r="G18" i="19"/>
  <c r="F18" i="19"/>
  <c r="E18" i="19"/>
  <c r="D18" i="19"/>
  <c r="C18" i="19"/>
  <c r="U17" i="19"/>
  <c r="S17" i="19"/>
  <c r="R17" i="19"/>
  <c r="Q17" i="19"/>
  <c r="P17" i="19"/>
  <c r="O17" i="19"/>
  <c r="N17" i="19"/>
  <c r="M17" i="19"/>
  <c r="L17" i="19"/>
  <c r="K17" i="19"/>
  <c r="J17" i="19"/>
  <c r="I17" i="19"/>
  <c r="H17" i="19"/>
  <c r="G17" i="19"/>
  <c r="F17" i="19"/>
  <c r="E17" i="19"/>
  <c r="D17" i="19"/>
  <c r="C17" i="19"/>
  <c r="U16" i="19"/>
  <c r="S16" i="19"/>
  <c r="R16" i="19"/>
  <c r="Q16" i="19"/>
  <c r="P16" i="19"/>
  <c r="O16" i="19"/>
  <c r="N16" i="19"/>
  <c r="M16" i="19"/>
  <c r="L16" i="19"/>
  <c r="K16" i="19"/>
  <c r="J16" i="19"/>
  <c r="I16" i="19"/>
  <c r="H16" i="19"/>
  <c r="G16" i="19"/>
  <c r="F16" i="19"/>
  <c r="E16" i="19"/>
  <c r="D16" i="19"/>
  <c r="C16" i="19"/>
  <c r="U15" i="19"/>
  <c r="S15" i="19"/>
  <c r="R15" i="19"/>
  <c r="Q15" i="19"/>
  <c r="P15" i="19"/>
  <c r="O15" i="19"/>
  <c r="N15" i="19"/>
  <c r="M15" i="19"/>
  <c r="L15" i="19"/>
  <c r="K15" i="19"/>
  <c r="J15" i="19"/>
  <c r="I15" i="19"/>
  <c r="H15" i="19"/>
  <c r="G15" i="19"/>
  <c r="F15" i="19"/>
  <c r="E15" i="19"/>
  <c r="D15" i="19"/>
  <c r="C15" i="19"/>
  <c r="U14" i="19"/>
  <c r="S14" i="19"/>
  <c r="R14" i="19"/>
  <c r="Q14" i="19"/>
  <c r="P14" i="19"/>
  <c r="O14" i="19"/>
  <c r="N14" i="19"/>
  <c r="M14" i="19"/>
  <c r="L14" i="19"/>
  <c r="K14" i="19"/>
  <c r="J14" i="19"/>
  <c r="I14" i="19"/>
  <c r="H14" i="19"/>
  <c r="G14" i="19"/>
  <c r="F14" i="19"/>
  <c r="E14" i="19"/>
  <c r="D14" i="19"/>
  <c r="C14" i="19"/>
  <c r="G79" i="6"/>
  <c r="G88" i="6" s="1"/>
  <c r="F79" i="6"/>
  <c r="F88" i="6" s="1"/>
  <c r="E79" i="6"/>
  <c r="E88" i="6" s="1"/>
  <c r="D79" i="6"/>
  <c r="D88" i="6" s="1"/>
  <c r="C79" i="6"/>
  <c r="C88" i="6" s="1"/>
  <c r="G78" i="6"/>
  <c r="G87" i="6" s="1"/>
  <c r="F78" i="6"/>
  <c r="F87" i="6" s="1"/>
  <c r="E78" i="6"/>
  <c r="E87" i="6" s="1"/>
  <c r="D78" i="6"/>
  <c r="D87" i="6" s="1"/>
  <c r="C78" i="6"/>
  <c r="C87" i="6" s="1"/>
  <c r="G77" i="6"/>
  <c r="G86" i="6" s="1"/>
  <c r="F77" i="6"/>
  <c r="F86" i="6" s="1"/>
  <c r="E77" i="6"/>
  <c r="E86" i="6" s="1"/>
  <c r="D77" i="6"/>
  <c r="D86" i="6" s="1"/>
  <c r="C77" i="6"/>
  <c r="C86" i="6" s="1"/>
  <c r="G75" i="6"/>
  <c r="G84" i="6" s="1"/>
  <c r="F75" i="6"/>
  <c r="F84" i="6" s="1"/>
  <c r="E75" i="6"/>
  <c r="E84" i="6" s="1"/>
  <c r="D75" i="6"/>
  <c r="D84" i="6" s="1"/>
  <c r="C75" i="6"/>
  <c r="C84" i="6" s="1"/>
  <c r="G61" i="6"/>
  <c r="G70" i="6" s="1"/>
  <c r="F61" i="6"/>
  <c r="F70" i="6" s="1"/>
  <c r="E61" i="6"/>
  <c r="E70" i="6" s="1"/>
  <c r="D61" i="6"/>
  <c r="D70" i="6" s="1"/>
  <c r="C61" i="6"/>
  <c r="C70" i="6" s="1"/>
  <c r="I60" i="6"/>
  <c r="H60" i="6"/>
  <c r="I59" i="6"/>
  <c r="H59" i="6"/>
  <c r="I58" i="6"/>
  <c r="H58" i="6"/>
  <c r="G54" i="6"/>
  <c r="F54" i="6"/>
  <c r="E54" i="6"/>
  <c r="D54" i="6"/>
  <c r="C54" i="6"/>
  <c r="G53" i="6"/>
  <c r="G68" i="6" s="1"/>
  <c r="F53" i="6"/>
  <c r="F68" i="6" s="1"/>
  <c r="E53" i="6"/>
  <c r="E68" i="6" s="1"/>
  <c r="D53" i="6"/>
  <c r="D68" i="6" s="1"/>
  <c r="C53" i="6"/>
  <c r="C68" i="6" s="1"/>
  <c r="G52" i="6"/>
  <c r="G67" i="6" s="1"/>
  <c r="F52" i="6"/>
  <c r="F67" i="6" s="1"/>
  <c r="E52" i="6"/>
  <c r="E67" i="6" s="1"/>
  <c r="D52" i="6"/>
  <c r="D67" i="6" s="1"/>
  <c r="C52" i="6"/>
  <c r="C67" i="6" s="1"/>
  <c r="G51" i="6"/>
  <c r="G66" i="6" s="1"/>
  <c r="F51" i="6"/>
  <c r="F66" i="6" s="1"/>
  <c r="E51" i="6"/>
  <c r="E66" i="6" s="1"/>
  <c r="D51" i="6"/>
  <c r="D66" i="6" s="1"/>
  <c r="C51" i="6"/>
  <c r="C66" i="6" s="1"/>
  <c r="G49" i="6"/>
  <c r="F49" i="6"/>
  <c r="E49" i="6"/>
  <c r="D49" i="6"/>
  <c r="C49" i="6"/>
  <c r="J79" i="6"/>
  <c r="J88" i="6" s="1"/>
  <c r="H79" i="6"/>
  <c r="H88" i="6" s="1"/>
  <c r="J52" i="6"/>
  <c r="J67" i="6" s="1"/>
  <c r="I78" i="6"/>
  <c r="I87" i="6" s="1"/>
  <c r="J77" i="6"/>
  <c r="J86" i="6" s="1"/>
  <c r="I77" i="6"/>
  <c r="I86" i="6" s="1"/>
  <c r="H77" i="6"/>
  <c r="H86" i="6" s="1"/>
  <c r="J76" i="6"/>
  <c r="J85" i="6" s="1"/>
  <c r="I50" i="6"/>
  <c r="H76" i="6"/>
  <c r="H85" i="6" s="1"/>
  <c r="G50" i="6"/>
  <c r="F41" i="6"/>
  <c r="F76" i="6" s="1"/>
  <c r="F85" i="6" s="1"/>
  <c r="E41" i="6"/>
  <c r="E76" i="6" s="1"/>
  <c r="E85" i="6" s="1"/>
  <c r="D41" i="6"/>
  <c r="C41" i="6"/>
  <c r="C50" i="6" s="1"/>
  <c r="I75" i="6"/>
  <c r="O26" i="6"/>
  <c r="O35" i="6" s="1"/>
  <c r="M26" i="6"/>
  <c r="M35" i="6" s="1"/>
  <c r="L26" i="6"/>
  <c r="L35" i="6" s="1"/>
  <c r="K26" i="6"/>
  <c r="K35" i="6" s="1"/>
  <c r="J26" i="6"/>
  <c r="J35" i="6" s="1"/>
  <c r="I26" i="6"/>
  <c r="I35" i="6" s="1"/>
  <c r="H26" i="6"/>
  <c r="H35" i="6" s="1"/>
  <c r="G26" i="6"/>
  <c r="G35" i="6" s="1"/>
  <c r="F26" i="6"/>
  <c r="F35" i="6" s="1"/>
  <c r="E26" i="6"/>
  <c r="E35" i="6" s="1"/>
  <c r="D26" i="6"/>
  <c r="D35" i="6" s="1"/>
  <c r="C26" i="6"/>
  <c r="C35" i="6" s="1"/>
  <c r="R25" i="6"/>
  <c r="R34" i="6" s="1"/>
  <c r="O25" i="6"/>
  <c r="O34" i="6" s="1"/>
  <c r="M25" i="6"/>
  <c r="M34" i="6" s="1"/>
  <c r="L25" i="6"/>
  <c r="L34" i="6" s="1"/>
  <c r="K25" i="6"/>
  <c r="K34" i="6" s="1"/>
  <c r="J25" i="6"/>
  <c r="J34" i="6" s="1"/>
  <c r="I25" i="6"/>
  <c r="I34" i="6" s="1"/>
  <c r="H25" i="6"/>
  <c r="H34" i="6" s="1"/>
  <c r="G25" i="6"/>
  <c r="G34" i="6" s="1"/>
  <c r="F25" i="6"/>
  <c r="F34" i="6" s="1"/>
  <c r="E25" i="6"/>
  <c r="E34" i="6" s="1"/>
  <c r="D25" i="6"/>
  <c r="D34" i="6" s="1"/>
  <c r="C25" i="6"/>
  <c r="C34" i="6" s="1"/>
  <c r="O24" i="6"/>
  <c r="O33" i="6" s="1"/>
  <c r="M24" i="6"/>
  <c r="M33" i="6" s="1"/>
  <c r="L24" i="6"/>
  <c r="L33" i="6" s="1"/>
  <c r="K24" i="6"/>
  <c r="K33" i="6" s="1"/>
  <c r="J24" i="6"/>
  <c r="J33" i="6" s="1"/>
  <c r="I24" i="6"/>
  <c r="I33" i="6" s="1"/>
  <c r="H24" i="6"/>
  <c r="H33" i="6" s="1"/>
  <c r="G24" i="6"/>
  <c r="G33" i="6" s="1"/>
  <c r="F24" i="6"/>
  <c r="F33" i="6" s="1"/>
  <c r="E24" i="6"/>
  <c r="E33" i="6" s="1"/>
  <c r="D24" i="6"/>
  <c r="D33" i="6" s="1"/>
  <c r="C24" i="6"/>
  <c r="C33" i="6" s="1"/>
  <c r="O23" i="6"/>
  <c r="O32" i="6" s="1"/>
  <c r="M23" i="6"/>
  <c r="M32" i="6" s="1"/>
  <c r="O22" i="6"/>
  <c r="M22" i="6"/>
  <c r="M31" i="6" s="1"/>
  <c r="L22" i="6"/>
  <c r="K22" i="6"/>
  <c r="K31" i="6" s="1"/>
  <c r="J22" i="6"/>
  <c r="J31" i="6" s="1"/>
  <c r="I22" i="6"/>
  <c r="I31" i="6" s="1"/>
  <c r="H22" i="6"/>
  <c r="H31" i="6" s="1"/>
  <c r="G22" i="6"/>
  <c r="G31" i="6" s="1"/>
  <c r="F22" i="6"/>
  <c r="E22" i="6"/>
  <c r="E31" i="6" s="1"/>
  <c r="D22" i="6"/>
  <c r="D31" i="6" s="1"/>
  <c r="C22" i="6"/>
  <c r="C31" i="6" s="1"/>
  <c r="O18" i="6"/>
  <c r="M18" i="6"/>
  <c r="L18" i="6"/>
  <c r="K18" i="6"/>
  <c r="J18" i="6"/>
  <c r="I18" i="6"/>
  <c r="H18" i="6"/>
  <c r="G18" i="6"/>
  <c r="F18" i="6"/>
  <c r="E18" i="6"/>
  <c r="D18" i="6"/>
  <c r="C18" i="6"/>
  <c r="T17" i="6"/>
  <c r="S17" i="6"/>
  <c r="R17" i="6"/>
  <c r="Q17" i="6"/>
  <c r="P17" i="6"/>
  <c r="S16" i="6"/>
  <c r="R16" i="6"/>
  <c r="Q16" i="6"/>
  <c r="P16" i="6"/>
  <c r="T15" i="6"/>
  <c r="S15" i="6"/>
  <c r="R15" i="6"/>
  <c r="Q15" i="6"/>
  <c r="P15" i="6"/>
  <c r="O11" i="6"/>
  <c r="M11" i="6"/>
  <c r="S24" i="6"/>
  <c r="S33" i="6" s="1"/>
  <c r="L6" i="6"/>
  <c r="K6" i="6"/>
  <c r="J6" i="6"/>
  <c r="J11" i="6" s="1"/>
  <c r="I6" i="6"/>
  <c r="I23" i="6" s="1"/>
  <c r="H6" i="6"/>
  <c r="H11" i="6" s="1"/>
  <c r="G6" i="6"/>
  <c r="G23" i="6" s="1"/>
  <c r="G32" i="6" s="1"/>
  <c r="F6" i="6"/>
  <c r="F11" i="6" s="1"/>
  <c r="E6" i="6"/>
  <c r="E11" i="6" s="1"/>
  <c r="D6" i="6"/>
  <c r="D11" i="6" s="1"/>
  <c r="C6" i="6"/>
  <c r="J61" i="6" l="1"/>
  <c r="J70" i="6" s="1"/>
  <c r="J50" i="6"/>
  <c r="J75" i="6"/>
  <c r="J84" i="6" s="1"/>
  <c r="H61" i="6"/>
  <c r="H70" i="6" s="1"/>
  <c r="I61" i="6"/>
  <c r="I70" i="6" s="1"/>
  <c r="Q18" i="6"/>
  <c r="G11" i="6"/>
  <c r="D69" i="6"/>
  <c r="D71" i="6" s="1"/>
  <c r="I11" i="6"/>
  <c r="P18" i="6"/>
  <c r="C23" i="6"/>
  <c r="C32" i="6" s="1"/>
  <c r="C36" i="6" s="1"/>
  <c r="C11" i="6"/>
  <c r="K23" i="6"/>
  <c r="K32" i="6" s="1"/>
  <c r="K36" i="6" s="1"/>
  <c r="K11" i="6"/>
  <c r="R23" i="6"/>
  <c r="R32" i="6" s="1"/>
  <c r="R26" i="6"/>
  <c r="R35" i="6" s="1"/>
  <c r="R22" i="6"/>
  <c r="R11" i="6"/>
  <c r="R24" i="6"/>
  <c r="R33" i="6" s="1"/>
  <c r="T18" i="6"/>
  <c r="H75" i="6"/>
  <c r="H84" i="6" s="1"/>
  <c r="H49" i="6"/>
  <c r="D76" i="6"/>
  <c r="D85" i="6" s="1"/>
  <c r="D89" i="6" s="1"/>
  <c r="D50" i="6"/>
  <c r="D46" i="6"/>
  <c r="L11" i="6"/>
  <c r="L23" i="6"/>
  <c r="L32" i="6" s="1"/>
  <c r="P11" i="6"/>
  <c r="P23" i="6"/>
  <c r="P32" i="6" s="1"/>
  <c r="T24" i="6"/>
  <c r="T33" i="6" s="1"/>
  <c r="L31" i="6"/>
  <c r="H78" i="6"/>
  <c r="H87" i="6" s="1"/>
  <c r="H52" i="6"/>
  <c r="H67" i="6" s="1"/>
  <c r="I79" i="6"/>
  <c r="I88" i="6" s="1"/>
  <c r="I53" i="6"/>
  <c r="I68" i="6" s="1"/>
  <c r="C69" i="6"/>
  <c r="C71" i="6" s="1"/>
  <c r="N67" i="6"/>
  <c r="J78" i="6"/>
  <c r="J87" i="6" s="1"/>
  <c r="S11" i="6"/>
  <c r="S18" i="6"/>
  <c r="M36" i="6"/>
  <c r="S22" i="6"/>
  <c r="S31" i="6" s="1"/>
  <c r="F50" i="6"/>
  <c r="M27" i="6"/>
  <c r="E46" i="6"/>
  <c r="E50" i="6"/>
  <c r="F69" i="6"/>
  <c r="F71" i="6" s="1"/>
  <c r="F89" i="6"/>
  <c r="I76" i="6"/>
  <c r="I85" i="6" s="1"/>
  <c r="E69" i="6"/>
  <c r="E71" i="6" s="1"/>
  <c r="I84" i="6"/>
  <c r="I32" i="6"/>
  <c r="I36" i="6" s="1"/>
  <c r="I27" i="6"/>
  <c r="E89" i="6"/>
  <c r="Q26" i="6"/>
  <c r="Q35" i="6" s="1"/>
  <c r="Q24" i="6"/>
  <c r="Q33" i="6" s="1"/>
  <c r="Q22" i="6"/>
  <c r="S25" i="6"/>
  <c r="S34" i="6" s="1"/>
  <c r="S23" i="6"/>
  <c r="S32" i="6" s="1"/>
  <c r="F23" i="6"/>
  <c r="F32" i="6" s="1"/>
  <c r="H51" i="6"/>
  <c r="H66" i="6" s="1"/>
  <c r="I52" i="6"/>
  <c r="I67" i="6" s="1"/>
  <c r="J53" i="6"/>
  <c r="J68" i="6" s="1"/>
  <c r="R18" i="6"/>
  <c r="E23" i="6"/>
  <c r="J23" i="6"/>
  <c r="J32" i="6" s="1"/>
  <c r="J36" i="6" s="1"/>
  <c r="T23" i="6"/>
  <c r="T32" i="6" s="1"/>
  <c r="Q25" i="6"/>
  <c r="Q34" i="6" s="1"/>
  <c r="P26" i="6"/>
  <c r="P35" i="6" s="1"/>
  <c r="G36" i="6"/>
  <c r="G76" i="6"/>
  <c r="G85" i="6" s="1"/>
  <c r="G89" i="6" s="1"/>
  <c r="F80" i="6"/>
  <c r="Q11" i="6"/>
  <c r="P22" i="6"/>
  <c r="D23" i="6"/>
  <c r="P25" i="6"/>
  <c r="P34" i="6" s="1"/>
  <c r="T26" i="6"/>
  <c r="T35" i="6" s="1"/>
  <c r="F31" i="6"/>
  <c r="C46" i="6"/>
  <c r="J51" i="6"/>
  <c r="J66" i="6" s="1"/>
  <c r="H53" i="6"/>
  <c r="H68" i="6" s="1"/>
  <c r="E80" i="6"/>
  <c r="G27" i="6"/>
  <c r="O27" i="6"/>
  <c r="T22" i="6"/>
  <c r="H23" i="6"/>
  <c r="H32" i="6" s="1"/>
  <c r="H36" i="6" s="1"/>
  <c r="Q23" i="6"/>
  <c r="Q32" i="6" s="1"/>
  <c r="P24" i="6"/>
  <c r="P33" i="6" s="1"/>
  <c r="T25" i="6"/>
  <c r="T34" i="6" s="1"/>
  <c r="S26" i="6"/>
  <c r="S35" i="6" s="1"/>
  <c r="O31" i="6"/>
  <c r="O36" i="6" s="1"/>
  <c r="G46" i="6"/>
  <c r="I49" i="6"/>
  <c r="H50" i="6"/>
  <c r="I51" i="6"/>
  <c r="I66" i="6" s="1"/>
  <c r="G69" i="6"/>
  <c r="G71" i="6" s="1"/>
  <c r="C76" i="6"/>
  <c r="F46" i="6"/>
  <c r="D80" i="6" l="1"/>
  <c r="J89" i="6"/>
  <c r="L36" i="6"/>
  <c r="C27" i="6"/>
  <c r="R27" i="6"/>
  <c r="H80" i="6"/>
  <c r="L27" i="6"/>
  <c r="N69" i="6"/>
  <c r="N71" i="6" s="1"/>
  <c r="J69" i="6"/>
  <c r="J71" i="6" s="1"/>
  <c r="J80" i="6"/>
  <c r="S36" i="6"/>
  <c r="I80" i="6"/>
  <c r="I89" i="6"/>
  <c r="K27" i="6"/>
  <c r="F36" i="6"/>
  <c r="R31" i="6"/>
  <c r="R36" i="6" s="1"/>
  <c r="H69" i="6"/>
  <c r="H71" i="6" s="1"/>
  <c r="H89" i="6"/>
  <c r="H27" i="6"/>
  <c r="T31" i="6"/>
  <c r="T36" i="6" s="1"/>
  <c r="T27" i="6"/>
  <c r="C80" i="6"/>
  <c r="C85" i="6"/>
  <c r="C89" i="6" s="1"/>
  <c r="Q31" i="6"/>
  <c r="Q36" i="6" s="1"/>
  <c r="Q27" i="6"/>
  <c r="I69" i="6"/>
  <c r="I71" i="6" s="1"/>
  <c r="G80" i="6"/>
  <c r="S27" i="6"/>
  <c r="F27" i="6"/>
  <c r="H54" i="6"/>
  <c r="H46" i="6"/>
  <c r="D32" i="6"/>
  <c r="D36" i="6" s="1"/>
  <c r="D27" i="6"/>
  <c r="I54" i="6"/>
  <c r="I46" i="6"/>
  <c r="P31" i="6"/>
  <c r="P36" i="6" s="1"/>
  <c r="P27" i="6"/>
  <c r="J46" i="6"/>
  <c r="J54" i="6"/>
  <c r="E32" i="6"/>
  <c r="E36" i="6" s="1"/>
  <c r="E27" i="6"/>
  <c r="J27" i="6"/>
  <c r="I39" i="17" l="1"/>
  <c r="L39" i="17" s="1"/>
  <c r="I34" i="17" l="1"/>
  <c r="L34" i="17" s="1"/>
  <c r="I32" i="17" l="1"/>
  <c r="L32" i="17" s="1"/>
  <c r="I33" i="17"/>
  <c r="L33" i="17" s="1"/>
  <c r="C8" i="4"/>
  <c r="E5" i="4"/>
  <c r="G5" i="4" s="1"/>
  <c r="G7" i="4" l="1"/>
  <c r="G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4" authorId="0" shapeId="0" xr:uid="{00000000-0006-0000-0B00-000001000000}">
      <text>
        <r>
          <rPr>
            <sz val="9"/>
            <color indexed="81"/>
            <rFont val="ＭＳ Ｐゴシック"/>
            <family val="3"/>
            <charset val="128"/>
          </rPr>
          <t>単純に「0.04」を入力するとグラフの幅がかなり小さくなるため、「0.1」と入力し、グラフに直接「0.04」を入力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4" authorId="0" shapeId="0" xr:uid="{00000000-0006-0000-0D00-000001000000}">
      <text>
        <r>
          <rPr>
            <sz val="9"/>
            <color indexed="81"/>
            <rFont val="ＭＳ Ｐゴシック"/>
            <family val="3"/>
            <charset val="128"/>
          </rPr>
          <t>単純に「0.04」を入力するとグラフの幅がかなり小さくなるため、「0.1」と入力し、グラフに直接「0.04」を入力</t>
        </r>
      </text>
    </comment>
  </commentList>
</comments>
</file>

<file path=xl/sharedStrings.xml><?xml version="1.0" encoding="utf-8"?>
<sst xmlns="http://schemas.openxmlformats.org/spreadsheetml/2006/main" count="1083" uniqueCount="505">
  <si>
    <t>　</t>
  </si>
  <si>
    <t>地方債残高</t>
    <rPh sb="0" eb="3">
      <t>チホウサイ</t>
    </rPh>
    <rPh sb="3" eb="5">
      <t>ザンダカ</t>
    </rPh>
    <phoneticPr fontId="9"/>
  </si>
  <si>
    <t>（参考）</t>
    <rPh sb="1" eb="3">
      <t>サンコウ</t>
    </rPh>
    <phoneticPr fontId="9"/>
  </si>
  <si>
    <t>・普通会計とは</t>
    <rPh sb="1" eb="3">
      <t>フツウ</t>
    </rPh>
    <rPh sb="3" eb="5">
      <t>カイケイ</t>
    </rPh>
    <phoneticPr fontId="9"/>
  </si>
  <si>
    <t>（注）公営事業会計とは</t>
    <rPh sb="1" eb="2">
      <t>チュウ</t>
    </rPh>
    <rPh sb="3" eb="5">
      <t>コウエイ</t>
    </rPh>
    <rPh sb="5" eb="7">
      <t>ジギョウ</t>
    </rPh>
    <rPh sb="7" eb="9">
      <t>カイケイ</t>
    </rPh>
    <phoneticPr fontId="9"/>
  </si>
  <si>
    <t>・収益事業会計、国民健康保険事業会計等の事業会計</t>
    <rPh sb="1" eb="3">
      <t>シュウエキ</t>
    </rPh>
    <rPh sb="3" eb="5">
      <t>ジギョウ</t>
    </rPh>
    <rPh sb="5" eb="7">
      <t>カイケイ</t>
    </rPh>
    <rPh sb="8" eb="10">
      <t>コクミン</t>
    </rPh>
    <rPh sb="10" eb="12">
      <t>ケンコウ</t>
    </rPh>
    <rPh sb="12" eb="14">
      <t>ホケン</t>
    </rPh>
    <rPh sb="14" eb="16">
      <t>ジギョウ</t>
    </rPh>
    <rPh sb="16" eb="18">
      <t>カイケイ</t>
    </rPh>
    <rPh sb="18" eb="19">
      <t>トウ</t>
    </rPh>
    <rPh sb="20" eb="22">
      <t>ジギョウ</t>
    </rPh>
    <rPh sb="22" eb="24">
      <t>カイケイ</t>
    </rPh>
    <phoneticPr fontId="9"/>
  </si>
  <si>
    <t>・上記以外の事業で地方公営企業法の全部又は一部を</t>
    <rPh sb="1" eb="3">
      <t>ジョウキ</t>
    </rPh>
    <rPh sb="3" eb="5">
      <t>イガイ</t>
    </rPh>
    <rPh sb="6" eb="8">
      <t>ジギョウ</t>
    </rPh>
    <rPh sb="9" eb="11">
      <t>チホウ</t>
    </rPh>
    <rPh sb="11" eb="13">
      <t>コウエイ</t>
    </rPh>
    <rPh sb="13" eb="15">
      <t>キギョウ</t>
    </rPh>
    <rPh sb="15" eb="16">
      <t>ホウ</t>
    </rPh>
    <rPh sb="17" eb="19">
      <t>ゼンブ</t>
    </rPh>
    <rPh sb="19" eb="20">
      <t>マタ</t>
    </rPh>
    <rPh sb="21" eb="23">
      <t>イチブ</t>
    </rPh>
    <phoneticPr fontId="9"/>
  </si>
  <si>
    <t>　適用している事業にかかる会計</t>
    <rPh sb="1" eb="3">
      <t>テキヨウ</t>
    </rPh>
    <rPh sb="7" eb="9">
      <t>ジギョウ</t>
    </rPh>
    <rPh sb="13" eb="15">
      <t>カイケイ</t>
    </rPh>
    <phoneticPr fontId="9"/>
  </si>
  <si>
    <t>＊大阪市の場合の普通会計</t>
    <rPh sb="1" eb="4">
      <t>オオサカシ</t>
    </rPh>
    <rPh sb="5" eb="7">
      <t>バアイ</t>
    </rPh>
    <rPh sb="8" eb="10">
      <t>フツウ</t>
    </rPh>
    <rPh sb="10" eb="12">
      <t>カイケイ</t>
    </rPh>
    <phoneticPr fontId="9"/>
  </si>
  <si>
    <t>・経常収支比率とは</t>
    <rPh sb="1" eb="3">
      <t>ケイジョウ</t>
    </rPh>
    <rPh sb="3" eb="5">
      <t>シュウシ</t>
    </rPh>
    <rPh sb="5" eb="7">
      <t>ヒリツ</t>
    </rPh>
    <phoneticPr fontId="9"/>
  </si>
  <si>
    <t>地方交付税</t>
    <rPh sb="0" eb="2">
      <t>チホウ</t>
    </rPh>
    <rPh sb="2" eb="5">
      <t>コウフゼイ</t>
    </rPh>
    <phoneticPr fontId="9"/>
  </si>
  <si>
    <t>国庫支出金</t>
    <rPh sb="0" eb="2">
      <t>コッコ</t>
    </rPh>
    <rPh sb="2" eb="4">
      <t>シシュツ</t>
    </rPh>
    <rPh sb="4" eb="5">
      <t>キン</t>
    </rPh>
    <phoneticPr fontId="9"/>
  </si>
  <si>
    <t>地方債</t>
    <rPh sb="0" eb="3">
      <t>チホウサイ</t>
    </rPh>
    <phoneticPr fontId="9"/>
  </si>
  <si>
    <t>　○　収支状況（普通会計）</t>
  </si>
  <si>
    <t xml:space="preserve"> 翌年度繰越</t>
  </si>
  <si>
    <t xml:space="preserve"> 対前年度</t>
  </si>
  <si>
    <t xml:space="preserve"> 扱及支払繰</t>
  </si>
  <si>
    <t xml:space="preserve"> 差引実質</t>
  </si>
  <si>
    <t xml:space="preserve"> 伸び率</t>
  </si>
  <si>
    <t xml:space="preserve"> 延等一般財</t>
  </si>
  <si>
    <t xml:space="preserve"> 収支</t>
  </si>
  <si>
    <t xml:space="preserve"> （歳出）</t>
  </si>
  <si>
    <t xml:space="preserve"> 収支　ａ</t>
  </si>
  <si>
    <t xml:space="preserve"> 源所要額ｂ</t>
  </si>
  <si>
    <t xml:space="preserve"> 　ａ－ｂ</t>
  </si>
  <si>
    <t xml:space="preserve"> 　62年度</t>
  </si>
  <si>
    <t xml:space="preserve"> 　63年度</t>
  </si>
  <si>
    <t xml:space="preserve"> （単位：百万円、％）</t>
    <phoneticPr fontId="9"/>
  </si>
  <si>
    <t>歳入額</t>
    <phoneticPr fontId="9"/>
  </si>
  <si>
    <t>歳出額</t>
    <phoneticPr fontId="9"/>
  </si>
  <si>
    <t>うち地方税</t>
    <rPh sb="2" eb="5">
      <t>チホウゼイ</t>
    </rPh>
    <phoneticPr fontId="9"/>
  </si>
  <si>
    <t>構成比</t>
    <rPh sb="0" eb="3">
      <t>コウセイヒ</t>
    </rPh>
    <phoneticPr fontId="9"/>
  </si>
  <si>
    <t>△</t>
    <phoneticPr fontId="9"/>
  </si>
  <si>
    <t>Ｈ８年度</t>
    <rPh sb="2" eb="4">
      <t>ネンド</t>
    </rPh>
    <phoneticPr fontId="9"/>
  </si>
  <si>
    <t>Ｈ１０年度</t>
    <rPh sb="3" eb="5">
      <t>ネンド</t>
    </rPh>
    <phoneticPr fontId="9"/>
  </si>
  <si>
    <t>Ｈ１２年度</t>
    <rPh sb="3" eb="5">
      <t>ネンド</t>
    </rPh>
    <phoneticPr fontId="9"/>
  </si>
  <si>
    <t>Ｈ１４年度</t>
    <rPh sb="3" eb="5">
      <t>ネンド</t>
    </rPh>
    <phoneticPr fontId="9"/>
  </si>
  <si>
    <t>Ｈ１６年度</t>
    <rPh sb="3" eb="5">
      <t>ネンド</t>
    </rPh>
    <phoneticPr fontId="9"/>
  </si>
  <si>
    <t>地方税</t>
    <rPh sb="0" eb="3">
      <t>チホウゼイ</t>
    </rPh>
    <phoneticPr fontId="9"/>
  </si>
  <si>
    <t>人件費</t>
    <rPh sb="0" eb="3">
      <t>ジンケンヒ</t>
    </rPh>
    <phoneticPr fontId="9"/>
  </si>
  <si>
    <t>扶助費</t>
    <rPh sb="0" eb="3">
      <t>フジョヒ</t>
    </rPh>
    <phoneticPr fontId="9"/>
  </si>
  <si>
    <t>投資的経費</t>
    <rPh sb="0" eb="3">
      <t>トウシテキ</t>
    </rPh>
    <rPh sb="3" eb="5">
      <t>ケイヒ</t>
    </rPh>
    <phoneticPr fontId="9"/>
  </si>
  <si>
    <t>Ｈ８を100とした場合</t>
    <rPh sb="9" eb="11">
      <t>バアイ</t>
    </rPh>
    <phoneticPr fontId="9"/>
  </si>
  <si>
    <t>公債費</t>
    <rPh sb="0" eb="2">
      <t>コウサイ</t>
    </rPh>
    <rPh sb="2" eb="3">
      <t>ヒ</t>
    </rPh>
    <phoneticPr fontId="9"/>
  </si>
  <si>
    <t>固定資産税（土地）・都市計画税（土地）</t>
    <rPh sb="0" eb="2">
      <t>コテイ</t>
    </rPh>
    <rPh sb="2" eb="5">
      <t>シサンゼイ</t>
    </rPh>
    <rPh sb="6" eb="8">
      <t>トチ</t>
    </rPh>
    <rPh sb="10" eb="12">
      <t>トシ</t>
    </rPh>
    <rPh sb="12" eb="14">
      <t>ケイカク</t>
    </rPh>
    <rPh sb="14" eb="15">
      <t>ゼイ</t>
    </rPh>
    <rPh sb="16" eb="18">
      <t>トチ</t>
    </rPh>
    <phoneticPr fontId="9"/>
  </si>
  <si>
    <t>Ｈ１７年度</t>
    <rPh sb="3" eb="5">
      <t>ネンド</t>
    </rPh>
    <phoneticPr fontId="9"/>
  </si>
  <si>
    <t>Ｈ１８年度</t>
    <rPh sb="3" eb="5">
      <t>ネンド</t>
    </rPh>
    <phoneticPr fontId="9"/>
  </si>
  <si>
    <t>＜一般財源の推移＞</t>
    <rPh sb="1" eb="3">
      <t>イッパン</t>
    </rPh>
    <rPh sb="3" eb="5">
      <t>ザイゲン</t>
    </rPh>
    <rPh sb="6" eb="8">
      <t>スイイ</t>
    </rPh>
    <phoneticPr fontId="17"/>
  </si>
  <si>
    <t>8決算</t>
    <rPh sb="1" eb="3">
      <t>ケッサン</t>
    </rPh>
    <phoneticPr fontId="17"/>
  </si>
  <si>
    <t>10決算</t>
    <rPh sb="2" eb="4">
      <t>ケッサン</t>
    </rPh>
    <phoneticPr fontId="17"/>
  </si>
  <si>
    <t>12決算</t>
    <rPh sb="2" eb="4">
      <t>ケッサン</t>
    </rPh>
    <phoneticPr fontId="17"/>
  </si>
  <si>
    <t>14決算</t>
    <rPh sb="2" eb="4">
      <t>ケッサン</t>
    </rPh>
    <phoneticPr fontId="17"/>
  </si>
  <si>
    <t>16決算</t>
    <rPh sb="2" eb="4">
      <t>ケッサン</t>
    </rPh>
    <phoneticPr fontId="17"/>
  </si>
  <si>
    <t>17決算</t>
    <rPh sb="2" eb="4">
      <t>ケッサン</t>
    </rPh>
    <phoneticPr fontId="17"/>
  </si>
  <si>
    <t>18決算</t>
    <rPh sb="2" eb="4">
      <t>ケッサン</t>
    </rPh>
    <phoneticPr fontId="17"/>
  </si>
  <si>
    <t>地方税・地方交付税
・臨時財政対策債</t>
    <rPh sb="4" eb="6">
      <t>チホウ</t>
    </rPh>
    <rPh sb="6" eb="9">
      <t>コウフゼイ</t>
    </rPh>
    <rPh sb="11" eb="13">
      <t>リンジ</t>
    </rPh>
    <rPh sb="13" eb="15">
      <t>ザイセイ</t>
    </rPh>
    <rPh sb="15" eb="17">
      <t>タイサク</t>
    </rPh>
    <rPh sb="17" eb="18">
      <t>サイ</t>
    </rPh>
    <phoneticPr fontId="17"/>
  </si>
  <si>
    <t>地方譲与税等</t>
    <rPh sb="0" eb="2">
      <t>チホウ</t>
    </rPh>
    <rPh sb="2" eb="4">
      <t>ジョウヨ</t>
    </rPh>
    <rPh sb="4" eb="5">
      <t>ゼイ</t>
    </rPh>
    <rPh sb="5" eb="6">
      <t>トウ</t>
    </rPh>
    <phoneticPr fontId="17"/>
  </si>
  <si>
    <t>一般財源計</t>
    <rPh sb="0" eb="2">
      <t>イッパン</t>
    </rPh>
    <rPh sb="2" eb="4">
      <t>ザイゲン</t>
    </rPh>
    <rPh sb="4" eb="5">
      <t>ケイ</t>
    </rPh>
    <phoneticPr fontId="17"/>
  </si>
  <si>
    <t>8決算との増減額</t>
    <rPh sb="1" eb="3">
      <t>ケッサン</t>
    </rPh>
    <rPh sb="5" eb="6">
      <t>ゾウ</t>
    </rPh>
    <rPh sb="6" eb="7">
      <t>ゲン</t>
    </rPh>
    <rPh sb="7" eb="8">
      <t>ガク</t>
    </rPh>
    <phoneticPr fontId="17"/>
  </si>
  <si>
    <t>-</t>
    <phoneticPr fontId="17"/>
  </si>
  <si>
    <t>歳入内訳の推移</t>
    <rPh sb="0" eb="2">
      <t>サイニュウ</t>
    </rPh>
    <rPh sb="2" eb="4">
      <t>ウチワケ</t>
    </rPh>
    <rPh sb="5" eb="7">
      <t>スイイ</t>
    </rPh>
    <phoneticPr fontId="17"/>
  </si>
  <si>
    <t>＜グラフ元ねた（百万単位）＞</t>
    <rPh sb="4" eb="5">
      <t>モト</t>
    </rPh>
    <rPh sb="8" eb="10">
      <t>ヒャクマン</t>
    </rPh>
    <rPh sb="10" eb="12">
      <t>タンイ</t>
    </rPh>
    <phoneticPr fontId="17"/>
  </si>
  <si>
    <t>9決算</t>
    <rPh sb="1" eb="3">
      <t>ケッサン</t>
    </rPh>
    <phoneticPr fontId="17"/>
  </si>
  <si>
    <t>11決算</t>
    <rPh sb="2" eb="4">
      <t>ケッサン</t>
    </rPh>
    <phoneticPr fontId="17"/>
  </si>
  <si>
    <t>13決算</t>
    <rPh sb="2" eb="4">
      <t>ケッサン</t>
    </rPh>
    <phoneticPr fontId="17"/>
  </si>
  <si>
    <t>15決算</t>
    <rPh sb="2" eb="4">
      <t>ケッサン</t>
    </rPh>
    <phoneticPr fontId="17"/>
  </si>
  <si>
    <t>18決算</t>
    <phoneticPr fontId="17"/>
  </si>
  <si>
    <t>地方税</t>
    <phoneticPr fontId="17"/>
  </si>
  <si>
    <t>地方交付税</t>
    <rPh sb="0" eb="1">
      <t>チ</t>
    </rPh>
    <rPh sb="1" eb="2">
      <t>ホウ</t>
    </rPh>
    <rPh sb="2" eb="5">
      <t>コウフゼイ</t>
    </rPh>
    <phoneticPr fontId="17"/>
  </si>
  <si>
    <t>譲与税・交付金</t>
    <rPh sb="0" eb="2">
      <t>ジョウヨ</t>
    </rPh>
    <rPh sb="2" eb="3">
      <t>ゼイ</t>
    </rPh>
    <rPh sb="4" eb="7">
      <t>コウフキン</t>
    </rPh>
    <phoneticPr fontId="17"/>
  </si>
  <si>
    <t>国庫支出金</t>
    <rPh sb="0" eb="2">
      <t>コッコ</t>
    </rPh>
    <rPh sb="2" eb="5">
      <t>シシュツキン</t>
    </rPh>
    <phoneticPr fontId="17"/>
  </si>
  <si>
    <t>一般債</t>
    <rPh sb="0" eb="2">
      <t>イッパン</t>
    </rPh>
    <rPh sb="2" eb="3">
      <t>サイ</t>
    </rPh>
    <phoneticPr fontId="17"/>
  </si>
  <si>
    <t>特別債</t>
    <rPh sb="0" eb="2">
      <t>トクベツ</t>
    </rPh>
    <rPh sb="2" eb="3">
      <t>サイ</t>
    </rPh>
    <phoneticPr fontId="17"/>
  </si>
  <si>
    <t>その他</t>
    <rPh sb="2" eb="3">
      <t>タ</t>
    </rPh>
    <phoneticPr fontId="17"/>
  </si>
  <si>
    <t>計</t>
    <rPh sb="0" eb="1">
      <t>ケイ</t>
    </rPh>
    <phoneticPr fontId="17"/>
  </si>
  <si>
    <t>（一般債＋特別債）</t>
    <rPh sb="1" eb="3">
      <t>イッパン</t>
    </rPh>
    <rPh sb="3" eb="4">
      <t>サイ</t>
    </rPh>
    <rPh sb="5" eb="7">
      <t>トクベツ</t>
    </rPh>
    <rPh sb="7" eb="8">
      <t>サイ</t>
    </rPh>
    <phoneticPr fontId="17"/>
  </si>
  <si>
    <t>＜地方税・地方交付税・臨時財政対策債の推移＞</t>
    <rPh sb="5" eb="7">
      <t>チホウ</t>
    </rPh>
    <rPh sb="7" eb="10">
      <t>コウフゼイ</t>
    </rPh>
    <rPh sb="11" eb="13">
      <t>リンジ</t>
    </rPh>
    <rPh sb="13" eb="15">
      <t>ザイセイ</t>
    </rPh>
    <rPh sb="15" eb="17">
      <t>タイサク</t>
    </rPh>
    <rPh sb="17" eb="18">
      <t>サイ</t>
    </rPh>
    <rPh sb="19" eb="21">
      <t>スイイ</t>
    </rPh>
    <phoneticPr fontId="17"/>
  </si>
  <si>
    <t>臨時財政対策債</t>
    <rPh sb="0" eb="2">
      <t>リンジ</t>
    </rPh>
    <rPh sb="2" eb="4">
      <t>ザイセイ</t>
    </rPh>
    <rPh sb="4" eb="6">
      <t>タイサク</t>
    </rPh>
    <rPh sb="6" eb="7">
      <t>サイ</t>
    </rPh>
    <phoneticPr fontId="17"/>
  </si>
  <si>
    <t>＜構成比（単純計算）＞</t>
    <rPh sb="1" eb="4">
      <t>コウセイヒ</t>
    </rPh>
    <rPh sb="5" eb="7">
      <t>タンジュン</t>
    </rPh>
    <rPh sb="7" eb="9">
      <t>ケイサン</t>
    </rPh>
    <phoneticPr fontId="17"/>
  </si>
  <si>
    <t>＜構成比（検収調書に合わせる）＞</t>
    <rPh sb="1" eb="4">
      <t>コウセイヒ</t>
    </rPh>
    <rPh sb="5" eb="7">
      <t>ケンシュウ</t>
    </rPh>
    <rPh sb="7" eb="9">
      <t>チョウショ</t>
    </rPh>
    <rPh sb="10" eb="11">
      <t>ア</t>
    </rPh>
    <phoneticPr fontId="17"/>
  </si>
  <si>
    <t>＊譲与税・交付金は構成比が出ていない・市債は一般債と特別債の計であわせる</t>
    <rPh sb="1" eb="3">
      <t>ジョウヨ</t>
    </rPh>
    <rPh sb="3" eb="4">
      <t>ゼイ</t>
    </rPh>
    <rPh sb="5" eb="8">
      <t>コウフキン</t>
    </rPh>
    <rPh sb="9" eb="12">
      <t>コウセイヒ</t>
    </rPh>
    <rPh sb="13" eb="14">
      <t>デ</t>
    </rPh>
    <rPh sb="19" eb="21">
      <t>シサイ</t>
    </rPh>
    <rPh sb="22" eb="24">
      <t>イッパン</t>
    </rPh>
    <rPh sb="24" eb="25">
      <t>サイ</t>
    </rPh>
    <rPh sb="26" eb="28">
      <t>トクベツ</t>
    </rPh>
    <rPh sb="28" eb="29">
      <t>サイ</t>
    </rPh>
    <rPh sb="30" eb="31">
      <t>ケイ</t>
    </rPh>
    <phoneticPr fontId="17"/>
  </si>
  <si>
    <t>歳出の性質別内訳の推移</t>
    <rPh sb="0" eb="2">
      <t>サイシュツ</t>
    </rPh>
    <rPh sb="3" eb="5">
      <t>セイシツ</t>
    </rPh>
    <rPh sb="5" eb="6">
      <t>ベツ</t>
    </rPh>
    <rPh sb="6" eb="8">
      <t>ウチワケ</t>
    </rPh>
    <rPh sb="9" eb="11">
      <t>スイイ</t>
    </rPh>
    <phoneticPr fontId="17"/>
  </si>
  <si>
    <t>投資的経費</t>
    <rPh sb="0" eb="3">
      <t>トウシテキ</t>
    </rPh>
    <rPh sb="3" eb="5">
      <t>ケイヒ</t>
    </rPh>
    <phoneticPr fontId="17"/>
  </si>
  <si>
    <t>公債費</t>
    <rPh sb="0" eb="2">
      <t>コウサイ</t>
    </rPh>
    <rPh sb="2" eb="3">
      <t>ヒ</t>
    </rPh>
    <phoneticPr fontId="17"/>
  </si>
  <si>
    <t>扶助費</t>
    <rPh sb="0" eb="3">
      <t>フジョヒ</t>
    </rPh>
    <phoneticPr fontId="17"/>
  </si>
  <si>
    <t>人件費</t>
    <rPh sb="0" eb="3">
      <t>ジンケンヒ</t>
    </rPh>
    <phoneticPr fontId="17"/>
  </si>
  <si>
    <t>＜義務的経費（公債費＋扶助費＋人件費）の推移＞</t>
    <rPh sb="1" eb="4">
      <t>ギムテキ</t>
    </rPh>
    <rPh sb="4" eb="6">
      <t>ケイヒ</t>
    </rPh>
    <rPh sb="7" eb="9">
      <t>コウサイ</t>
    </rPh>
    <rPh sb="9" eb="10">
      <t>ヒ</t>
    </rPh>
    <rPh sb="11" eb="14">
      <t>フジョヒ</t>
    </rPh>
    <rPh sb="15" eb="18">
      <t>ジンケンヒ</t>
    </rPh>
    <rPh sb="20" eb="22">
      <t>スイイ</t>
    </rPh>
    <phoneticPr fontId="17"/>
  </si>
  <si>
    <t>合計（義務的経費）</t>
    <rPh sb="0" eb="2">
      <t>ゴウケイ</t>
    </rPh>
    <rPh sb="3" eb="6">
      <t>ギムテキ</t>
    </rPh>
    <rPh sb="6" eb="8">
      <t>ケイヒ</t>
    </rPh>
    <phoneticPr fontId="17"/>
  </si>
  <si>
    <t>Ｈ１９年度</t>
    <rPh sb="3" eb="5">
      <t>ネンド</t>
    </rPh>
    <phoneticPr fontId="9"/>
  </si>
  <si>
    <t>19決算</t>
    <rPh sb="2" eb="4">
      <t>ケッサン</t>
    </rPh>
    <phoneticPr fontId="17"/>
  </si>
  <si>
    <t>Ｈ９年度</t>
    <rPh sb="2" eb="4">
      <t>ネンド</t>
    </rPh>
    <phoneticPr fontId="9"/>
  </si>
  <si>
    <t>Ｈ１１年度</t>
    <rPh sb="3" eb="5">
      <t>ネンド</t>
    </rPh>
    <phoneticPr fontId="9"/>
  </si>
  <si>
    <t>Ｈ１３年度</t>
    <rPh sb="3" eb="5">
      <t>ネンド</t>
    </rPh>
    <phoneticPr fontId="9"/>
  </si>
  <si>
    <t>Ｈ１５年度</t>
    <rPh sb="3" eb="5">
      <t>ネンド</t>
    </rPh>
    <phoneticPr fontId="9"/>
  </si>
  <si>
    <t>人件費、扶助費、公債費等経常的経費に充当した一般財源</t>
    <rPh sb="0" eb="3">
      <t>ジンケンヒ</t>
    </rPh>
    <rPh sb="4" eb="7">
      <t>フジョヒ</t>
    </rPh>
    <rPh sb="8" eb="11">
      <t>コウサイヒ</t>
    </rPh>
    <rPh sb="11" eb="12">
      <t>トウ</t>
    </rPh>
    <rPh sb="12" eb="14">
      <t>ケイジョウ</t>
    </rPh>
    <rPh sb="14" eb="15">
      <t>テキ</t>
    </rPh>
    <rPh sb="15" eb="17">
      <t>ケイヒ</t>
    </rPh>
    <rPh sb="18" eb="20">
      <t>ジュウトウ</t>
    </rPh>
    <rPh sb="22" eb="24">
      <t>イッパン</t>
    </rPh>
    <rPh sb="24" eb="26">
      <t>ザイゲン</t>
    </rPh>
    <phoneticPr fontId="9"/>
  </si>
  <si>
    <t>・形式収支とは</t>
    <rPh sb="1" eb="3">
      <t>ケイシキ</t>
    </rPh>
    <rPh sb="3" eb="5">
      <t>シュウシ</t>
    </rPh>
    <phoneticPr fontId="9"/>
  </si>
  <si>
    <t>・実質収支とは</t>
    <rPh sb="1" eb="3">
      <t>ジッシツ</t>
    </rPh>
    <rPh sb="3" eb="5">
      <t>シュウシ</t>
    </rPh>
    <phoneticPr fontId="9"/>
  </si>
  <si>
    <t>　歳入決算総額から歳出決算総額を差し引いた歳入歳出差引額。</t>
    <rPh sb="1" eb="3">
      <t>サイニュウ</t>
    </rPh>
    <rPh sb="3" eb="5">
      <t>ケッサン</t>
    </rPh>
    <rPh sb="5" eb="7">
      <t>ソウガク</t>
    </rPh>
    <rPh sb="9" eb="11">
      <t>サイシュツ</t>
    </rPh>
    <rPh sb="11" eb="13">
      <t>ケッサン</t>
    </rPh>
    <rPh sb="13" eb="15">
      <t>ソウガク</t>
    </rPh>
    <rPh sb="16" eb="17">
      <t>サ</t>
    </rPh>
    <rPh sb="18" eb="19">
      <t>ヒ</t>
    </rPh>
    <rPh sb="21" eb="23">
      <t>サイニュウ</t>
    </rPh>
    <rPh sb="23" eb="25">
      <t>サイシュツ</t>
    </rPh>
    <rPh sb="25" eb="27">
      <t>サシヒ</t>
    </rPh>
    <rPh sb="27" eb="28">
      <t>ガク</t>
    </rPh>
    <phoneticPr fontId="9"/>
  </si>
  <si>
    <t xml:space="preserve"> 　　　　区  分
　年　度</t>
    <rPh sb="13" eb="14">
      <t>トシ</t>
    </rPh>
    <rPh sb="15" eb="16">
      <t>ド</t>
    </rPh>
    <phoneticPr fontId="9"/>
  </si>
  <si>
    <t>経常</t>
    <phoneticPr fontId="9"/>
  </si>
  <si>
    <t>収支比率</t>
    <rPh sb="0" eb="2">
      <t>シュウシ</t>
    </rPh>
    <phoneticPr fontId="9"/>
  </si>
  <si>
    <t>歳入歳出</t>
    <phoneticPr fontId="9"/>
  </si>
  <si>
    <t>差引形式</t>
    <phoneticPr fontId="9"/>
  </si>
  <si>
    <t>Ｈ２０年度</t>
    <rPh sb="3" eb="5">
      <t>ネンド</t>
    </rPh>
    <phoneticPr fontId="9"/>
  </si>
  <si>
    <t>20決算</t>
    <rPh sb="2" eb="4">
      <t>ケッサン</t>
    </rPh>
    <phoneticPr fontId="17"/>
  </si>
  <si>
    <t>20決算</t>
    <phoneticPr fontId="17"/>
  </si>
  <si>
    <t>Ｈ２１年度</t>
    <rPh sb="3" eb="5">
      <t>ネンド</t>
    </rPh>
    <phoneticPr fontId="9"/>
  </si>
  <si>
    <t>21決算</t>
    <phoneticPr fontId="17"/>
  </si>
  <si>
    <t>21決算</t>
  </si>
  <si>
    <t>21決算</t>
    <rPh sb="2" eb="4">
      <t>ケッサン</t>
    </rPh>
    <phoneticPr fontId="17"/>
  </si>
  <si>
    <t>Ｈ２２年度</t>
    <rPh sb="3" eb="5">
      <t>ネンド</t>
    </rPh>
    <phoneticPr fontId="9"/>
  </si>
  <si>
    <t>増減額</t>
    <rPh sb="0" eb="3">
      <t>ゾウゲンガク</t>
    </rPh>
    <phoneticPr fontId="9"/>
  </si>
  <si>
    <t>22決算</t>
    <rPh sb="2" eb="4">
      <t>ケッサン</t>
    </rPh>
    <phoneticPr fontId="17"/>
  </si>
  <si>
    <t>22決算</t>
  </si>
  <si>
    <t>＜グラフラベルネタ（億円単位）＞</t>
    <rPh sb="10" eb="11">
      <t>オク</t>
    </rPh>
    <rPh sb="11" eb="12">
      <t>エン</t>
    </rPh>
    <rPh sb="12" eb="14">
      <t>タンイ</t>
    </rPh>
    <phoneticPr fontId="17"/>
  </si>
  <si>
    <t>＜グラフラベルネタ（億円単位）＞</t>
    <rPh sb="10" eb="12">
      <t>オクエン</t>
    </rPh>
    <rPh sb="12" eb="14">
      <t>タンイ</t>
    </rPh>
    <phoneticPr fontId="17"/>
  </si>
  <si>
    <t>↑カメラ</t>
    <phoneticPr fontId="17"/>
  </si>
  <si>
    <t>地方債</t>
    <rPh sb="0" eb="3">
      <t>チホウサイ</t>
    </rPh>
    <phoneticPr fontId="17"/>
  </si>
  <si>
    <t>うち一般債</t>
    <rPh sb="2" eb="4">
      <t>イッパン</t>
    </rPh>
    <rPh sb="4" eb="5">
      <t>サイ</t>
    </rPh>
    <phoneticPr fontId="17"/>
  </si>
  <si>
    <t>うち特別債</t>
    <rPh sb="2" eb="4">
      <t>トクベツ</t>
    </rPh>
    <rPh sb="4" eb="5">
      <t>サイ</t>
    </rPh>
    <phoneticPr fontId="17"/>
  </si>
  <si>
    <t>増減額</t>
    <rPh sb="0" eb="2">
      <t>ゾウゲン</t>
    </rPh>
    <rPh sb="2" eb="3">
      <t>ガク</t>
    </rPh>
    <phoneticPr fontId="9"/>
  </si>
  <si>
    <t>普通会計決算見込について</t>
    <rPh sb="0" eb="1">
      <t>ススム</t>
    </rPh>
    <rPh sb="1" eb="2">
      <t>ツウ</t>
    </rPh>
    <rPh sb="2" eb="3">
      <t>カイ</t>
    </rPh>
    <rPh sb="3" eb="4">
      <t>ケイ</t>
    </rPh>
    <rPh sb="4" eb="5">
      <t>ケツ</t>
    </rPh>
    <rPh sb="5" eb="6">
      <t>ザン</t>
    </rPh>
    <rPh sb="6" eb="7">
      <t>ミ</t>
    </rPh>
    <rPh sb="7" eb="8">
      <t>コミ</t>
    </rPh>
    <phoneticPr fontId="17"/>
  </si>
  <si>
    <t>大　　阪　　市</t>
    <rPh sb="0" eb="1">
      <t>ダイ</t>
    </rPh>
    <rPh sb="3" eb="4">
      <t>サカ</t>
    </rPh>
    <rPh sb="6" eb="7">
      <t>シ</t>
    </rPh>
    <phoneticPr fontId="17"/>
  </si>
  <si>
    <t>【特徴】</t>
    <rPh sb="1" eb="3">
      <t>トクチョウ</t>
    </rPh>
    <phoneticPr fontId="17"/>
  </si>
  <si>
    <t>実質収支</t>
    <rPh sb="0" eb="2">
      <t>ジッシツ</t>
    </rPh>
    <rPh sb="2" eb="4">
      <t>シュウシ</t>
    </rPh>
    <phoneticPr fontId="17"/>
  </si>
  <si>
    <t>1　歳出</t>
    <rPh sb="2" eb="4">
      <t>サイシュツ</t>
    </rPh>
    <phoneticPr fontId="17"/>
  </si>
  <si>
    <t>　○義務的経費（人件費・扶助費・公債費）</t>
    <rPh sb="2" eb="5">
      <t>ギムテキ</t>
    </rPh>
    <rPh sb="5" eb="7">
      <t>ケイヒ</t>
    </rPh>
    <rPh sb="8" eb="11">
      <t>ジンケンヒ</t>
    </rPh>
    <rPh sb="12" eb="15">
      <t>フジョヒ</t>
    </rPh>
    <rPh sb="16" eb="19">
      <t>コウサイヒ</t>
    </rPh>
    <phoneticPr fontId="17"/>
  </si>
  <si>
    <t>　○投資的経費</t>
    <rPh sb="2" eb="5">
      <t>トウシテキ</t>
    </rPh>
    <rPh sb="5" eb="7">
      <t>ケイヒ</t>
    </rPh>
    <phoneticPr fontId="17"/>
  </si>
  <si>
    <t>　○その他経費</t>
    <rPh sb="4" eb="5">
      <t>タ</t>
    </rPh>
    <rPh sb="5" eb="7">
      <t>ケイヒ</t>
    </rPh>
    <phoneticPr fontId="17"/>
  </si>
  <si>
    <t>2　歳入</t>
    <rPh sb="2" eb="4">
      <t>サイニュウ</t>
    </rPh>
    <phoneticPr fontId="17"/>
  </si>
  <si>
    <t>　○地方税</t>
    <rPh sb="2" eb="5">
      <t>チホウゼイ</t>
    </rPh>
    <phoneticPr fontId="17"/>
  </si>
  <si>
    <t>　○地方交付税</t>
    <rPh sb="2" eb="4">
      <t>チホウ</t>
    </rPh>
    <rPh sb="4" eb="7">
      <t>コウフゼイ</t>
    </rPh>
    <phoneticPr fontId="17"/>
  </si>
  <si>
    <t>　○国庫支出金</t>
    <rPh sb="2" eb="4">
      <t>コッコ</t>
    </rPh>
    <rPh sb="4" eb="7">
      <t>シシュツキン</t>
    </rPh>
    <phoneticPr fontId="17"/>
  </si>
  <si>
    <t>　○地方債</t>
    <rPh sb="2" eb="5">
      <t>チホウサイ</t>
    </rPh>
    <phoneticPr fontId="17"/>
  </si>
  <si>
    <t>　○その他</t>
    <rPh sb="4" eb="5">
      <t>タ</t>
    </rPh>
    <phoneticPr fontId="17"/>
  </si>
  <si>
    <t>3　実質収支</t>
    <rPh sb="2" eb="4">
      <t>ジッシツ</t>
    </rPh>
    <rPh sb="4" eb="6">
      <t>シュウシ</t>
    </rPh>
    <phoneticPr fontId="17"/>
  </si>
  <si>
    <t>＜決算規模及び実質収支の推移＞</t>
    <rPh sb="1" eb="3">
      <t>ケッサン</t>
    </rPh>
    <rPh sb="3" eb="5">
      <t>キボ</t>
    </rPh>
    <rPh sb="5" eb="6">
      <t>オヨ</t>
    </rPh>
    <rPh sb="7" eb="9">
      <t>ジッシツ</t>
    </rPh>
    <rPh sb="9" eb="11">
      <t>シュウシ</t>
    </rPh>
    <rPh sb="12" eb="14">
      <t>スイイ</t>
    </rPh>
    <phoneticPr fontId="17"/>
  </si>
  <si>
    <t>（単位：百万円)</t>
    <rPh sb="1" eb="3">
      <t>タンイ</t>
    </rPh>
    <rPh sb="4" eb="7">
      <t>ヒャクマンエン</t>
    </rPh>
    <phoneticPr fontId="17"/>
  </si>
  <si>
    <t>歳入額</t>
    <rPh sb="0" eb="3">
      <t>サイニュウガク</t>
    </rPh>
    <phoneticPr fontId="17"/>
  </si>
  <si>
    <t>歳出額</t>
    <rPh sb="0" eb="2">
      <t>サイシュツ</t>
    </rPh>
    <rPh sb="2" eb="3">
      <t>ガク</t>
    </rPh>
    <phoneticPr fontId="17"/>
  </si>
  <si>
    <t>形式収支</t>
    <rPh sb="0" eb="2">
      <t>ケイシキ</t>
    </rPh>
    <rPh sb="2" eb="4">
      <t>シュウシ</t>
    </rPh>
    <phoneticPr fontId="17"/>
  </si>
  <si>
    <t>翌年度へ繰越
すべき財源</t>
    <rPh sb="0" eb="3">
      <t>ヨクネンド</t>
    </rPh>
    <rPh sb="4" eb="6">
      <t>クリコ</t>
    </rPh>
    <rPh sb="10" eb="12">
      <t>ザイゲン</t>
    </rPh>
    <phoneticPr fontId="17"/>
  </si>
  <si>
    <t>20年度</t>
    <rPh sb="2" eb="4">
      <t>ネンド</t>
    </rPh>
    <phoneticPr fontId="17"/>
  </si>
  <si>
    <t>比較</t>
    <rPh sb="0" eb="2">
      <t>ヒカク</t>
    </rPh>
    <phoneticPr fontId="17"/>
  </si>
  <si>
    <r>
      <t>2</t>
    </r>
    <r>
      <rPr>
        <sz val="11"/>
        <rFont val="ＭＳ Ｐゴシック"/>
        <family val="3"/>
        <charset val="128"/>
      </rPr>
      <t>3</t>
    </r>
    <r>
      <rPr>
        <sz val="11"/>
        <rFont val="ＭＳ Ｐゴシック"/>
        <family val="3"/>
        <charset val="128"/>
      </rPr>
      <t>決算</t>
    </r>
    <phoneticPr fontId="17"/>
  </si>
  <si>
    <r>
      <t>2</t>
    </r>
    <r>
      <rPr>
        <sz val="11"/>
        <rFont val="ＭＳ Ｐゴシック"/>
        <family val="3"/>
        <charset val="128"/>
      </rPr>
      <t>3</t>
    </r>
    <r>
      <rPr>
        <sz val="11"/>
        <rFont val="ＭＳ Ｐゴシック"/>
        <family val="3"/>
        <charset val="128"/>
      </rPr>
      <t>決算</t>
    </r>
    <rPh sb="2" eb="4">
      <t>ケッサン</t>
    </rPh>
    <phoneticPr fontId="17"/>
  </si>
  <si>
    <t>Ｈ２３年度</t>
    <rPh sb="3" eb="5">
      <t>ネンド</t>
    </rPh>
    <phoneticPr fontId="9"/>
  </si>
  <si>
    <t>地方交付税
・臨時財政対策債</t>
    <rPh sb="0" eb="2">
      <t>チホウ</t>
    </rPh>
    <rPh sb="2" eb="5">
      <t>コウフゼイ</t>
    </rPh>
    <rPh sb="7" eb="9">
      <t>リンジ</t>
    </rPh>
    <rPh sb="9" eb="11">
      <t>ザイセイ</t>
    </rPh>
    <rPh sb="11" eb="13">
      <t>タイサク</t>
    </rPh>
    <rPh sb="13" eb="14">
      <t>サイ</t>
    </rPh>
    <phoneticPr fontId="17"/>
  </si>
  <si>
    <t>5　地方債残高</t>
    <rPh sb="2" eb="5">
      <t>チホウサイ</t>
    </rPh>
    <rPh sb="5" eb="7">
      <t>ザンダカ</t>
    </rPh>
    <phoneticPr fontId="17"/>
  </si>
  <si>
    <t>残高</t>
    <rPh sb="0" eb="2">
      <t>ザンダカ</t>
    </rPh>
    <phoneticPr fontId="9"/>
  </si>
  <si>
    <t>　○譲与税・交付金</t>
    <rPh sb="2" eb="4">
      <t>ジョウヨ</t>
    </rPh>
    <rPh sb="4" eb="5">
      <t>ゼイ</t>
    </rPh>
    <rPh sb="6" eb="9">
      <t>コウフキン</t>
    </rPh>
    <phoneticPr fontId="17"/>
  </si>
  <si>
    <r>
      <t>24</t>
    </r>
    <r>
      <rPr>
        <sz val="11"/>
        <rFont val="ＭＳ Ｐゴシック"/>
        <family val="3"/>
        <charset val="128"/>
      </rPr>
      <t>決算</t>
    </r>
    <phoneticPr fontId="17"/>
  </si>
  <si>
    <r>
      <t>24</t>
    </r>
    <r>
      <rPr>
        <sz val="11"/>
        <rFont val="ＭＳ Ｐゴシック"/>
        <family val="3"/>
        <charset val="128"/>
      </rPr>
      <t>決算</t>
    </r>
    <rPh sb="2" eb="4">
      <t>ケッサン</t>
    </rPh>
    <phoneticPr fontId="17"/>
  </si>
  <si>
    <t>(△</t>
    <phoneticPr fontId="9"/>
  </si>
  <si>
    <t>4.2)</t>
    <phoneticPr fontId="9"/>
  </si>
  <si>
    <t>Ｈ２４年度</t>
    <rPh sb="3" eb="5">
      <t>ネンド</t>
    </rPh>
    <phoneticPr fontId="9"/>
  </si>
  <si>
    <t>を普通会計とし、地方公共団体相互間の比較や時系列比較が可能となるようにされている。</t>
    <rPh sb="1" eb="3">
      <t>フツウ</t>
    </rPh>
    <rPh sb="3" eb="5">
      <t>カイケイ</t>
    </rPh>
    <rPh sb="8" eb="10">
      <t>チホウ</t>
    </rPh>
    <rPh sb="10" eb="12">
      <t>コウキョウ</t>
    </rPh>
    <rPh sb="12" eb="14">
      <t>ダンタイ</t>
    </rPh>
    <rPh sb="14" eb="16">
      <t>ソウゴ</t>
    </rPh>
    <rPh sb="16" eb="17">
      <t>カン</t>
    </rPh>
    <rPh sb="18" eb="20">
      <t>ヒカク</t>
    </rPh>
    <rPh sb="21" eb="24">
      <t>ジケイレツ</t>
    </rPh>
    <phoneticPr fontId="9"/>
  </si>
  <si>
    <t>　地方公共団体の財政構造の弾力性を判断するための指標で、人件費、扶助費、公債費のように</t>
    <rPh sb="1" eb="3">
      <t>チホウ</t>
    </rPh>
    <rPh sb="3" eb="5">
      <t>コウキョウ</t>
    </rPh>
    <rPh sb="5" eb="7">
      <t>ダンタイ</t>
    </rPh>
    <rPh sb="8" eb="10">
      <t>ザイセイ</t>
    </rPh>
    <rPh sb="10" eb="12">
      <t>コウゾウ</t>
    </rPh>
    <rPh sb="13" eb="15">
      <t>ダンリョク</t>
    </rPh>
    <rPh sb="15" eb="16">
      <t>セイ</t>
    </rPh>
    <rPh sb="17" eb="19">
      <t>ハンダン</t>
    </rPh>
    <rPh sb="24" eb="26">
      <t>シヒョウ</t>
    </rPh>
    <rPh sb="28" eb="31">
      <t>ジンケンヒ</t>
    </rPh>
    <rPh sb="32" eb="34">
      <t>フジョ</t>
    </rPh>
    <phoneticPr fontId="9"/>
  </si>
  <si>
    <t>毎年経常的に支出される経費（経常的経費）に充当された一般財源の額が、地方税、普通交付税</t>
    <rPh sb="0" eb="2">
      <t>マイトシ</t>
    </rPh>
    <rPh sb="2" eb="4">
      <t>ケイジョウ</t>
    </rPh>
    <rPh sb="4" eb="5">
      <t>テキ</t>
    </rPh>
    <rPh sb="6" eb="8">
      <t>シシュツ</t>
    </rPh>
    <rPh sb="11" eb="13">
      <t>ケイヒ</t>
    </rPh>
    <rPh sb="14" eb="16">
      <t>ケイジョウ</t>
    </rPh>
    <rPh sb="16" eb="17">
      <t>テキ</t>
    </rPh>
    <rPh sb="17" eb="19">
      <t>ケイヒ</t>
    </rPh>
    <rPh sb="21" eb="22">
      <t>ミツル</t>
    </rPh>
    <rPh sb="22" eb="23">
      <t>トウ</t>
    </rPh>
    <phoneticPr fontId="9"/>
  </si>
  <si>
    <t>　当該年度に属すべき収入と支出との実質的な差額をみるもので、形式収支から、翌年度に繰り</t>
    <rPh sb="1" eb="3">
      <t>トウガイ</t>
    </rPh>
    <rPh sb="3" eb="5">
      <t>ネンド</t>
    </rPh>
    <rPh sb="6" eb="7">
      <t>ゾク</t>
    </rPh>
    <rPh sb="10" eb="12">
      <t>シュウニュウ</t>
    </rPh>
    <rPh sb="13" eb="15">
      <t>シシュツ</t>
    </rPh>
    <rPh sb="17" eb="20">
      <t>ジッシツテキ</t>
    </rPh>
    <rPh sb="21" eb="23">
      <t>サガク</t>
    </rPh>
    <rPh sb="30" eb="32">
      <t>ケイシキ</t>
    </rPh>
    <rPh sb="32" eb="34">
      <t>シュウシ</t>
    </rPh>
    <phoneticPr fontId="9"/>
  </si>
  <si>
    <t>越すべき繰越明許費繰越（歳出予算の経費のうち、予算成立後の事由等により年度内に支出を終</t>
    <rPh sb="0" eb="1">
      <t>コ</t>
    </rPh>
    <rPh sb="4" eb="6">
      <t>クリコシ</t>
    </rPh>
    <rPh sb="6" eb="7">
      <t>メイ</t>
    </rPh>
    <rPh sb="7" eb="8">
      <t>キョ</t>
    </rPh>
    <rPh sb="8" eb="9">
      <t>ヒ</t>
    </rPh>
    <rPh sb="9" eb="11">
      <t>クリコシ</t>
    </rPh>
    <rPh sb="12" eb="14">
      <t>サイシュツ</t>
    </rPh>
    <rPh sb="14" eb="16">
      <t>ヨサン</t>
    </rPh>
    <rPh sb="17" eb="19">
      <t>ケイヒ</t>
    </rPh>
    <rPh sb="23" eb="25">
      <t>ヨサン</t>
    </rPh>
    <phoneticPr fontId="9"/>
  </si>
  <si>
    <t>わらない見込みのものを、予算の定めるところにより翌年度に繰り越すこと。）等の財源を控除</t>
    <rPh sb="4" eb="6">
      <t>ミコ</t>
    </rPh>
    <rPh sb="12" eb="14">
      <t>ヨサン</t>
    </rPh>
    <rPh sb="15" eb="16">
      <t>サダ</t>
    </rPh>
    <phoneticPr fontId="9"/>
  </si>
  <si>
    <t>した額。</t>
    <phoneticPr fontId="9"/>
  </si>
  <si>
    <t>　通常、「黒字団体」、「赤字団体」という場合は、実質収支の黒字、赤字により判断する。</t>
    <rPh sb="1" eb="3">
      <t>ツウジョウ</t>
    </rPh>
    <rPh sb="5" eb="7">
      <t>クロジ</t>
    </rPh>
    <rPh sb="7" eb="9">
      <t>ダンタイ</t>
    </rPh>
    <rPh sb="12" eb="14">
      <t>アカジ</t>
    </rPh>
    <rPh sb="14" eb="16">
      <t>ダンタイ</t>
    </rPh>
    <rPh sb="20" eb="22">
      <t>バアイ</t>
    </rPh>
    <rPh sb="24" eb="26">
      <t>ジッシツ</t>
    </rPh>
    <rPh sb="26" eb="28">
      <t>シュウシ</t>
    </rPh>
    <rPh sb="29" eb="31">
      <t>クロジ</t>
    </rPh>
    <rPh sb="32" eb="34">
      <t>アカジ</t>
    </rPh>
    <phoneticPr fontId="9"/>
  </si>
  <si>
    <t>　総務省の地方財政状況調査上における会計区分であって、公営事業会計以外のすべての会計</t>
    <rPh sb="1" eb="3">
      <t>ソウム</t>
    </rPh>
    <rPh sb="3" eb="4">
      <t>ショウ</t>
    </rPh>
    <rPh sb="5" eb="7">
      <t>チホウ</t>
    </rPh>
    <rPh sb="7" eb="9">
      <t>ザイセイ</t>
    </rPh>
    <rPh sb="9" eb="11">
      <t>ジョウキョウ</t>
    </rPh>
    <rPh sb="11" eb="13">
      <t>チョウサ</t>
    </rPh>
    <rPh sb="13" eb="14">
      <t>ジョウ</t>
    </rPh>
    <rPh sb="18" eb="20">
      <t>カイケイ</t>
    </rPh>
    <rPh sb="20" eb="22">
      <t>クブン</t>
    </rPh>
    <rPh sb="27" eb="29">
      <t>コウエイ</t>
    </rPh>
    <rPh sb="29" eb="31">
      <t>ジギョウ</t>
    </rPh>
    <rPh sb="31" eb="33">
      <t>カイケイ</t>
    </rPh>
    <phoneticPr fontId="9"/>
  </si>
  <si>
    <t>＝　一般会計　＋</t>
    <rPh sb="2" eb="4">
      <t>イッパン</t>
    </rPh>
    <rPh sb="4" eb="6">
      <t>カイケイ</t>
    </rPh>
    <phoneticPr fontId="9"/>
  </si>
  <si>
    <t>　　心身障害者扶養共済事業会計</t>
    <rPh sb="2" eb="4">
      <t>シンシン</t>
    </rPh>
    <rPh sb="4" eb="7">
      <t>ショウガイシャ</t>
    </rPh>
    <rPh sb="7" eb="9">
      <t>フヨウ</t>
    </rPh>
    <rPh sb="9" eb="11">
      <t>キョウサイ</t>
    </rPh>
    <rPh sb="11" eb="13">
      <t>ジギョウ</t>
    </rPh>
    <rPh sb="13" eb="15">
      <t>カイケイ</t>
    </rPh>
    <phoneticPr fontId="9"/>
  </si>
  <si>
    <r>
      <t>25決算</t>
    </r>
    <r>
      <rPr>
        <sz val="11"/>
        <rFont val="ＭＳ Ｐゴシック"/>
        <family val="3"/>
        <charset val="128"/>
      </rPr>
      <t/>
    </r>
  </si>
  <si>
    <r>
      <t>2</t>
    </r>
    <r>
      <rPr>
        <sz val="11"/>
        <rFont val="ＭＳ Ｐゴシック"/>
        <family val="3"/>
        <charset val="128"/>
      </rPr>
      <t>5決算</t>
    </r>
    <rPh sb="2" eb="4">
      <t>ケッサン</t>
    </rPh>
    <phoneticPr fontId="17"/>
  </si>
  <si>
    <t>19決算</t>
    <phoneticPr fontId="17"/>
  </si>
  <si>
    <t>25決算</t>
    <rPh sb="2" eb="4">
      <t>ケッサン</t>
    </rPh>
    <phoneticPr fontId="17"/>
  </si>
  <si>
    <t>Ｈ２５年度</t>
    <rPh sb="3" eb="5">
      <t>ネンド</t>
    </rPh>
    <phoneticPr fontId="9"/>
  </si>
  <si>
    <t>・公営企業会計（地方財政法施行令第46条に掲げる事業）</t>
    <rPh sb="1" eb="3">
      <t>コウエイ</t>
    </rPh>
    <rPh sb="3" eb="5">
      <t>キギョウ</t>
    </rPh>
    <rPh sb="5" eb="7">
      <t>カイケイ</t>
    </rPh>
    <rPh sb="8" eb="10">
      <t>チホウ</t>
    </rPh>
    <rPh sb="10" eb="12">
      <t>ザイセイ</t>
    </rPh>
    <rPh sb="12" eb="13">
      <t>ホウ</t>
    </rPh>
    <rPh sb="13" eb="15">
      <t>シコウ</t>
    </rPh>
    <rPh sb="15" eb="16">
      <t>レイ</t>
    </rPh>
    <rPh sb="16" eb="17">
      <t>ダイ</t>
    </rPh>
    <rPh sb="19" eb="20">
      <t>ジョウ</t>
    </rPh>
    <rPh sb="21" eb="22">
      <t>カカ</t>
    </rPh>
    <rPh sb="24" eb="26">
      <t>ジギョウ</t>
    </rPh>
    <phoneticPr fontId="9"/>
  </si>
  <si>
    <r>
      <t>2</t>
    </r>
    <r>
      <rPr>
        <sz val="11"/>
        <rFont val="ＭＳ Ｐゴシック"/>
        <family val="3"/>
        <charset val="128"/>
      </rPr>
      <t>6</t>
    </r>
    <r>
      <rPr>
        <sz val="11"/>
        <rFont val="ＭＳ Ｐゴシック"/>
        <family val="3"/>
        <charset val="128"/>
      </rPr>
      <t>決算</t>
    </r>
    <r>
      <rPr>
        <sz val="11"/>
        <rFont val="ＭＳ Ｐゴシック"/>
        <family val="3"/>
        <charset val="128"/>
      </rPr>
      <t/>
    </r>
    <phoneticPr fontId="9"/>
  </si>
  <si>
    <r>
      <t>26</t>
    </r>
    <r>
      <rPr>
        <sz val="11"/>
        <rFont val="ＭＳ Ｐゴシック"/>
        <family val="3"/>
        <charset val="128"/>
      </rPr>
      <t>決算</t>
    </r>
    <rPh sb="2" eb="4">
      <t>ケッサン</t>
    </rPh>
    <phoneticPr fontId="17"/>
  </si>
  <si>
    <t>26決算</t>
    <rPh sb="2" eb="4">
      <t>ケッサン</t>
    </rPh>
    <phoneticPr fontId="17"/>
  </si>
  <si>
    <t>Ｈ２６年度</t>
    <rPh sb="3" eb="5">
      <t>ネンド</t>
    </rPh>
    <phoneticPr fontId="9"/>
  </si>
  <si>
    <t>　　母子父子寡婦福祉貸付資金会計</t>
    <rPh sb="2" eb="4">
      <t>ボシ</t>
    </rPh>
    <rPh sb="4" eb="6">
      <t>フシ</t>
    </rPh>
    <rPh sb="6" eb="8">
      <t>カフ</t>
    </rPh>
    <rPh sb="8" eb="10">
      <t>フクシ</t>
    </rPh>
    <rPh sb="10" eb="12">
      <t>カシツケ</t>
    </rPh>
    <rPh sb="12" eb="14">
      <t>シキン</t>
    </rPh>
    <rPh sb="14" eb="16">
      <t>カイケイ</t>
    </rPh>
    <phoneticPr fontId="9"/>
  </si>
  <si>
    <t>（単位：百万円・％）</t>
    <phoneticPr fontId="9"/>
  </si>
  <si>
    <r>
      <t>2</t>
    </r>
    <r>
      <rPr>
        <sz val="11"/>
        <rFont val="ＭＳ Ｐゴシック"/>
        <family val="3"/>
        <charset val="128"/>
      </rPr>
      <t>7決算</t>
    </r>
    <phoneticPr fontId="9"/>
  </si>
  <si>
    <r>
      <t>27</t>
    </r>
    <r>
      <rPr>
        <sz val="11"/>
        <rFont val="ＭＳ Ｐゴシック"/>
        <family val="3"/>
        <charset val="128"/>
      </rPr>
      <t>決算</t>
    </r>
    <rPh sb="2" eb="4">
      <t>ケッサン</t>
    </rPh>
    <phoneticPr fontId="17"/>
  </si>
  <si>
    <r>
      <t>2</t>
    </r>
    <r>
      <rPr>
        <sz val="11"/>
        <rFont val="ＭＳ Ｐゴシック"/>
        <family val="3"/>
        <charset val="128"/>
      </rPr>
      <t>7</t>
    </r>
    <r>
      <rPr>
        <sz val="11"/>
        <rFont val="ＭＳ Ｐゴシック"/>
        <family val="3"/>
        <charset val="128"/>
      </rPr>
      <t>決算</t>
    </r>
    <rPh sb="2" eb="4">
      <t>ケッサン</t>
    </rPh>
    <phoneticPr fontId="17"/>
  </si>
  <si>
    <t>Ｈ２７年度</t>
    <rPh sb="3" eb="5">
      <t>ネンド</t>
    </rPh>
    <phoneticPr fontId="9"/>
  </si>
  <si>
    <t>（単位：百万円・％）</t>
    <rPh sb="1" eb="3">
      <t>タンイ</t>
    </rPh>
    <rPh sb="4" eb="7">
      <t>ヒャクマンエン</t>
    </rPh>
    <phoneticPr fontId="17"/>
  </si>
  <si>
    <t>区分</t>
    <rPh sb="0" eb="2">
      <t>クブン</t>
    </rPh>
    <phoneticPr fontId="17"/>
  </si>
  <si>
    <t>差引増△減</t>
    <rPh sb="0" eb="2">
      <t>サシヒキ</t>
    </rPh>
    <rPh sb="2" eb="3">
      <t>ゾウ</t>
    </rPh>
    <rPh sb="4" eb="5">
      <t>ゲン</t>
    </rPh>
    <phoneticPr fontId="17"/>
  </si>
  <si>
    <t>伸び率</t>
    <rPh sb="0" eb="1">
      <t>ノ</t>
    </rPh>
    <rPh sb="2" eb="3">
      <t>リツ</t>
    </rPh>
    <phoneticPr fontId="17"/>
  </si>
  <si>
    <t>市税総計</t>
    <rPh sb="0" eb="2">
      <t>シゼイ</t>
    </rPh>
    <rPh sb="2" eb="4">
      <t>ソウケイ</t>
    </rPh>
    <phoneticPr fontId="17"/>
  </si>
  <si>
    <t>市民税</t>
    <rPh sb="0" eb="3">
      <t>シミンゼイ</t>
    </rPh>
    <phoneticPr fontId="17"/>
  </si>
  <si>
    <t>個人市民税</t>
    <rPh sb="0" eb="2">
      <t>コジン</t>
    </rPh>
    <rPh sb="2" eb="5">
      <t>シミンゼイ</t>
    </rPh>
    <phoneticPr fontId="17"/>
  </si>
  <si>
    <t>法人市民税</t>
    <rPh sb="0" eb="2">
      <t>ホウジン</t>
    </rPh>
    <rPh sb="2" eb="5">
      <t>シミンゼイ</t>
    </rPh>
    <phoneticPr fontId="17"/>
  </si>
  <si>
    <t>固定資産税</t>
    <rPh sb="0" eb="5">
      <t>コ</t>
    </rPh>
    <phoneticPr fontId="17"/>
  </si>
  <si>
    <t>土地</t>
    <rPh sb="0" eb="2">
      <t>トチ</t>
    </rPh>
    <phoneticPr fontId="17"/>
  </si>
  <si>
    <t>家屋</t>
    <rPh sb="0" eb="2">
      <t>カオク</t>
    </rPh>
    <phoneticPr fontId="17"/>
  </si>
  <si>
    <t>償却資産</t>
    <rPh sb="0" eb="2">
      <t>ショウキャク</t>
    </rPh>
    <rPh sb="2" eb="4">
      <t>シサン</t>
    </rPh>
    <phoneticPr fontId="17"/>
  </si>
  <si>
    <t>交付金</t>
    <rPh sb="0" eb="3">
      <t>コウフキン</t>
    </rPh>
    <phoneticPr fontId="17"/>
  </si>
  <si>
    <t>都市計画税</t>
    <rPh sb="0" eb="5">
      <t>ト</t>
    </rPh>
    <phoneticPr fontId="17"/>
  </si>
  <si>
    <t>軽自動車税</t>
    <rPh sb="0" eb="5">
      <t>ケ</t>
    </rPh>
    <phoneticPr fontId="17"/>
  </si>
  <si>
    <t>市たばこ税</t>
    <rPh sb="0" eb="5">
      <t>シ</t>
    </rPh>
    <phoneticPr fontId="17"/>
  </si>
  <si>
    <t>事業所税</t>
    <rPh sb="0" eb="4">
      <t>ジ</t>
    </rPh>
    <phoneticPr fontId="17"/>
  </si>
  <si>
    <t>＜主な税目の増△減＞</t>
    <rPh sb="1" eb="2">
      <t>オモ</t>
    </rPh>
    <rPh sb="3" eb="5">
      <t>ゼイモク</t>
    </rPh>
    <rPh sb="6" eb="7">
      <t>ゾウ</t>
    </rPh>
    <rPh sb="8" eb="9">
      <t>ゲン</t>
    </rPh>
    <phoneticPr fontId="17"/>
  </si>
  <si>
    <t>個人市民税</t>
    <rPh sb="0" eb="5">
      <t>コ</t>
    </rPh>
    <phoneticPr fontId="17"/>
  </si>
  <si>
    <t>法人市民税</t>
    <rPh sb="0" eb="5">
      <t>ホ</t>
    </rPh>
    <phoneticPr fontId="17"/>
  </si>
  <si>
    <t>＜収納率＞</t>
    <rPh sb="1" eb="3">
      <t>シュウノウ</t>
    </rPh>
    <rPh sb="3" eb="4">
      <t>リツ</t>
    </rPh>
    <phoneticPr fontId="17"/>
  </si>
  <si>
    <t>（参考）市税収入の推移</t>
    <rPh sb="1" eb="3">
      <t>サンコウ</t>
    </rPh>
    <rPh sb="4" eb="6">
      <t>シゼイ</t>
    </rPh>
    <rPh sb="6" eb="8">
      <t>シュウニュウ</t>
    </rPh>
    <rPh sb="9" eb="11">
      <t>スイイ</t>
    </rPh>
    <phoneticPr fontId="17"/>
  </si>
  <si>
    <r>
      <t>28</t>
    </r>
    <r>
      <rPr>
        <sz val="11"/>
        <rFont val="ＭＳ Ｐゴシック"/>
        <family val="3"/>
        <charset val="128"/>
      </rPr>
      <t>決算</t>
    </r>
    <phoneticPr fontId="9"/>
  </si>
  <si>
    <r>
      <t>28</t>
    </r>
    <r>
      <rPr>
        <sz val="11"/>
        <rFont val="ＭＳ Ｐゴシック"/>
        <family val="3"/>
        <charset val="128"/>
      </rPr>
      <t>決算</t>
    </r>
    <rPh sb="2" eb="4">
      <t>ケッサン</t>
    </rPh>
    <phoneticPr fontId="17"/>
  </si>
  <si>
    <t>Ｈ２８年度</t>
    <rPh sb="3" eb="5">
      <t>ネンド</t>
    </rPh>
    <phoneticPr fontId="9"/>
  </si>
  <si>
    <t>29年度</t>
    <rPh sb="2" eb="4">
      <t>ネンド</t>
    </rPh>
    <phoneticPr fontId="17"/>
  </si>
  <si>
    <t>29決算</t>
  </si>
  <si>
    <r>
      <t>2</t>
    </r>
    <r>
      <rPr>
        <sz val="11"/>
        <rFont val="ＭＳ Ｐゴシック"/>
        <family val="3"/>
        <charset val="128"/>
      </rPr>
      <t>9決算</t>
    </r>
    <phoneticPr fontId="9"/>
  </si>
  <si>
    <t>29決算</t>
    <rPh sb="2" eb="4">
      <t>ケッサン</t>
    </rPh>
    <phoneticPr fontId="17"/>
  </si>
  <si>
    <t>Ｈ２９年度</t>
    <rPh sb="3" eb="5">
      <t>ネンド</t>
    </rPh>
    <phoneticPr fontId="9"/>
  </si>
  <si>
    <t>※　計数は原則として四捨五入を行っているため、端数において合計と一致しない場合がある。
※　伸び率は千円単位の金額により算出している。
（いずれも次頁以降の表、グラフについて同様）</t>
    <rPh sb="5" eb="7">
      <t>ゲンソク</t>
    </rPh>
    <rPh sb="10" eb="14">
      <t>シシャゴニュウ</t>
    </rPh>
    <rPh sb="15" eb="16">
      <t>オコナ</t>
    </rPh>
    <rPh sb="23" eb="25">
      <t>ハスウ</t>
    </rPh>
    <rPh sb="29" eb="31">
      <t>ゴウケイ</t>
    </rPh>
    <rPh sb="32" eb="34">
      <t>イッチ</t>
    </rPh>
    <rPh sb="37" eb="39">
      <t>バアイ</t>
    </rPh>
    <rPh sb="46" eb="47">
      <t>ノ</t>
    </rPh>
    <rPh sb="48" eb="49">
      <t>リツ</t>
    </rPh>
    <rPh sb="50" eb="52">
      <t>センエン</t>
    </rPh>
    <rPh sb="52" eb="54">
      <t>タンイ</t>
    </rPh>
    <rPh sb="55" eb="57">
      <t>キンガク</t>
    </rPh>
    <rPh sb="60" eb="62">
      <t>サンシュツ</t>
    </rPh>
    <rPh sb="73" eb="74">
      <t>ツギ</t>
    </rPh>
    <rPh sb="74" eb="75">
      <t>ページ</t>
    </rPh>
    <rPh sb="75" eb="77">
      <t>イコウ</t>
    </rPh>
    <rPh sb="78" eb="79">
      <t>ヒョウ</t>
    </rPh>
    <rPh sb="87" eb="89">
      <t>ドウヨウ</t>
    </rPh>
    <phoneticPr fontId="9"/>
  </si>
  <si>
    <t>（百万円）</t>
    <rPh sb="1" eb="4">
      <t>ヒャクマンエン</t>
    </rPh>
    <phoneticPr fontId="9"/>
  </si>
  <si>
    <t>決算見込額</t>
    <phoneticPr fontId="9"/>
  </si>
  <si>
    <t>（伸び率）</t>
    <phoneticPr fontId="9"/>
  </si>
  <si>
    <t>増減額</t>
    <phoneticPr fontId="9"/>
  </si>
  <si>
    <t>歳入総額</t>
    <phoneticPr fontId="9"/>
  </si>
  <si>
    <t>歳出総額</t>
    <phoneticPr fontId="9"/>
  </si>
  <si>
    <t>地方税</t>
    <phoneticPr fontId="9"/>
  </si>
  <si>
    <t>義務的経費</t>
    <phoneticPr fontId="9"/>
  </si>
  <si>
    <t>人件費</t>
    <phoneticPr fontId="9"/>
  </si>
  <si>
    <t>譲与税・交付金</t>
    <phoneticPr fontId="9"/>
  </si>
  <si>
    <t>扶助費</t>
    <phoneticPr fontId="9"/>
  </si>
  <si>
    <t>その他</t>
    <phoneticPr fontId="9"/>
  </si>
  <si>
    <t>30年度</t>
    <rPh sb="2" eb="4">
      <t>ネンド</t>
    </rPh>
    <phoneticPr fontId="17"/>
  </si>
  <si>
    <t>30決算</t>
    <phoneticPr fontId="9"/>
  </si>
  <si>
    <r>
      <t>30</t>
    </r>
    <r>
      <rPr>
        <sz val="11"/>
        <rFont val="ＭＳ Ｐゴシック"/>
        <family val="3"/>
        <charset val="128"/>
      </rPr>
      <t>決算</t>
    </r>
    <phoneticPr fontId="9"/>
  </si>
  <si>
    <t>Ｈ３０年度</t>
    <rPh sb="3" eb="5">
      <t>ネンド</t>
    </rPh>
    <phoneticPr fontId="9"/>
  </si>
  <si>
    <t>千円</t>
    <rPh sb="0" eb="1">
      <t>セン</t>
    </rPh>
    <rPh sb="1" eb="2">
      <t>エン</t>
    </rPh>
    <phoneticPr fontId="17"/>
  </si>
  <si>
    <t>30決算</t>
    <rPh sb="2" eb="4">
      <t>ケッサン</t>
    </rPh>
    <phoneticPr fontId="17"/>
  </si>
  <si>
    <t>入湯税</t>
    <rPh sb="0" eb="2">
      <t>ニュウトウ</t>
    </rPh>
    <rPh sb="2" eb="3">
      <t>ゼイ</t>
    </rPh>
    <phoneticPr fontId="17"/>
  </si>
  <si>
    <t>18決算</t>
    <phoneticPr fontId="17"/>
  </si>
  <si>
    <r>
      <t>2</t>
    </r>
    <r>
      <rPr>
        <sz val="11"/>
        <rFont val="ＭＳ Ｐゴシック"/>
        <family val="3"/>
        <charset val="128"/>
      </rPr>
      <t>3</t>
    </r>
    <r>
      <rPr>
        <sz val="11"/>
        <rFont val="ＭＳ Ｐゴシック"/>
        <family val="3"/>
        <charset val="128"/>
      </rPr>
      <t>決算</t>
    </r>
    <phoneticPr fontId="17"/>
  </si>
  <si>
    <t>地方税</t>
    <phoneticPr fontId="17"/>
  </si>
  <si>
    <t>21決算</t>
    <phoneticPr fontId="17"/>
  </si>
  <si>
    <t>-</t>
    <phoneticPr fontId="17"/>
  </si>
  <si>
    <t>18決算</t>
    <phoneticPr fontId="17"/>
  </si>
  <si>
    <t>形　式　収　支</t>
    <phoneticPr fontId="9"/>
  </si>
  <si>
    <t>実　質　収　支</t>
    <phoneticPr fontId="9"/>
  </si>
  <si>
    <t>経 常 収 支 比 率</t>
    <phoneticPr fontId="9"/>
  </si>
  <si>
    <t>地  方  債  残  高</t>
    <phoneticPr fontId="9"/>
  </si>
  <si>
    <t>◆</t>
    <phoneticPr fontId="17"/>
  </si>
  <si>
    <r>
      <t>○　</t>
    </r>
    <r>
      <rPr>
        <b/>
        <sz val="12"/>
        <rFont val="ＭＳ 明朝"/>
        <family val="1"/>
        <charset val="128"/>
      </rPr>
      <t/>
    </r>
    <phoneticPr fontId="17"/>
  </si>
  <si>
    <t>固定資産税・都市計画税</t>
    <rPh sb="0" eb="2">
      <t>コテイ</t>
    </rPh>
    <rPh sb="2" eb="5">
      <t>シサンゼイ</t>
    </rPh>
    <rPh sb="6" eb="8">
      <t>トシ</t>
    </rPh>
    <rPh sb="8" eb="10">
      <t>ケイカク</t>
    </rPh>
    <rPh sb="10" eb="11">
      <t>ゼイ</t>
    </rPh>
    <phoneticPr fontId="17"/>
  </si>
  <si>
    <t>その他の税</t>
    <rPh sb="2" eb="3">
      <t>タ</t>
    </rPh>
    <rPh sb="4" eb="5">
      <t>ゼイ</t>
    </rPh>
    <phoneticPr fontId="17"/>
  </si>
  <si>
    <t>26年度</t>
    <rPh sb="2" eb="4">
      <t>ネンド</t>
    </rPh>
    <phoneticPr fontId="17"/>
  </si>
  <si>
    <t>27年度</t>
    <rPh sb="2" eb="4">
      <t>ネンド</t>
    </rPh>
    <phoneticPr fontId="17"/>
  </si>
  <si>
    <t>28年度</t>
    <rPh sb="2" eb="4">
      <t>ネンド</t>
    </rPh>
    <phoneticPr fontId="17"/>
  </si>
  <si>
    <t>24年度</t>
    <rPh sb="2" eb="4">
      <t>ネンド</t>
    </rPh>
    <phoneticPr fontId="17"/>
  </si>
  <si>
    <t>25年度</t>
    <rPh sb="2" eb="4">
      <t>ネンド</t>
    </rPh>
    <phoneticPr fontId="17"/>
  </si>
  <si>
    <t>市税総額の未収金</t>
    <rPh sb="0" eb="2">
      <t>シゼイ</t>
    </rPh>
    <rPh sb="2" eb="4">
      <t>ソウガク</t>
    </rPh>
    <rPh sb="5" eb="8">
      <t>ミシュウキン</t>
    </rPh>
    <phoneticPr fontId="17"/>
  </si>
  <si>
    <t>現年課税分の未収金</t>
    <rPh sb="0" eb="1">
      <t>ゲン</t>
    </rPh>
    <rPh sb="1" eb="2">
      <t>ネン</t>
    </rPh>
    <rPh sb="2" eb="4">
      <t>カゼイ</t>
    </rPh>
    <rPh sb="4" eb="5">
      <t>ブン</t>
    </rPh>
    <rPh sb="6" eb="8">
      <t>ミシュウ</t>
    </rPh>
    <rPh sb="8" eb="9">
      <t>キン</t>
    </rPh>
    <phoneticPr fontId="17"/>
  </si>
  <si>
    <t>滞納繰越分の未収金</t>
    <rPh sb="0" eb="2">
      <t>タイノウ</t>
    </rPh>
    <rPh sb="2" eb="4">
      <t>クリコシ</t>
    </rPh>
    <rPh sb="4" eb="5">
      <t>ブン</t>
    </rPh>
    <rPh sb="6" eb="8">
      <t>ミシュウ</t>
    </rPh>
    <rPh sb="8" eb="9">
      <t>キン</t>
    </rPh>
    <phoneticPr fontId="17"/>
  </si>
  <si>
    <t>現年課税分の収納率</t>
    <rPh sb="0" eb="1">
      <t>ゲン</t>
    </rPh>
    <rPh sb="1" eb="2">
      <t>ネン</t>
    </rPh>
    <rPh sb="2" eb="4">
      <t>カゼイ</t>
    </rPh>
    <rPh sb="4" eb="5">
      <t>ブン</t>
    </rPh>
    <rPh sb="6" eb="8">
      <t>シュウノウ</t>
    </rPh>
    <rPh sb="8" eb="9">
      <t>リツ</t>
    </rPh>
    <phoneticPr fontId="17"/>
  </si>
  <si>
    <t>市税総額の収納率</t>
    <rPh sb="0" eb="2">
      <t>シゼイ</t>
    </rPh>
    <rPh sb="2" eb="4">
      <t>ソウガク</t>
    </rPh>
    <rPh sb="5" eb="7">
      <t>シュウノウ</t>
    </rPh>
    <rPh sb="7" eb="8">
      <t>リツ</t>
    </rPh>
    <phoneticPr fontId="17"/>
  </si>
  <si>
    <t>※すべて手入力</t>
    <rPh sb="4" eb="5">
      <t>テ</t>
    </rPh>
    <rPh sb="5" eb="7">
      <t>ニュウリョク</t>
    </rPh>
    <phoneticPr fontId="9"/>
  </si>
  <si>
    <t>課税年度</t>
    <rPh sb="0" eb="2">
      <t>カゼイ</t>
    </rPh>
    <rPh sb="2" eb="4">
      <t>ネンド</t>
    </rPh>
    <phoneticPr fontId="17"/>
  </si>
  <si>
    <t>繰越 １年目</t>
    <rPh sb="0" eb="2">
      <t>クリコシ</t>
    </rPh>
    <rPh sb="4" eb="6">
      <t>ネンメ</t>
    </rPh>
    <phoneticPr fontId="17"/>
  </si>
  <si>
    <t>繰越 ２年目</t>
    <rPh sb="0" eb="2">
      <t>クリコシ</t>
    </rPh>
    <rPh sb="4" eb="6">
      <t>ネンメ</t>
    </rPh>
    <phoneticPr fontId="17"/>
  </si>
  <si>
    <t>繰越 ３年目</t>
    <rPh sb="0" eb="2">
      <t>クリコシ</t>
    </rPh>
    <rPh sb="4" eb="6">
      <t>ネンメ</t>
    </rPh>
    <phoneticPr fontId="17"/>
  </si>
  <si>
    <t>繰越 ４年目</t>
    <rPh sb="0" eb="2">
      <t>クリコシ</t>
    </rPh>
    <rPh sb="4" eb="6">
      <t>ネンメ</t>
    </rPh>
    <phoneticPr fontId="17"/>
  </si>
  <si>
    <t>合計</t>
    <rPh sb="0" eb="2">
      <t>ゴウケイ</t>
    </rPh>
    <phoneticPr fontId="17"/>
  </si>
  <si>
    <t>３年度</t>
    <rPh sb="1" eb="3">
      <t>ネンド</t>
    </rPh>
    <phoneticPr fontId="17"/>
  </si>
  <si>
    <t>４年度</t>
    <rPh sb="1" eb="3">
      <t>ネンド</t>
    </rPh>
    <phoneticPr fontId="17"/>
  </si>
  <si>
    <t>５年度</t>
    <rPh sb="1" eb="3">
      <t>ネンド</t>
    </rPh>
    <phoneticPr fontId="17"/>
  </si>
  <si>
    <t>６年度</t>
    <rPh sb="1" eb="3">
      <t>ネンド</t>
    </rPh>
    <phoneticPr fontId="17"/>
  </si>
  <si>
    <t>７年度</t>
    <rPh sb="1" eb="3">
      <t>ネンド</t>
    </rPh>
    <phoneticPr fontId="17"/>
  </si>
  <si>
    <t>８年度</t>
    <rPh sb="1" eb="3">
      <t>ネンド</t>
    </rPh>
    <phoneticPr fontId="17"/>
  </si>
  <si>
    <t>９年度</t>
    <rPh sb="1" eb="3">
      <t>ネンド</t>
    </rPh>
    <phoneticPr fontId="17"/>
  </si>
  <si>
    <t>１０年度</t>
    <rPh sb="2" eb="4">
      <t>ネンド</t>
    </rPh>
    <phoneticPr fontId="17"/>
  </si>
  <si>
    <t>１１年度</t>
    <rPh sb="2" eb="4">
      <t>ネンド</t>
    </rPh>
    <phoneticPr fontId="17"/>
  </si>
  <si>
    <t>１２年度</t>
    <rPh sb="2" eb="4">
      <t>ネンド</t>
    </rPh>
    <phoneticPr fontId="17"/>
  </si>
  <si>
    <t>１３年度</t>
    <rPh sb="2" eb="4">
      <t>ネンド</t>
    </rPh>
    <phoneticPr fontId="17"/>
  </si>
  <si>
    <t>１４年度</t>
    <rPh sb="2" eb="4">
      <t>ネンド</t>
    </rPh>
    <phoneticPr fontId="17"/>
  </si>
  <si>
    <t>17年度</t>
    <rPh sb="2" eb="4">
      <t>ネンド</t>
    </rPh>
    <phoneticPr fontId="17"/>
  </si>
  <si>
    <t>18年度</t>
    <rPh sb="2" eb="4">
      <t>ネンド</t>
    </rPh>
    <phoneticPr fontId="17"/>
  </si>
  <si>
    <t>19年度</t>
    <rPh sb="2" eb="4">
      <t>ネンド</t>
    </rPh>
    <phoneticPr fontId="17"/>
  </si>
  <si>
    <t>21年度</t>
    <rPh sb="2" eb="4">
      <t>ネンド</t>
    </rPh>
    <phoneticPr fontId="17"/>
  </si>
  <si>
    <t>22年度</t>
    <rPh sb="2" eb="4">
      <t>ネンド</t>
    </rPh>
    <phoneticPr fontId="17"/>
  </si>
  <si>
    <t>23年度</t>
    <rPh sb="2" eb="4">
      <t>ネンド</t>
    </rPh>
    <phoneticPr fontId="17"/>
  </si>
  <si>
    <t>※すべて最新年度のシートをみて手入力</t>
    <rPh sb="4" eb="6">
      <t>サイシン</t>
    </rPh>
    <rPh sb="6" eb="7">
      <t>ネン</t>
    </rPh>
    <rPh sb="7" eb="8">
      <t>ド</t>
    </rPh>
    <rPh sb="15" eb="16">
      <t>テ</t>
    </rPh>
    <rPh sb="16" eb="18">
      <t>ニュウリョク</t>
    </rPh>
    <phoneticPr fontId="9"/>
  </si>
  <si>
    <t>説明用資料の数値のリンクが切れているものがあるので、説明用資料の数値についても</t>
    <rPh sb="0" eb="2">
      <t>セツメイ</t>
    </rPh>
    <rPh sb="2" eb="3">
      <t>ヨウ</t>
    </rPh>
    <rPh sb="3" eb="5">
      <t>シリョウ</t>
    </rPh>
    <rPh sb="6" eb="8">
      <t>スウチ</t>
    </rPh>
    <rPh sb="13" eb="14">
      <t>キ</t>
    </rPh>
    <rPh sb="26" eb="29">
      <t>セツメイヨウ</t>
    </rPh>
    <rPh sb="29" eb="31">
      <t>シリョウ</t>
    </rPh>
    <rPh sb="32" eb="34">
      <t>スウチ</t>
    </rPh>
    <phoneticPr fontId="9"/>
  </si>
  <si>
    <t>手打ち修正必要か要確認</t>
    <phoneticPr fontId="9"/>
  </si>
  <si>
    <t>比較は千円単位の四捨五入となるよう調整</t>
    <rPh sb="0" eb="2">
      <t>ヒカク</t>
    </rPh>
    <rPh sb="3" eb="5">
      <t>センエン</t>
    </rPh>
    <rPh sb="5" eb="7">
      <t>タンイ</t>
    </rPh>
    <rPh sb="8" eb="12">
      <t>シシャゴニュウ</t>
    </rPh>
    <rPh sb="17" eb="19">
      <t>チョウセイ</t>
    </rPh>
    <phoneticPr fontId="9"/>
  </si>
  <si>
    <t>元決算</t>
    <rPh sb="0" eb="1">
      <t>ガン</t>
    </rPh>
    <phoneticPr fontId="9"/>
  </si>
  <si>
    <t>元決算</t>
    <rPh sb="0" eb="1">
      <t>ガン</t>
    </rPh>
    <rPh sb="1" eb="3">
      <t>ケッサン</t>
    </rPh>
    <phoneticPr fontId="17"/>
  </si>
  <si>
    <t>差</t>
    <rPh sb="0" eb="1">
      <t>サ</t>
    </rPh>
    <phoneticPr fontId="17"/>
  </si>
  <si>
    <t>府費負担教職員制度</t>
    <rPh sb="0" eb="9">
      <t>フヒフタンキョウショクインセイド</t>
    </rPh>
    <phoneticPr fontId="17"/>
  </si>
  <si>
    <t>家屋の新増築、土地の平成30年度評価替えに伴う負担調整措置などにより、</t>
    <rPh sb="0" eb="2">
      <t>カオク</t>
    </rPh>
    <rPh sb="3" eb="6">
      <t>シンゾウチク</t>
    </rPh>
    <rPh sb="7" eb="9">
      <t>トチ</t>
    </rPh>
    <rPh sb="10" eb="12">
      <t>ヘイセイ</t>
    </rPh>
    <rPh sb="14" eb="19">
      <t>ネンドヒョウカガ</t>
    </rPh>
    <phoneticPr fontId="17"/>
  </si>
  <si>
    <t>H7収入額</t>
    <rPh sb="2" eb="4">
      <t>シュウニュウ</t>
    </rPh>
    <rPh sb="4" eb="5">
      <t>ガク</t>
    </rPh>
    <phoneticPr fontId="17"/>
  </si>
  <si>
    <t>差し引き</t>
    <rPh sb="0" eb="1">
      <t>サ</t>
    </rPh>
    <rPh sb="2" eb="3">
      <t>ヒ</t>
    </rPh>
    <phoneticPr fontId="17"/>
  </si>
  <si>
    <t>Ｒ元年度</t>
    <rPh sb="1" eb="2">
      <t>ガン</t>
    </rPh>
    <rPh sb="2" eb="4">
      <t>ネンド</t>
    </rPh>
    <phoneticPr fontId="9"/>
  </si>
  <si>
    <t>平成元年度</t>
    <rPh sb="0" eb="2">
      <t>ヘイセイ</t>
    </rPh>
    <phoneticPr fontId="9"/>
  </si>
  <si>
    <t xml:space="preserve"> 　　 ２ 年度</t>
    <phoneticPr fontId="9"/>
  </si>
  <si>
    <t xml:space="preserve"> 　　 ３ 年度</t>
    <phoneticPr fontId="9"/>
  </si>
  <si>
    <t xml:space="preserve"> 　　 ４ 年度</t>
  </si>
  <si>
    <t xml:space="preserve"> 　　 ５ 年度</t>
  </si>
  <si>
    <t xml:space="preserve"> 　　 ６ 年度</t>
  </si>
  <si>
    <t xml:space="preserve"> 　　 ７ 年度</t>
  </si>
  <si>
    <t xml:space="preserve"> 　　 ８ 年度</t>
  </si>
  <si>
    <t xml:space="preserve"> 　　 ９ 年度</t>
  </si>
  <si>
    <t xml:space="preserve"> 　　10年度</t>
    <phoneticPr fontId="9"/>
  </si>
  <si>
    <t xml:space="preserve"> 　　11年度</t>
    <phoneticPr fontId="9"/>
  </si>
  <si>
    <t xml:space="preserve"> 　　12年度</t>
  </si>
  <si>
    <t xml:space="preserve"> 　　13年度</t>
  </si>
  <si>
    <t xml:space="preserve"> 　　14年度</t>
  </si>
  <si>
    <t xml:space="preserve"> 　　15年度</t>
  </si>
  <si>
    <t xml:space="preserve"> 　　16年度</t>
  </si>
  <si>
    <t xml:space="preserve"> 　　17年度</t>
  </si>
  <si>
    <t xml:space="preserve"> 　　18年度</t>
  </si>
  <si>
    <t xml:space="preserve"> 　　19年度</t>
  </si>
  <si>
    <t xml:space="preserve"> 　　20年度</t>
  </si>
  <si>
    <t xml:space="preserve"> 　　21年度</t>
  </si>
  <si>
    <t xml:space="preserve"> 　　22年度</t>
  </si>
  <si>
    <t xml:space="preserve"> 　　23年度</t>
  </si>
  <si>
    <t xml:space="preserve"> 　　24年度</t>
    <rPh sb="5" eb="7">
      <t>ネンド</t>
    </rPh>
    <phoneticPr fontId="9"/>
  </si>
  <si>
    <t xml:space="preserve"> 　　25年度</t>
    <rPh sb="5" eb="7">
      <t>ネンド</t>
    </rPh>
    <phoneticPr fontId="9"/>
  </si>
  <si>
    <t xml:space="preserve"> 　　26年度</t>
    <rPh sb="5" eb="7">
      <t>ネンド</t>
    </rPh>
    <phoneticPr fontId="9"/>
  </si>
  <si>
    <t xml:space="preserve"> 　　27年度</t>
    <rPh sb="5" eb="7">
      <t>ネンド</t>
    </rPh>
    <phoneticPr fontId="9"/>
  </si>
  <si>
    <t xml:space="preserve"> 　　28年度</t>
    <rPh sb="5" eb="7">
      <t>ネンド</t>
    </rPh>
    <phoneticPr fontId="9"/>
  </si>
  <si>
    <t xml:space="preserve"> 　　29年度</t>
    <rPh sb="5" eb="7">
      <t>ネンド</t>
    </rPh>
    <phoneticPr fontId="9"/>
  </si>
  <si>
    <t xml:space="preserve"> 　　30年度</t>
    <rPh sb="5" eb="7">
      <t>ネンド</t>
    </rPh>
    <phoneticPr fontId="9"/>
  </si>
  <si>
    <t>令和元年度</t>
    <rPh sb="0" eb="2">
      <t>レイワ</t>
    </rPh>
    <rPh sb="2" eb="3">
      <t>ガン</t>
    </rPh>
    <rPh sb="3" eb="5">
      <t>ネンド</t>
    </rPh>
    <phoneticPr fontId="9"/>
  </si>
  <si>
    <t>－　会計相互間の重複</t>
    <phoneticPr fontId="9"/>
  </si>
  <si>
    <t>R元年度</t>
    <rPh sb="1" eb="2">
      <t>ガン</t>
    </rPh>
    <phoneticPr fontId="9"/>
  </si>
  <si>
    <t>H30年度</t>
    <rPh sb="3" eb="5">
      <t>ネンド</t>
    </rPh>
    <phoneticPr fontId="17"/>
  </si>
  <si>
    <t>R元年度</t>
    <rPh sb="1" eb="2">
      <t>ガン</t>
    </rPh>
    <rPh sb="2" eb="4">
      <t>ネンド</t>
    </rPh>
    <phoneticPr fontId="17"/>
  </si>
  <si>
    <t>H8決算</t>
    <rPh sb="2" eb="4">
      <t>ケッサン</t>
    </rPh>
    <phoneticPr fontId="17"/>
  </si>
  <si>
    <t>H10決算</t>
    <rPh sb="3" eb="5">
      <t>ケッサン</t>
    </rPh>
    <phoneticPr fontId="17"/>
  </si>
  <si>
    <t>H15決算</t>
    <rPh sb="3" eb="5">
      <t>ケッサン</t>
    </rPh>
    <phoneticPr fontId="17"/>
  </si>
  <si>
    <t>H20決算</t>
    <rPh sb="3" eb="5">
      <t>ケッサン</t>
    </rPh>
    <phoneticPr fontId="17"/>
  </si>
  <si>
    <t>H29決算</t>
    <phoneticPr fontId="9"/>
  </si>
  <si>
    <t>H30決算</t>
    <phoneticPr fontId="9"/>
  </si>
  <si>
    <t>R元決算</t>
    <rPh sb="1" eb="2">
      <t>ガン</t>
    </rPh>
    <phoneticPr fontId="9"/>
  </si>
  <si>
    <t>H29決算</t>
    <rPh sb="3" eb="5">
      <t>ケッサン</t>
    </rPh>
    <phoneticPr fontId="17"/>
  </si>
  <si>
    <t>H30決算</t>
    <rPh sb="3" eb="5">
      <t>ケッサン</t>
    </rPh>
    <phoneticPr fontId="17"/>
  </si>
  <si>
    <t>R元決算</t>
    <rPh sb="1" eb="2">
      <t>ガン</t>
    </rPh>
    <rPh sb="2" eb="4">
      <t>ケッサン</t>
    </rPh>
    <phoneticPr fontId="17"/>
  </si>
  <si>
    <t>※計数はそれぞれ四捨五入によっているので、端数において合計とは一致しないものがある</t>
    <phoneticPr fontId="17"/>
  </si>
  <si>
    <t>※「伸び率」は千円単位の金額により算出</t>
    <phoneticPr fontId="17"/>
  </si>
  <si>
    <t>グラフ用</t>
    <rPh sb="3" eb="4">
      <t>ヨウ</t>
    </rPh>
    <phoneticPr fontId="17"/>
  </si>
  <si>
    <t>H8年度</t>
    <rPh sb="2" eb="4">
      <t>ネンド</t>
    </rPh>
    <phoneticPr fontId="17"/>
  </si>
  <si>
    <t>H20年度</t>
    <rPh sb="3" eb="5">
      <t>ネンド</t>
    </rPh>
    <phoneticPr fontId="41"/>
  </si>
  <si>
    <t>H21年度</t>
    <rPh sb="3" eb="5">
      <t>ネンド</t>
    </rPh>
    <phoneticPr fontId="41"/>
  </si>
  <si>
    <t>H22年度</t>
    <rPh sb="3" eb="5">
      <t>ネンド</t>
    </rPh>
    <phoneticPr fontId="41"/>
  </si>
  <si>
    <t>H29年度</t>
    <rPh sb="3" eb="5">
      <t>ネンド</t>
    </rPh>
    <phoneticPr fontId="17"/>
  </si>
  <si>
    <t>H8～H22固定</t>
    <rPh sb="6" eb="8">
      <t>コテイ</t>
    </rPh>
    <phoneticPr fontId="17"/>
  </si>
  <si>
    <t>直近4年</t>
    <rPh sb="0" eb="2">
      <t>チョッキン</t>
    </rPh>
    <rPh sb="3" eb="4">
      <t>ネン</t>
    </rPh>
    <phoneticPr fontId="17"/>
  </si>
  <si>
    <t>令　和　２　年　度</t>
    <rPh sb="0" eb="1">
      <t>レイ</t>
    </rPh>
    <rPh sb="2" eb="3">
      <t>ワ</t>
    </rPh>
    <rPh sb="6" eb="7">
      <t>トシ</t>
    </rPh>
    <rPh sb="8" eb="9">
      <t>ド</t>
    </rPh>
    <phoneticPr fontId="17"/>
  </si>
  <si>
    <t>令和３年９月</t>
    <rPh sb="0" eb="2">
      <t>レイワ</t>
    </rPh>
    <rPh sb="3" eb="4">
      <t>ネン</t>
    </rPh>
    <rPh sb="5" eb="6">
      <t>ガツ</t>
    </rPh>
    <phoneticPr fontId="17"/>
  </si>
  <si>
    <t>Ｒ２</t>
    <phoneticPr fontId="17"/>
  </si>
  <si>
    <t>R元</t>
    <rPh sb="1" eb="2">
      <t>モト</t>
    </rPh>
    <phoneticPr fontId="17"/>
  </si>
  <si>
    <t>納税義務者数の増などにより、＋3.7%と９年連続の増</t>
    <rPh sb="0" eb="2">
      <t>ノウゼイ</t>
    </rPh>
    <rPh sb="2" eb="4">
      <t>ギム</t>
    </rPh>
    <rPh sb="4" eb="5">
      <t>シャ</t>
    </rPh>
    <rPh sb="5" eb="6">
      <t>スウ</t>
    </rPh>
    <rPh sb="7" eb="8">
      <t>ゾウ</t>
    </rPh>
    <phoneticPr fontId="17"/>
  </si>
  <si>
    <t>＋1.1％と８年連続の増</t>
    <rPh sb="7" eb="8">
      <t>ネン</t>
    </rPh>
    <rPh sb="8" eb="10">
      <t>レンゾク</t>
    </rPh>
    <rPh sb="11" eb="12">
      <t>ゾウ</t>
    </rPh>
    <phoneticPr fontId="17"/>
  </si>
  <si>
    <t>２年度決算見込は、４年ぶりの減</t>
    <rPh sb="1" eb="3">
      <t>ネンド</t>
    </rPh>
    <rPh sb="3" eb="5">
      <t>ケッサン</t>
    </rPh>
    <rPh sb="5" eb="7">
      <t>ミコミ</t>
    </rPh>
    <rPh sb="10" eb="11">
      <t>ネン</t>
    </rPh>
    <rPh sb="14" eb="15">
      <t>ゲン</t>
    </rPh>
    <phoneticPr fontId="17"/>
  </si>
  <si>
    <t>R２決算見込</t>
    <rPh sb="2" eb="4">
      <t>ケッサン</t>
    </rPh>
    <rPh sb="4" eb="6">
      <t>ミコミ</t>
    </rPh>
    <phoneticPr fontId="17"/>
  </si>
  <si>
    <t>R元　決  算</t>
    <rPh sb="1" eb="2">
      <t>モト</t>
    </rPh>
    <rPh sb="3" eb="4">
      <t>ケツ</t>
    </rPh>
    <rPh sb="6" eb="7">
      <t>サン</t>
    </rPh>
    <phoneticPr fontId="17"/>
  </si>
  <si>
    <t>令和２年度</t>
    <rPh sb="0" eb="2">
      <t>レイワ</t>
    </rPh>
    <rPh sb="3" eb="5">
      <t>ネンド</t>
    </rPh>
    <phoneticPr fontId="9"/>
  </si>
  <si>
    <t>Ｒ２年度</t>
    <rPh sb="2" eb="4">
      <t>ネンド</t>
    </rPh>
    <phoneticPr fontId="9"/>
  </si>
  <si>
    <t>２決算</t>
    <phoneticPr fontId="9"/>
  </si>
  <si>
    <t>R２決算</t>
    <phoneticPr fontId="9"/>
  </si>
  <si>
    <t>２決算</t>
    <rPh sb="1" eb="3">
      <t>ケッサン</t>
    </rPh>
    <phoneticPr fontId="17"/>
  </si>
  <si>
    <t>R２決算</t>
    <rPh sb="2" eb="4">
      <t>ケッサン</t>
    </rPh>
    <phoneticPr fontId="17"/>
  </si>
  <si>
    <t>元年度</t>
    <rPh sb="0" eb="1">
      <t>ガン</t>
    </rPh>
    <rPh sb="1" eb="3">
      <t>ネンド</t>
    </rPh>
    <phoneticPr fontId="17"/>
  </si>
  <si>
    <t>２年度（見込）</t>
    <rPh sb="1" eb="3">
      <t>ネンド</t>
    </rPh>
    <rPh sb="4" eb="6">
      <t>ミコミ</t>
    </rPh>
    <phoneticPr fontId="17"/>
  </si>
  <si>
    <t>２年度（見込）</t>
    <rPh sb="1" eb="3">
      <t>ネンド</t>
    </rPh>
    <phoneticPr fontId="17"/>
  </si>
  <si>
    <t>R２年度</t>
    <phoneticPr fontId="9"/>
  </si>
  <si>
    <t>うち
法人市民税</t>
    <rPh sb="3" eb="8">
      <t>ホウジンシミンゼイ</t>
    </rPh>
    <phoneticPr fontId="9"/>
  </si>
  <si>
    <t>うち
法人事業税
交付金</t>
    <rPh sb="3" eb="5">
      <t>ホウジン</t>
    </rPh>
    <rPh sb="5" eb="8">
      <t>ジギョウゼイ</t>
    </rPh>
    <rPh sb="9" eb="12">
      <t>コウフキン</t>
    </rPh>
    <phoneticPr fontId="9"/>
  </si>
  <si>
    <t>うち
諸収入</t>
    <rPh sb="3" eb="6">
      <t>ショシュウニュウ</t>
    </rPh>
    <phoneticPr fontId="9"/>
  </si>
  <si>
    <t>うち
補助費等</t>
    <rPh sb="3" eb="7">
      <t>ホジョヒトウ</t>
    </rPh>
    <phoneticPr fontId="9"/>
  </si>
  <si>
    <t>うち
貸付金</t>
    <rPh sb="3" eb="6">
      <t>カシツケキン</t>
    </rPh>
    <phoneticPr fontId="9"/>
  </si>
  <si>
    <t>２８，０３２百万円</t>
    <rPh sb="6" eb="9">
      <t>ヒャクマンエン</t>
    </rPh>
    <phoneticPr fontId="9"/>
  </si>
  <si>
    <t>１３，０４１百万円</t>
    <rPh sb="6" eb="8">
      <t>ヒャクマンエン</t>
    </rPh>
    <phoneticPr fontId="9"/>
  </si>
  <si>
    <t>　　歳出総額は２兆147億円で、前年度決算と比較すると、＋2,579億円、＋14.7％の増となっている。</t>
    <rPh sb="2" eb="4">
      <t>サイシュツ</t>
    </rPh>
    <rPh sb="4" eb="6">
      <t>ソウガク</t>
    </rPh>
    <rPh sb="12" eb="13">
      <t>オク</t>
    </rPh>
    <rPh sb="13" eb="14">
      <t>エン</t>
    </rPh>
    <rPh sb="16" eb="19">
      <t>ゼンネンド</t>
    </rPh>
    <rPh sb="19" eb="21">
      <t>ケッサン</t>
    </rPh>
    <rPh sb="22" eb="24">
      <t>ヒカク</t>
    </rPh>
    <rPh sb="44" eb="45">
      <t>ゾウ</t>
    </rPh>
    <phoneticPr fontId="17"/>
  </si>
  <si>
    <t>　　　会計年度任用職員制度の導入などによる人件費の増（＋13億円、＋0.4％）や、未就学児を養育</t>
    <rPh sb="3" eb="5">
      <t>カイケイ</t>
    </rPh>
    <rPh sb="5" eb="7">
      <t>ネンド</t>
    </rPh>
    <rPh sb="7" eb="9">
      <t>ニンヨウ</t>
    </rPh>
    <rPh sb="9" eb="11">
      <t>ショクイン</t>
    </rPh>
    <rPh sb="11" eb="13">
      <t>セイド</t>
    </rPh>
    <rPh sb="14" eb="16">
      <t>ドウニュウ</t>
    </rPh>
    <rPh sb="21" eb="24">
      <t>ジンケンヒ</t>
    </rPh>
    <rPh sb="25" eb="26">
      <t>ゾウ</t>
    </rPh>
    <rPh sb="30" eb="32">
      <t>オクエン</t>
    </rPh>
    <rPh sb="41" eb="45">
      <t>ミシュウガクジ</t>
    </rPh>
    <rPh sb="46" eb="48">
      <t>ヨウイク</t>
    </rPh>
    <phoneticPr fontId="17"/>
  </si>
  <si>
    <t>　　歳入総額は２兆427億円で、前年度決算と比較すると、＋2,785億円、＋15.8％の増となっている。</t>
    <rPh sb="2" eb="4">
      <t>サイニュウ</t>
    </rPh>
    <rPh sb="4" eb="6">
      <t>ソウガク</t>
    </rPh>
    <rPh sb="16" eb="19">
      <t>ゼンネンド</t>
    </rPh>
    <rPh sb="19" eb="21">
      <t>ケッサン</t>
    </rPh>
    <rPh sb="22" eb="24">
      <t>ヒカク</t>
    </rPh>
    <rPh sb="44" eb="45">
      <t>ゾウ</t>
    </rPh>
    <phoneticPr fontId="17"/>
  </si>
  <si>
    <t>R２年度</t>
    <rPh sb="2" eb="4">
      <t>ネンド</t>
    </rPh>
    <phoneticPr fontId="17"/>
  </si>
  <si>
    <t>　令和２年度末で１兆7,346億円となっている。</t>
    <rPh sb="1" eb="3">
      <t>レイワ</t>
    </rPh>
    <phoneticPr fontId="17"/>
  </si>
  <si>
    <t>　（市民一人当たり　Ｒ２年度決算：630千円　R元年度決算：670千円　）</t>
    <rPh sb="24" eb="25">
      <t>ガン</t>
    </rPh>
    <phoneticPr fontId="17"/>
  </si>
  <si>
    <t>　　（＋205億円、＋13.0％）となっている。</t>
    <phoneticPr fontId="9"/>
  </si>
  <si>
    <t>　　（△110億円、△1.0％）となっている。</t>
    <phoneticPr fontId="9"/>
  </si>
  <si>
    <t>　　　淀川左岸線（２期）事業の増や大阪中之島美術館の整備事業の増などにより、４年連続の増</t>
    <rPh sb="3" eb="8">
      <t>ヨドガワサガンセン</t>
    </rPh>
    <rPh sb="10" eb="11">
      <t>キ</t>
    </rPh>
    <rPh sb="12" eb="14">
      <t>ジギョウ</t>
    </rPh>
    <rPh sb="15" eb="16">
      <t>ゾウ</t>
    </rPh>
    <rPh sb="17" eb="19">
      <t>オオサカ</t>
    </rPh>
    <rPh sb="19" eb="22">
      <t>ナカノシマ</t>
    </rPh>
    <rPh sb="22" eb="25">
      <t>ビジュツカン</t>
    </rPh>
    <rPh sb="26" eb="28">
      <t>セイビ</t>
    </rPh>
    <rPh sb="28" eb="30">
      <t>ジギョウ</t>
    </rPh>
    <rPh sb="31" eb="32">
      <t>ゾウ</t>
    </rPh>
    <phoneticPr fontId="9"/>
  </si>
  <si>
    <t>　　４年ぶりの減（△315億円、△4.1％）となっている。（詳細はP８～９を参照）</t>
    <rPh sb="7" eb="8">
      <t>ゲン</t>
    </rPh>
    <phoneticPr fontId="9"/>
  </si>
  <si>
    <t>(皆増)</t>
    <phoneticPr fontId="9"/>
  </si>
  <si>
    <t>うち
障がい者自立支援給付費</t>
    <phoneticPr fontId="9"/>
  </si>
  <si>
    <t>うち
教育・保育
給付費</t>
    <phoneticPr fontId="9"/>
  </si>
  <si>
    <t>うち
生活保護費</t>
    <rPh sb="3" eb="8">
      <t>セイカツホゴヒ</t>
    </rPh>
    <phoneticPr fontId="9"/>
  </si>
  <si>
    <t>うち
臨時特別給付金支給事業等</t>
    <rPh sb="3" eb="10">
      <t>リンジトクベツキュウフキン</t>
    </rPh>
    <rPh sb="10" eb="15">
      <t>シキュウジギョウトウ</t>
    </rPh>
    <phoneticPr fontId="9"/>
  </si>
  <si>
    <t>公債費</t>
    <phoneticPr fontId="9"/>
  </si>
  <si>
    <t>投資的経費</t>
    <phoneticPr fontId="9"/>
  </si>
  <si>
    <t>その他経費</t>
  </si>
  <si>
    <t>(著増)</t>
    <rPh sb="1" eb="2">
      <t>チョ</t>
    </rPh>
    <phoneticPr fontId="9"/>
  </si>
  <si>
    <t>うち
府支出金</t>
    <rPh sb="3" eb="4">
      <t>フ</t>
    </rPh>
    <rPh sb="4" eb="7">
      <t>シシュツキン</t>
    </rPh>
    <phoneticPr fontId="9"/>
  </si>
  <si>
    <t>９４．３％</t>
    <phoneticPr fontId="9"/>
  </si>
  <si>
    <t>１兆７，３４６億円</t>
    <phoneticPr fontId="9"/>
  </si>
  <si>
    <t>　　　特別定額給付金の支給など新型コロナウイルス感染症対策関連経費の増などにより増</t>
    <rPh sb="3" eb="10">
      <t>トクベツテイガクキュウフキン</t>
    </rPh>
    <rPh sb="11" eb="13">
      <t>シキュウ</t>
    </rPh>
    <rPh sb="15" eb="17">
      <t>シンガタ</t>
    </rPh>
    <rPh sb="24" eb="27">
      <t>カンセンショウ</t>
    </rPh>
    <rPh sb="27" eb="29">
      <t>タイサク</t>
    </rPh>
    <rPh sb="29" eb="31">
      <t>カンレン</t>
    </rPh>
    <rPh sb="31" eb="33">
      <t>ケイヒ</t>
    </rPh>
    <rPh sb="34" eb="35">
      <t>ゾウ</t>
    </rPh>
    <phoneticPr fontId="17"/>
  </si>
  <si>
    <t>　　（＋3,490億円、＋82.9％）となっている。</t>
    <phoneticPr fontId="9"/>
  </si>
  <si>
    <t>　　　営業時間短縮協力金の支給など新型コロナウイルス感染症対策関連経費の増などにより府支出金</t>
    <rPh sb="3" eb="5">
      <t>エイギョウ</t>
    </rPh>
    <rPh sb="5" eb="7">
      <t>ジカン</t>
    </rPh>
    <rPh sb="7" eb="9">
      <t>タンシュク</t>
    </rPh>
    <rPh sb="9" eb="11">
      <t>キョウリョク</t>
    </rPh>
    <rPh sb="11" eb="12">
      <t>キン</t>
    </rPh>
    <rPh sb="13" eb="15">
      <t>シキュウ</t>
    </rPh>
    <rPh sb="17" eb="19">
      <t>シンガタ</t>
    </rPh>
    <rPh sb="31" eb="35">
      <t>カンレンケイヒ</t>
    </rPh>
    <rPh sb="36" eb="37">
      <t>ゾウ</t>
    </rPh>
    <rPh sb="42" eb="43">
      <t>フ</t>
    </rPh>
    <rPh sb="43" eb="45">
      <t>シシュツ</t>
    </rPh>
    <phoneticPr fontId="17"/>
  </si>
  <si>
    <t>　　が増（＋303億円、＋38.6％）となっているものの、緊急対策資金融資に伴う返還金の減などに</t>
    <rPh sb="9" eb="11">
      <t>オクエン</t>
    </rPh>
    <rPh sb="29" eb="33">
      <t>キンキュウタイサク</t>
    </rPh>
    <rPh sb="33" eb="37">
      <t>シキンユウシ</t>
    </rPh>
    <rPh sb="38" eb="39">
      <t>トモナ</t>
    </rPh>
    <rPh sb="40" eb="43">
      <t>ヘンカンキン</t>
    </rPh>
    <rPh sb="44" eb="45">
      <t>ゲン</t>
    </rPh>
    <phoneticPr fontId="9"/>
  </si>
  <si>
    <t>　　　平成20年９月のリーマンショック等を受け実施した緊急対策資金融資に係る預託の終了などに</t>
    <rPh sb="3" eb="5">
      <t>ヘイセイ</t>
    </rPh>
    <rPh sb="7" eb="8">
      <t>ネン</t>
    </rPh>
    <rPh sb="9" eb="10">
      <t>ガツ</t>
    </rPh>
    <rPh sb="19" eb="20">
      <t>トウ</t>
    </rPh>
    <rPh sb="21" eb="22">
      <t>ウ</t>
    </rPh>
    <rPh sb="23" eb="25">
      <t>ジッシ</t>
    </rPh>
    <rPh sb="27" eb="29">
      <t>キンキュウ</t>
    </rPh>
    <rPh sb="29" eb="31">
      <t>タイサク</t>
    </rPh>
    <rPh sb="31" eb="33">
      <t>シキン</t>
    </rPh>
    <rPh sb="33" eb="35">
      <t>ユウシ</t>
    </rPh>
    <rPh sb="36" eb="37">
      <t>カカ</t>
    </rPh>
    <rPh sb="38" eb="40">
      <t>ヨタク</t>
    </rPh>
    <rPh sb="41" eb="43">
      <t>シュウリョウ</t>
    </rPh>
    <phoneticPr fontId="9"/>
  </si>
  <si>
    <t>債（特例分）の合計額に占める割合。</t>
    <rPh sb="0" eb="1">
      <t>サイ</t>
    </rPh>
    <rPh sb="2" eb="4">
      <t>トクレイ</t>
    </rPh>
    <rPh sb="4" eb="5">
      <t>ブン</t>
    </rPh>
    <phoneticPr fontId="9"/>
  </si>
  <si>
    <t>R２年度
（見込）</t>
    <rPh sb="2" eb="4">
      <t>ネンド</t>
    </rPh>
    <rPh sb="6" eb="8">
      <t>ミコミ</t>
    </rPh>
    <phoneticPr fontId="17"/>
  </si>
  <si>
    <t>　　より諸収入が減（△815億円、△59.3％）となったことなどにより、全体で△545億円、</t>
    <rPh sb="36" eb="38">
      <t>ゼンタイ</t>
    </rPh>
    <phoneticPr fontId="17"/>
  </si>
  <si>
    <t>　　△16.3％の減となっている。</t>
    <phoneticPr fontId="9"/>
  </si>
  <si>
    <t>　　　淀川左岸線（２期）事業の増などにより、３年ぶりの増（＋83億円、＋8.3％）となっている。</t>
    <rPh sb="3" eb="5">
      <t>ヨドガワ</t>
    </rPh>
    <rPh sb="5" eb="7">
      <t>サガン</t>
    </rPh>
    <rPh sb="7" eb="8">
      <t>セン</t>
    </rPh>
    <rPh sb="10" eb="11">
      <t>キ</t>
    </rPh>
    <rPh sb="12" eb="14">
      <t>ジギョウ</t>
    </rPh>
    <rPh sb="15" eb="16">
      <t>ゾウ</t>
    </rPh>
    <rPh sb="23" eb="24">
      <t>ネン</t>
    </rPh>
    <rPh sb="27" eb="28">
      <t>ゾウ</t>
    </rPh>
    <rPh sb="32" eb="34">
      <t>オクエン</t>
    </rPh>
    <phoneticPr fontId="17"/>
  </si>
  <si>
    <t>H28決算</t>
    <rPh sb="3" eb="5">
      <t>ケッサン</t>
    </rPh>
    <phoneticPr fontId="17"/>
  </si>
  <si>
    <t>28決算</t>
    <rPh sb="2" eb="4">
      <t>ケッサン</t>
    </rPh>
    <phoneticPr fontId="17"/>
  </si>
  <si>
    <t>H８決算</t>
    <rPh sb="2" eb="4">
      <t>ケッサン</t>
    </rPh>
    <phoneticPr fontId="17"/>
  </si>
  <si>
    <t xml:space="preserve"> 収入歩合</t>
  </si>
  <si>
    <t xml:space="preserve">  収入額</t>
  </si>
  <si>
    <t>元</t>
    <rPh sb="0" eb="1">
      <t>ガン</t>
    </rPh>
    <phoneticPr fontId="9"/>
  </si>
  <si>
    <t xml:space="preserve">  収入額</t>
    <phoneticPr fontId="9"/>
  </si>
  <si>
    <t>現課分</t>
    <phoneticPr fontId="9"/>
  </si>
  <si>
    <t>合  計</t>
    <phoneticPr fontId="9"/>
  </si>
  <si>
    <t xml:space="preserve"> 繰越４年目</t>
  </si>
  <si>
    <t xml:space="preserve"> 繰越３年目</t>
  </si>
  <si>
    <t xml:space="preserve"> 繰越２年目</t>
  </si>
  <si>
    <t xml:space="preserve"> 繰越１年目</t>
  </si>
  <si>
    <t>課税年</t>
    <phoneticPr fontId="9"/>
  </si>
  <si>
    <t>度</t>
    <rPh sb="0" eb="1">
      <t>ド</t>
    </rPh>
    <phoneticPr fontId="9"/>
  </si>
  <si>
    <t>判定</t>
    <rPh sb="0" eb="2">
      <t>ハンテイ</t>
    </rPh>
    <phoneticPr fontId="9"/>
  </si>
  <si>
    <t>当初調定</t>
    <phoneticPr fontId="9"/>
  </si>
  <si>
    <t>収入額</t>
    <phoneticPr fontId="9"/>
  </si>
  <si>
    <t>年</t>
    <rPh sb="0" eb="1">
      <t>トシ</t>
    </rPh>
    <phoneticPr fontId="9"/>
  </si>
  <si>
    <t>(単位：百万円・％）</t>
    <rPh sb="1" eb="3">
      <t>タンイ</t>
    </rPh>
    <rPh sb="4" eb="7">
      <t>ヒャクマンエン</t>
    </rPh>
    <phoneticPr fontId="9"/>
  </si>
  <si>
    <t>　　課税年度別市税収入状況表(令和</t>
    <rPh sb="2" eb="4">
      <t>カゼイ</t>
    </rPh>
    <rPh sb="4" eb="6">
      <t>ネンド</t>
    </rPh>
    <rPh sb="6" eb="7">
      <t>ベツ</t>
    </rPh>
    <rPh sb="7" eb="8">
      <t>シ</t>
    </rPh>
    <rPh sb="8" eb="9">
      <t>ゼイ</t>
    </rPh>
    <rPh sb="9" eb="11">
      <t>シュウニュウ</t>
    </rPh>
    <rPh sb="11" eb="13">
      <t>ジョウキョウ</t>
    </rPh>
    <rPh sb="13" eb="14">
      <t>ヒョウ</t>
    </rPh>
    <rPh sb="15" eb="17">
      <t>レイワ</t>
    </rPh>
    <phoneticPr fontId="9"/>
  </si>
  <si>
    <t xml:space="preserve">        ９3．4％</t>
    <phoneticPr fontId="9"/>
  </si>
  <si>
    <t xml:space="preserve">     　 ２，６７２百万円</t>
    <phoneticPr fontId="9"/>
  </si>
  <si>
    <t>　　　７，４２５百万円</t>
    <phoneticPr fontId="9"/>
  </si>
  <si>
    <r>
      <rPr>
        <sz val="18"/>
        <rFont val="メイリオ"/>
        <family val="3"/>
        <charset val="128"/>
      </rPr>
      <t>　　　</t>
    </r>
    <r>
      <rPr>
        <u/>
        <sz val="18"/>
        <rFont val="メイリオ"/>
        <family val="3"/>
        <charset val="128"/>
      </rPr>
      <t>R元年度</t>
    </r>
    <rPh sb="4" eb="5">
      <t>ガン</t>
    </rPh>
    <rPh sb="5" eb="7">
      <t>ネンド</t>
    </rPh>
    <phoneticPr fontId="9"/>
  </si>
  <si>
    <r>
      <rPr>
        <sz val="18"/>
        <rFont val="メイリオ"/>
        <family val="3"/>
        <charset val="128"/>
      </rPr>
      <t xml:space="preserve">  　　　</t>
    </r>
    <r>
      <rPr>
        <u/>
        <sz val="18"/>
        <rFont val="メイリオ"/>
        <family val="3"/>
        <charset val="128"/>
      </rPr>
      <t>R２年度</t>
    </r>
    <rPh sb="7" eb="9">
      <t>ネンド</t>
    </rPh>
    <phoneticPr fontId="9"/>
  </si>
  <si>
    <t>うち
臨時財政対策債</t>
    <rPh sb="3" eb="5">
      <t>リンジ</t>
    </rPh>
    <rPh sb="5" eb="7">
      <t>ザイセイ</t>
    </rPh>
    <rPh sb="7" eb="9">
      <t>タイサク</t>
    </rPh>
    <rPh sb="9" eb="10">
      <t>サイ</t>
    </rPh>
    <phoneticPr fontId="9"/>
  </si>
  <si>
    <t>うち
特別定額給付金
支給事業</t>
    <rPh sb="3" eb="7">
      <t>トクベツテイガク</t>
    </rPh>
    <rPh sb="7" eb="10">
      <t>キュウフキン</t>
    </rPh>
    <rPh sb="11" eb="15">
      <t>シキュウジギョウ</t>
    </rPh>
    <phoneticPr fontId="9"/>
  </si>
  <si>
    <t>令和２年度　大阪市普通会計決算見込額</t>
    <rPh sb="0" eb="2">
      <t>レイワ</t>
    </rPh>
    <phoneticPr fontId="9"/>
  </si>
  <si>
    <r>
      <t>　　市債発行をこの間極力抑制してきた結果、</t>
    </r>
    <r>
      <rPr>
        <b/>
        <sz val="12"/>
        <rFont val="メイリオ"/>
        <family val="3"/>
        <charset val="128"/>
      </rPr>
      <t>15年連続で減少</t>
    </r>
    <r>
      <rPr>
        <sz val="12"/>
        <rFont val="メイリオ"/>
        <family val="3"/>
        <charset val="128"/>
      </rPr>
      <t>（△683億円、△3.8％）し、</t>
    </r>
    <rPh sb="2" eb="4">
      <t>シサイ</t>
    </rPh>
    <rPh sb="4" eb="6">
      <t>ハッコウ</t>
    </rPh>
    <rPh sb="9" eb="10">
      <t>カン</t>
    </rPh>
    <rPh sb="10" eb="12">
      <t>キョクリョク</t>
    </rPh>
    <rPh sb="12" eb="14">
      <t>ヨクセイ</t>
    </rPh>
    <rPh sb="18" eb="20">
      <t>ケッカ</t>
    </rPh>
    <rPh sb="23" eb="24">
      <t>ネン</t>
    </rPh>
    <rPh sb="24" eb="26">
      <t>レンゾク</t>
    </rPh>
    <rPh sb="27" eb="29">
      <t>ゲンショウ</t>
    </rPh>
    <rPh sb="34" eb="36">
      <t>オクエン</t>
    </rPh>
    <phoneticPr fontId="17"/>
  </si>
  <si>
    <r>
      <t>　などにより、前年度決算と比較して</t>
    </r>
    <r>
      <rPr>
        <b/>
        <sz val="12"/>
        <rFont val="メイリオ"/>
        <family val="3"/>
        <charset val="128"/>
      </rPr>
      <t>＋0.9ポイント悪化し、94.3％</t>
    </r>
    <r>
      <rPr>
        <sz val="12"/>
        <rFont val="メイリオ"/>
        <family val="3"/>
        <charset val="128"/>
      </rPr>
      <t>となっている。　</t>
    </r>
    <rPh sb="25" eb="27">
      <t>アッカ</t>
    </rPh>
    <phoneticPr fontId="17"/>
  </si>
  <si>
    <t>　　公債費の減等により経常的経費が減となったものの、地方税など経常一般財源が減となったこと</t>
    <rPh sb="2" eb="5">
      <t>コウサイヒ</t>
    </rPh>
    <rPh sb="6" eb="7">
      <t>ゲン</t>
    </rPh>
    <rPh sb="7" eb="8">
      <t>トウ</t>
    </rPh>
    <rPh sb="11" eb="14">
      <t>ケイジョウテキ</t>
    </rPh>
    <rPh sb="14" eb="16">
      <t>ケイヒ</t>
    </rPh>
    <rPh sb="17" eb="18">
      <t>ゲン</t>
    </rPh>
    <rPh sb="31" eb="33">
      <t>ケイジョウ</t>
    </rPh>
    <rPh sb="33" eb="37">
      <t>イッパンザイゲン</t>
    </rPh>
    <phoneticPr fontId="17"/>
  </si>
  <si>
    <t>4　経常収支比率（財政構造の弾力性）</t>
    <phoneticPr fontId="17"/>
  </si>
  <si>
    <r>
      <t>　　130億円の黒字となり、</t>
    </r>
    <r>
      <rPr>
        <b/>
        <sz val="12"/>
        <rFont val="メイリオ"/>
        <family val="3"/>
        <charset val="128"/>
      </rPr>
      <t>平成元年度決算から32年連続で黒字</t>
    </r>
    <r>
      <rPr>
        <sz val="12"/>
        <rFont val="メイリオ"/>
        <family val="3"/>
        <charset val="128"/>
      </rPr>
      <t>を維持できている。</t>
    </r>
    <rPh sb="8" eb="10">
      <t>クロジ</t>
    </rPh>
    <rPh sb="16" eb="17">
      <t>ガン</t>
    </rPh>
    <rPh sb="32" eb="34">
      <t>イジ</t>
    </rPh>
    <phoneticPr fontId="17"/>
  </si>
  <si>
    <t>　　730億円となっている。</t>
    <phoneticPr fontId="9"/>
  </si>
  <si>
    <t>　　臨時財政対策債を含めた実質的な地方交付税総額は、△243億円の減（△24.9％）となり、</t>
    <rPh sb="2" eb="9">
      <t>リンジザイセイタイサクサイ</t>
    </rPh>
    <rPh sb="10" eb="11">
      <t>フク</t>
    </rPh>
    <rPh sb="13" eb="16">
      <t>ジッシツテキ</t>
    </rPh>
    <rPh sb="30" eb="32">
      <t>オクエン</t>
    </rPh>
    <rPh sb="33" eb="34">
      <t>ゲン</t>
    </rPh>
    <phoneticPr fontId="17"/>
  </si>
  <si>
    <t>　　　法人事業税交付金や地方消費税交付金の増により基準財政収入額が増となったことなどにより、</t>
    <rPh sb="3" eb="5">
      <t>ホウジン</t>
    </rPh>
    <rPh sb="5" eb="8">
      <t>ジギョウゼイ</t>
    </rPh>
    <rPh sb="8" eb="11">
      <t>コウフキン</t>
    </rPh>
    <rPh sb="12" eb="14">
      <t>チホウ</t>
    </rPh>
    <rPh sb="14" eb="17">
      <t>ショウヒゼイ</t>
    </rPh>
    <rPh sb="17" eb="20">
      <t>コウフキン</t>
    </rPh>
    <rPh sb="21" eb="22">
      <t>ゾウ</t>
    </rPh>
    <rPh sb="25" eb="27">
      <t>キジュン</t>
    </rPh>
    <rPh sb="27" eb="29">
      <t>ザイセイ</t>
    </rPh>
    <rPh sb="29" eb="31">
      <t>シュウニュウ</t>
    </rPh>
    <rPh sb="31" eb="32">
      <t>ガク</t>
    </rPh>
    <rPh sb="33" eb="34">
      <t>ゾウ</t>
    </rPh>
    <phoneticPr fontId="17"/>
  </si>
  <si>
    <t>　　となっている。</t>
    <phoneticPr fontId="9"/>
  </si>
  <si>
    <t>　　等による地方消費税交付金の増（＋103億円、＋18.3％）などにより増（＋178億円、＋20.1％）</t>
    <phoneticPr fontId="9"/>
  </si>
  <si>
    <t>　　　法人税割の一部国税化に伴う法人事業税交付金の創設（＋110億円、皆増）や消費税率引上げ</t>
    <rPh sb="3" eb="7">
      <t>ホウジンゼイワリ</t>
    </rPh>
    <rPh sb="8" eb="10">
      <t>イチブ</t>
    </rPh>
    <rPh sb="10" eb="13">
      <t>コクゼイカ</t>
    </rPh>
    <rPh sb="14" eb="15">
      <t>トモナ</t>
    </rPh>
    <phoneticPr fontId="17"/>
  </si>
  <si>
    <t>　　一部国税化など税制改正の影響等による法人市民税の減（△405億円、△27.0％）などにより、</t>
    <rPh sb="2" eb="3">
      <t>イチ</t>
    </rPh>
    <rPh sb="3" eb="4">
      <t>ブ</t>
    </rPh>
    <rPh sb="4" eb="7">
      <t>コクゼイカ</t>
    </rPh>
    <rPh sb="9" eb="11">
      <t>ゼイセイ</t>
    </rPh>
    <rPh sb="11" eb="13">
      <t>カイセイ</t>
    </rPh>
    <rPh sb="14" eb="16">
      <t>エイキョウ</t>
    </rPh>
    <rPh sb="16" eb="17">
      <t>トウ</t>
    </rPh>
    <rPh sb="20" eb="25">
      <t>ホウジンシミンゼイ</t>
    </rPh>
    <rPh sb="26" eb="27">
      <t>ゲン</t>
    </rPh>
    <rPh sb="32" eb="34">
      <t>オクエン</t>
    </rPh>
    <phoneticPr fontId="17"/>
  </si>
  <si>
    <t>　　　納税義務者数の増等による個人市民税の増（＋79億円、＋3.7％）があるものの、法人税割の</t>
    <rPh sb="3" eb="8">
      <t>ノウゼイギムシャ</t>
    </rPh>
    <rPh sb="8" eb="9">
      <t>スウ</t>
    </rPh>
    <rPh sb="10" eb="12">
      <t>ゾウトウ</t>
    </rPh>
    <rPh sb="15" eb="20">
      <t>コジンシミンゼイ</t>
    </rPh>
    <rPh sb="21" eb="22">
      <t>ゾウ</t>
    </rPh>
    <rPh sb="26" eb="28">
      <t>オクエン</t>
    </rPh>
    <rPh sb="42" eb="44">
      <t>ホウジン</t>
    </rPh>
    <rPh sb="44" eb="46">
      <t>ゼイワリ</t>
    </rPh>
    <phoneticPr fontId="17"/>
  </si>
  <si>
    <t>　　（＋3,181億円、著増）などにより、全体で＋2,484億円、＋49.9％の増となっている。</t>
    <phoneticPr fontId="9"/>
  </si>
  <si>
    <t>　　経費として、特別定額給付金や営業時間短縮協力金を支給したことなどによる補助費等の増</t>
    <rPh sb="26" eb="28">
      <t>シキュウ</t>
    </rPh>
    <rPh sb="37" eb="41">
      <t>ホジョヒトウ</t>
    </rPh>
    <rPh sb="42" eb="43">
      <t>ゾウ</t>
    </rPh>
    <phoneticPr fontId="9"/>
  </si>
  <si>
    <t>　　元金償還額の減等により公債費が減（△296億円、△13.2％）となった結果、2年連続の減</t>
    <rPh sb="9" eb="10">
      <t>トウ</t>
    </rPh>
    <rPh sb="41" eb="44">
      <t>ネンレンゾク</t>
    </rPh>
    <rPh sb="45" eb="46">
      <t>ゲン</t>
    </rPh>
    <phoneticPr fontId="9"/>
  </si>
  <si>
    <t>　　する世帯への特別給付金の支給などによる扶助費の増（＋173億円、＋3.0％）があるものの、</t>
    <phoneticPr fontId="9"/>
  </si>
  <si>
    <r>
      <t>　・</t>
    </r>
    <r>
      <rPr>
        <b/>
        <sz val="13"/>
        <rFont val="メイリオ"/>
        <family val="3"/>
        <charset val="128"/>
      </rPr>
      <t>令和２年度末で１兆7,346億円</t>
    </r>
    <r>
      <rPr>
        <sz val="13"/>
        <rFont val="メイリオ"/>
        <family val="3"/>
        <charset val="128"/>
      </rPr>
      <t>となっている。</t>
    </r>
    <phoneticPr fontId="40"/>
  </si>
  <si>
    <r>
      <t>　・</t>
    </r>
    <r>
      <rPr>
        <b/>
        <sz val="13"/>
        <rFont val="メイリオ"/>
        <family val="3"/>
        <charset val="128"/>
      </rPr>
      <t>15年連続で減少</t>
    </r>
    <r>
      <rPr>
        <sz val="13"/>
        <rFont val="メイリオ"/>
        <family val="3"/>
        <charset val="128"/>
      </rPr>
      <t>（△683億円、△3.８％）し、</t>
    </r>
    <rPh sb="4" eb="5">
      <t>ネン</t>
    </rPh>
    <rPh sb="5" eb="7">
      <t>レンゾク</t>
    </rPh>
    <rPh sb="8" eb="10">
      <t>ゲンショウ</t>
    </rPh>
    <rPh sb="15" eb="16">
      <t>オク</t>
    </rPh>
    <rPh sb="16" eb="17">
      <t>エン</t>
    </rPh>
    <phoneticPr fontId="40"/>
  </si>
  <si>
    <t>　・市債発行をこの間極力抑制してきた結果、</t>
    <rPh sb="2" eb="4">
      <t>シサイ</t>
    </rPh>
    <rPh sb="4" eb="6">
      <t>ハッコウ</t>
    </rPh>
    <rPh sb="9" eb="10">
      <t>カン</t>
    </rPh>
    <rPh sb="10" eb="12">
      <t>キョクリョク</t>
    </rPh>
    <rPh sb="12" eb="14">
      <t>ヨクセイ</t>
    </rPh>
    <rPh sb="18" eb="20">
      <t>ケッカ</t>
    </rPh>
    <phoneticPr fontId="40"/>
  </si>
  <si>
    <r>
      <t>　・前年度決算と比較して</t>
    </r>
    <r>
      <rPr>
        <b/>
        <sz val="13"/>
        <rFont val="メイリオ"/>
        <family val="3"/>
        <charset val="128"/>
      </rPr>
      <t>＋0.9ポイント悪化</t>
    </r>
    <r>
      <rPr>
        <sz val="13"/>
        <rFont val="メイリオ"/>
        <family val="3"/>
        <charset val="128"/>
      </rPr>
      <t>し、</t>
    </r>
    <r>
      <rPr>
        <b/>
        <sz val="13"/>
        <rFont val="メイリオ"/>
        <family val="3"/>
        <charset val="128"/>
      </rPr>
      <t>94.3％</t>
    </r>
    <r>
      <rPr>
        <sz val="13"/>
        <rFont val="メイリオ"/>
        <family val="3"/>
        <charset val="128"/>
      </rPr>
      <t>となっている。</t>
    </r>
    <phoneticPr fontId="40"/>
  </si>
  <si>
    <t>　・地方税など経常一般財源が減となったことなどにより、</t>
    <rPh sb="2" eb="5">
      <t>チホウゼイ</t>
    </rPh>
    <rPh sb="7" eb="9">
      <t>ケイジョウ</t>
    </rPh>
    <rPh sb="9" eb="13">
      <t>イッパンザイゲン</t>
    </rPh>
    <rPh sb="14" eb="15">
      <t>ゲン</t>
    </rPh>
    <phoneticPr fontId="40"/>
  </si>
  <si>
    <t>　・公債費の減等により経常的経費が減となったものの、</t>
    <rPh sb="2" eb="5">
      <t>コウサイヒ</t>
    </rPh>
    <rPh sb="6" eb="7">
      <t>ゲン</t>
    </rPh>
    <rPh sb="7" eb="8">
      <t>トウ</t>
    </rPh>
    <rPh sb="11" eb="14">
      <t>ケイジョウテキ</t>
    </rPh>
    <rPh sb="14" eb="16">
      <t>ケイヒ</t>
    </rPh>
    <rPh sb="17" eb="18">
      <t>ゲン</t>
    </rPh>
    <phoneticPr fontId="40"/>
  </si>
  <si>
    <r>
      <t>　　</t>
    </r>
    <r>
      <rPr>
        <b/>
        <sz val="13"/>
        <rFont val="メイリオ"/>
        <family val="3"/>
        <charset val="128"/>
      </rPr>
      <t>32年連続で黒字</t>
    </r>
    <r>
      <rPr>
        <sz val="13"/>
        <rFont val="メイリオ"/>
        <family val="3"/>
        <charset val="128"/>
      </rPr>
      <t>を維持できている。</t>
    </r>
    <rPh sb="4" eb="5">
      <t>ネン</t>
    </rPh>
    <rPh sb="5" eb="7">
      <t>レンゾク</t>
    </rPh>
    <rPh sb="8" eb="10">
      <t>クロジ</t>
    </rPh>
    <rPh sb="11" eb="13">
      <t>イジ</t>
    </rPh>
    <phoneticPr fontId="40"/>
  </si>
  <si>
    <r>
      <t>　・その結果、実質収支は</t>
    </r>
    <r>
      <rPr>
        <b/>
        <sz val="13"/>
        <rFont val="メイリオ"/>
        <family val="3"/>
        <charset val="128"/>
      </rPr>
      <t>130億円の黒字</t>
    </r>
    <r>
      <rPr>
        <sz val="13"/>
        <rFont val="メイリオ"/>
        <family val="3"/>
        <charset val="128"/>
      </rPr>
      <t>となり、</t>
    </r>
    <r>
      <rPr>
        <b/>
        <sz val="13"/>
        <rFont val="メイリオ"/>
        <family val="3"/>
        <charset val="128"/>
      </rPr>
      <t xml:space="preserve">平成元年度決算から
</t>
    </r>
    <r>
      <rPr>
        <sz val="13"/>
        <rFont val="メイリオ"/>
        <family val="3"/>
        <charset val="128"/>
      </rPr>
      <t/>
    </r>
    <rPh sb="4" eb="6">
      <t>ケッカ</t>
    </rPh>
    <rPh sb="7" eb="9">
      <t>ジッシツ</t>
    </rPh>
    <rPh sb="9" eb="11">
      <t>シュウシ</t>
    </rPh>
    <rPh sb="15" eb="16">
      <t>オク</t>
    </rPh>
    <rPh sb="16" eb="17">
      <t>エン</t>
    </rPh>
    <rPh sb="18" eb="20">
      <t>クロジ</t>
    </rPh>
    <rPh sb="24" eb="26">
      <t>ヘイセイ</t>
    </rPh>
    <rPh sb="26" eb="28">
      <t>ガンネン</t>
    </rPh>
    <rPh sb="28" eb="29">
      <t>ド</t>
    </rPh>
    <rPh sb="29" eb="31">
      <t>ケッサン</t>
    </rPh>
    <phoneticPr fontId="40"/>
  </si>
  <si>
    <t>　・総額２兆427億円（前年度比＋2,785億円、＋15.8％）となっている。</t>
    <phoneticPr fontId="40"/>
  </si>
  <si>
    <t>　・特別定額給付金の支給など新型コロナウイルス感染症対策関連経費の</t>
    <rPh sb="2" eb="4">
      <t>トクベツ</t>
    </rPh>
    <rPh sb="4" eb="6">
      <t>テイガク</t>
    </rPh>
    <rPh sb="6" eb="9">
      <t>キュウフキン</t>
    </rPh>
    <rPh sb="10" eb="12">
      <t>シキュウ</t>
    </rPh>
    <rPh sb="14" eb="16">
      <t>シンガタ</t>
    </rPh>
    <rPh sb="23" eb="26">
      <t>カンセンショウ</t>
    </rPh>
    <rPh sb="26" eb="28">
      <t>タイサク</t>
    </rPh>
    <rPh sb="28" eb="30">
      <t>カンレン</t>
    </rPh>
    <rPh sb="30" eb="32">
      <t>ケイヒ</t>
    </rPh>
    <phoneticPr fontId="40"/>
  </si>
  <si>
    <r>
      <t>　　なるなど、</t>
    </r>
    <r>
      <rPr>
        <b/>
        <sz val="13"/>
        <rFont val="メイリオ"/>
        <family val="3"/>
        <charset val="128"/>
      </rPr>
      <t>地方税が４年ぶりに減</t>
    </r>
    <r>
      <rPr>
        <sz val="13"/>
        <rFont val="メイリオ"/>
        <family val="3"/>
        <charset val="128"/>
      </rPr>
      <t>となったものの、</t>
    </r>
    <rPh sb="16" eb="17">
      <t>ゲン</t>
    </rPh>
    <phoneticPr fontId="40"/>
  </si>
  <si>
    <t>　・法人税割の一部国税化など税制改正の影響等により法人市民税が減と</t>
    <rPh sb="2" eb="5">
      <t>ホウジンゼイ</t>
    </rPh>
    <rPh sb="5" eb="6">
      <t>ワリ</t>
    </rPh>
    <rPh sb="7" eb="9">
      <t>イチブ</t>
    </rPh>
    <rPh sb="9" eb="11">
      <t>コクゼイ</t>
    </rPh>
    <rPh sb="11" eb="12">
      <t>カ</t>
    </rPh>
    <rPh sb="14" eb="16">
      <t>ゼイセイ</t>
    </rPh>
    <rPh sb="16" eb="18">
      <t>カイセイ</t>
    </rPh>
    <rPh sb="19" eb="21">
      <t>エイキョウ</t>
    </rPh>
    <rPh sb="21" eb="22">
      <t>トウ</t>
    </rPh>
    <rPh sb="25" eb="27">
      <t>ホウジン</t>
    </rPh>
    <rPh sb="27" eb="30">
      <t>シミンゼイ</t>
    </rPh>
    <rPh sb="31" eb="32">
      <t>ゲン</t>
    </rPh>
    <phoneticPr fontId="40"/>
  </si>
  <si>
    <r>
      <t>　・総額２兆147億円（前年度比＋2,579億円、＋14.7％）となっている。</t>
    </r>
    <r>
      <rPr>
        <sz val="11"/>
        <color theme="1"/>
        <rFont val="ＭＳ Ｐゴシック"/>
        <family val="2"/>
        <charset val="128"/>
        <scheme val="minor"/>
      </rPr>
      <t/>
    </r>
    <phoneticPr fontId="40"/>
  </si>
  <si>
    <r>
      <t>　・淀川左岸線（２期）事業費等の</t>
    </r>
    <r>
      <rPr>
        <b/>
        <sz val="13"/>
        <rFont val="メイリオ"/>
        <family val="3"/>
        <charset val="128"/>
      </rPr>
      <t>投資的経費が増</t>
    </r>
    <r>
      <rPr>
        <sz val="13"/>
        <rFont val="メイリオ"/>
        <family val="3"/>
        <charset val="128"/>
      </rPr>
      <t>となったことなどにより、</t>
    </r>
    <r>
      <rPr>
        <sz val="11"/>
        <color theme="1"/>
        <rFont val="ＭＳ Ｐゴシック"/>
        <family val="2"/>
        <charset val="128"/>
        <scheme val="minor"/>
      </rPr>
      <t/>
    </r>
    <rPh sb="2" eb="7">
      <t>ヨドガワサガンセン</t>
    </rPh>
    <rPh sb="9" eb="10">
      <t>キ</t>
    </rPh>
    <rPh sb="11" eb="13">
      <t>ジギョウ</t>
    </rPh>
    <rPh sb="13" eb="14">
      <t>ヒ</t>
    </rPh>
    <rPh sb="14" eb="15">
      <t>トウ</t>
    </rPh>
    <rPh sb="16" eb="21">
      <t>トウシテキケイヒ</t>
    </rPh>
    <rPh sb="22" eb="23">
      <t>ゾウ</t>
    </rPh>
    <phoneticPr fontId="40"/>
  </si>
  <si>
    <r>
      <t>　・元金償還額の減等により</t>
    </r>
    <r>
      <rPr>
        <b/>
        <sz val="13"/>
        <rFont val="メイリオ"/>
        <family val="3"/>
        <charset val="128"/>
      </rPr>
      <t>公債費が減</t>
    </r>
    <r>
      <rPr>
        <sz val="13"/>
        <rFont val="メイリオ"/>
        <family val="3"/>
        <charset val="128"/>
      </rPr>
      <t>となったものの、</t>
    </r>
    <rPh sb="2" eb="4">
      <t>ガンキン</t>
    </rPh>
    <rPh sb="4" eb="7">
      <t>ショウカンガク</t>
    </rPh>
    <rPh sb="8" eb="10">
      <t>ゲントウ</t>
    </rPh>
    <rPh sb="17" eb="18">
      <t>ゲン</t>
    </rPh>
    <phoneticPr fontId="40"/>
  </si>
  <si>
    <t>経常一般財源（地方税＋普通交付税等）＋臨時財政対策債＋減収補塡債（特例分）</t>
    <rPh sb="0" eb="2">
      <t>ケイジョウ</t>
    </rPh>
    <rPh sb="2" eb="4">
      <t>イッパン</t>
    </rPh>
    <rPh sb="4" eb="6">
      <t>ザイゲン</t>
    </rPh>
    <rPh sb="7" eb="9">
      <t>チホウ</t>
    </rPh>
    <rPh sb="9" eb="10">
      <t>ゼイ</t>
    </rPh>
    <rPh sb="11" eb="13">
      <t>フツウ</t>
    </rPh>
    <rPh sb="13" eb="15">
      <t>コウフ</t>
    </rPh>
    <rPh sb="15" eb="16">
      <t>ゼイ</t>
    </rPh>
    <rPh sb="16" eb="17">
      <t>トウ</t>
    </rPh>
    <rPh sb="19" eb="21">
      <t>リンジ</t>
    </rPh>
    <rPh sb="21" eb="23">
      <t>ザイセイ</t>
    </rPh>
    <rPh sb="23" eb="25">
      <t>タイサク</t>
    </rPh>
    <rPh sb="25" eb="26">
      <t>サイ</t>
    </rPh>
    <rPh sb="27" eb="29">
      <t>ゲンシュウ</t>
    </rPh>
    <rPh sb="29" eb="31">
      <t>ホテン</t>
    </rPh>
    <rPh sb="31" eb="32">
      <t>サイ</t>
    </rPh>
    <rPh sb="33" eb="35">
      <t>トクレイ</t>
    </rPh>
    <rPh sb="35" eb="36">
      <t>ブン</t>
    </rPh>
    <phoneticPr fontId="9"/>
  </si>
  <si>
    <t xml:space="preserve"> ×100</t>
    <phoneticPr fontId="9"/>
  </si>
  <si>
    <t xml:space="preserve">経常収支比率 ＝ </t>
    <rPh sb="0" eb="2">
      <t>ケイジョウ</t>
    </rPh>
    <rPh sb="2" eb="4">
      <t>シュウシ</t>
    </rPh>
    <rPh sb="4" eb="6">
      <t>ヒリツ</t>
    </rPh>
    <phoneticPr fontId="9"/>
  </si>
  <si>
    <t>を中心とする毎年経常的に収入される一般財源（経常一般財源）、臨時財政対策債及び減収補塡</t>
    <rPh sb="1" eb="3">
      <t>チュウシン</t>
    </rPh>
    <rPh sb="6" eb="8">
      <t>マイトシ</t>
    </rPh>
    <rPh sb="8" eb="10">
      <t>ケイジョウ</t>
    </rPh>
    <rPh sb="10" eb="11">
      <t>テキ</t>
    </rPh>
    <rPh sb="12" eb="14">
      <t>シュウニュウ</t>
    </rPh>
    <rPh sb="41" eb="43">
      <t>ホテン</t>
    </rPh>
    <phoneticPr fontId="9"/>
  </si>
  <si>
    <t>R元</t>
    <rPh sb="1" eb="2">
      <t>ガン</t>
    </rPh>
    <phoneticPr fontId="9"/>
  </si>
  <si>
    <t>R２</t>
    <phoneticPr fontId="9"/>
  </si>
  <si>
    <t>Ｈ８</t>
  </si>
  <si>
    <t>Ｈ９</t>
  </si>
  <si>
    <r>
      <t xml:space="preserve">　・新型コロナウイルス感染症対策関連経費として、特別定額給付金を支給
</t>
    </r>
    <r>
      <rPr>
        <sz val="11"/>
        <color theme="1"/>
        <rFont val="ＭＳ Ｐゴシック"/>
        <family val="2"/>
        <charset val="128"/>
        <scheme val="minor"/>
      </rPr>
      <t/>
    </r>
    <rPh sb="2" eb="4">
      <t>シンガタ</t>
    </rPh>
    <rPh sb="11" eb="14">
      <t>カンセンショウ</t>
    </rPh>
    <rPh sb="14" eb="16">
      <t>タイサク</t>
    </rPh>
    <rPh sb="16" eb="20">
      <t>カンレンケイヒ</t>
    </rPh>
    <rPh sb="24" eb="28">
      <t>トクベツテイガク</t>
    </rPh>
    <rPh sb="28" eb="31">
      <t>キュウフキン</t>
    </rPh>
    <phoneticPr fontId="40"/>
  </si>
  <si>
    <r>
      <t>　　したことなどに伴い</t>
    </r>
    <r>
      <rPr>
        <b/>
        <sz val="13"/>
        <rFont val="メイリオ"/>
        <family val="3"/>
        <charset val="128"/>
      </rPr>
      <t>補助費等が増</t>
    </r>
    <r>
      <rPr>
        <sz val="13"/>
        <rFont val="メイリオ"/>
        <family val="3"/>
        <charset val="128"/>
      </rPr>
      <t>となったことや、</t>
    </r>
    <r>
      <rPr>
        <sz val="11"/>
        <color theme="1"/>
        <rFont val="ＭＳ Ｐゴシック"/>
        <family val="2"/>
        <charset val="128"/>
        <scheme val="minor"/>
      </rPr>
      <t/>
    </r>
    <rPh sb="9" eb="10">
      <t>トモナ</t>
    </rPh>
    <rPh sb="14" eb="15">
      <t>トウ</t>
    </rPh>
    <rPh sb="16" eb="17">
      <t>ゾウ</t>
    </rPh>
    <phoneticPr fontId="40"/>
  </si>
  <si>
    <t>Ｈ10</t>
    <phoneticPr fontId="9"/>
  </si>
  <si>
    <t>Ｈ11</t>
  </si>
  <si>
    <t>Ｈ12</t>
  </si>
  <si>
    <t>Ｈ13</t>
  </si>
  <si>
    <t>Ｈ14</t>
  </si>
  <si>
    <t>Ｈ15</t>
  </si>
  <si>
    <t>Ｈ16</t>
  </si>
  <si>
    <t>Ｈ17</t>
  </si>
  <si>
    <t>Ｈ18</t>
  </si>
  <si>
    <t>Ｈ19</t>
  </si>
  <si>
    <t>Ｈ20</t>
  </si>
  <si>
    <t>Ｈ21</t>
  </si>
  <si>
    <t>Ｈ22</t>
  </si>
  <si>
    <t>Ｈ23</t>
  </si>
  <si>
    <t>Ｈ24</t>
  </si>
  <si>
    <t>Ｈ25</t>
  </si>
  <si>
    <t>Ｈ26</t>
  </si>
  <si>
    <t>Ｈ27</t>
  </si>
  <si>
    <t>Ｈ28</t>
  </si>
  <si>
    <t>Ｈ29</t>
  </si>
  <si>
    <t>Ｈ30</t>
  </si>
  <si>
    <r>
      <t>　　増等に伴い</t>
    </r>
    <r>
      <rPr>
        <b/>
        <sz val="13"/>
        <rFont val="メイリオ"/>
        <family val="3"/>
        <charset val="128"/>
      </rPr>
      <t>国庫支出金が増</t>
    </r>
    <r>
      <rPr>
        <sz val="13"/>
        <rFont val="メイリオ"/>
        <family val="3"/>
        <charset val="128"/>
      </rPr>
      <t>となったことなどにより、</t>
    </r>
    <rPh sb="2" eb="3">
      <t>ゾウ</t>
    </rPh>
    <rPh sb="3" eb="4">
      <t>トウ</t>
    </rPh>
    <rPh sb="5" eb="6">
      <t>トモナ</t>
    </rPh>
    <rPh sb="7" eb="9">
      <t>コッコ</t>
    </rPh>
    <rPh sb="9" eb="12">
      <t>シシュツキン</t>
    </rPh>
    <rPh sb="13" eb="14">
      <t>ゾウ</t>
    </rPh>
    <phoneticPr fontId="40"/>
  </si>
  <si>
    <t>　　伴う貸付金の減（△755億円、△89.2％）があるものの、新型コロナウイルス感染症対策関連</t>
    <rPh sb="31" eb="33">
      <t>シンガタ</t>
    </rPh>
    <rPh sb="40" eb="43">
      <t>カンセンショウ</t>
    </rPh>
    <rPh sb="43" eb="45">
      <t>タイサク</t>
    </rPh>
    <rPh sb="45" eb="47">
      <t>カンレン</t>
    </rPh>
    <phoneticPr fontId="9"/>
  </si>
  <si>
    <t>※上記は、国の新型コロナウイルス感染症緊急経済対策として創設された徴収猶予の
　特例の影響（市税計：△101億円）を含んでいる。</t>
    <rPh sb="1" eb="3">
      <t>ジョウキ</t>
    </rPh>
    <rPh sb="5" eb="6">
      <t>クニ</t>
    </rPh>
    <rPh sb="7" eb="9">
      <t>シンガタ</t>
    </rPh>
    <rPh sb="16" eb="19">
      <t>カンセンショウ</t>
    </rPh>
    <rPh sb="19" eb="21">
      <t>キンキュウ</t>
    </rPh>
    <rPh sb="21" eb="23">
      <t>ケイザイ</t>
    </rPh>
    <rPh sb="23" eb="25">
      <t>タイサク</t>
    </rPh>
    <rPh sb="28" eb="30">
      <t>ソウセツ</t>
    </rPh>
    <rPh sb="33" eb="35">
      <t>チョウシュウ</t>
    </rPh>
    <rPh sb="35" eb="37">
      <t>ユウヨ</t>
    </rPh>
    <rPh sb="40" eb="42">
      <t>トクレイ</t>
    </rPh>
    <rPh sb="43" eb="45">
      <t>エイキョウ</t>
    </rPh>
    <rPh sb="46" eb="48">
      <t>シゼイ</t>
    </rPh>
    <rPh sb="48" eb="49">
      <t>ケイ</t>
    </rPh>
    <rPh sb="54" eb="56">
      <t>オクエン</t>
    </rPh>
    <rPh sb="58" eb="59">
      <t>フク</t>
    </rPh>
    <phoneticPr fontId="9"/>
  </si>
  <si>
    <t>税制改正（法人税割の一部国税化）や企業収益の悪化などにより、△27.0%と
４年ぶりの減</t>
    <rPh sb="0" eb="4">
      <t>ゼイセイカイセイ</t>
    </rPh>
    <rPh sb="5" eb="8">
      <t>ホウジンゼイ</t>
    </rPh>
    <rPh sb="8" eb="9">
      <t>ワリ</t>
    </rPh>
    <rPh sb="10" eb="12">
      <t>イチブ</t>
    </rPh>
    <rPh sb="12" eb="14">
      <t>コクゼイ</t>
    </rPh>
    <rPh sb="14" eb="15">
      <t>カ</t>
    </rPh>
    <rPh sb="17" eb="19">
      <t>キギョウ</t>
    </rPh>
    <rPh sb="19" eb="21">
      <t>シュウエキ</t>
    </rPh>
    <rPh sb="22" eb="24">
      <t>アッカ</t>
    </rPh>
    <rPh sb="39" eb="40">
      <t>ネン</t>
    </rPh>
    <rPh sb="43" eb="44">
      <t>ゲン</t>
    </rPh>
    <phoneticPr fontId="17"/>
  </si>
  <si>
    <t>　　　１兆８，０２９億円</t>
    <phoneticPr fontId="9"/>
  </si>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</sst>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_ "/>
    <numFmt numFmtId="178" formatCode="#,##0.0;&quot;△ &quot;#,##0.0"/>
    <numFmt numFmtId="179" formatCode="#,##0;&quot;△ &quot;#,##0"/>
    <numFmt numFmtId="180" formatCode="0_ "/>
    <numFmt numFmtId="181" formatCode="0.00_ "/>
    <numFmt numFmtId="182" formatCode="#,##0.0_ "/>
    <numFmt numFmtId="183" formatCode="#,##0.0;[Red]\-#,##0.0"/>
    <numFmt numFmtId="184" formatCode="0.000_ "/>
    <numFmt numFmtId="185" formatCode="&quot;(&quot;#,##0.0&quot;)&quot;;&quot;&quot;\(&quot;△ &quot;#,##0.0&quot;)&quot;"/>
    <numFmt numFmtId="186" formatCode="#,##0;&quot;▲ &quot;#,##0"/>
    <numFmt numFmtId="187" formatCode="\(#,##0\)_ "/>
    <numFmt numFmtId="188" formatCode="#,##0_);\(#,##0\)"/>
    <numFmt numFmtId="189" formatCode="&quot;△&quot;\ #,000&quot;億&quot;&quot;円&quot;"/>
    <numFmt numFmtId="190" formatCode="0.0;&quot;△ &quot;0.0"/>
    <numFmt numFmtId="191" formatCode="0.0;&quot;▲ &quot;0.0"/>
    <numFmt numFmtId="192" formatCode="0.0%"/>
    <numFmt numFmtId="193" formatCode="#,##0_ ;[Red]\-#,##0\ "/>
    <numFmt numFmtId="194" formatCode="#,##0;&quot;△ &quot;#,##0;&quot;－&quot;"/>
    <numFmt numFmtId="195" formatCode="0.000"/>
  </numFmts>
  <fonts count="87">
    <font>
      <sz val="10.5"/>
      <name val="明朝体"/>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b/>
      <sz val="10.5"/>
      <name val="明朝体"/>
      <family val="3"/>
      <charset val="128"/>
    </font>
    <font>
      <sz val="6"/>
      <name val="明朝体"/>
      <family val="3"/>
      <charset val="128"/>
    </font>
    <font>
      <sz val="10.5"/>
      <name val="ＭＳ Ｐゴシック"/>
      <family val="3"/>
      <charset val="128"/>
    </font>
    <font>
      <sz val="11"/>
      <name val="ＭＳ Ｐゴシック"/>
      <family val="3"/>
      <charset val="128"/>
    </font>
    <font>
      <sz val="10.5"/>
      <name val="明朝体"/>
      <family val="3"/>
      <charset val="128"/>
    </font>
    <font>
      <sz val="10.5"/>
      <name val="ＭＳ Ｐ明朝"/>
      <family val="1"/>
      <charset val="128"/>
    </font>
    <font>
      <sz val="10"/>
      <name val="ＭＳ Ｐ明朝"/>
      <family val="1"/>
      <charset val="128"/>
    </font>
    <font>
      <sz val="9"/>
      <color indexed="81"/>
      <name val="ＭＳ Ｐゴシック"/>
      <family val="3"/>
      <charset val="128"/>
    </font>
    <font>
      <sz val="8"/>
      <name val="ＭＳ Ｐゴシック"/>
      <family val="3"/>
      <charset val="128"/>
    </font>
    <font>
      <sz val="6"/>
      <name val="ＭＳ Ｐゴシック"/>
      <family val="3"/>
      <charset val="128"/>
    </font>
    <font>
      <sz val="10"/>
      <name val="ＭＳ Ｐゴシック"/>
      <family val="3"/>
      <charset val="128"/>
    </font>
    <font>
      <sz val="9"/>
      <name val="HG丸ｺﾞｼｯｸM-PRO"/>
      <family val="3"/>
      <charset val="128"/>
    </font>
    <font>
      <sz val="12"/>
      <name val="HG丸ｺﾞｼｯｸM-PRO"/>
      <family val="3"/>
      <charset val="128"/>
    </font>
    <font>
      <sz val="11"/>
      <name val="HG丸ｺﾞｼｯｸM-PRO"/>
      <family val="3"/>
      <charset val="128"/>
    </font>
    <font>
      <sz val="12"/>
      <name val="ＭＳ Ｐゴシック"/>
      <family val="3"/>
      <charset val="128"/>
    </font>
    <font>
      <sz val="11"/>
      <color rgb="FFFF0000"/>
      <name val="ＭＳ Ｐゴシック"/>
      <family val="3"/>
      <charset val="128"/>
    </font>
    <font>
      <sz val="11"/>
      <color theme="1"/>
      <name val="ＭＳ Ｐゴシック"/>
      <family val="3"/>
      <charset val="128"/>
    </font>
    <font>
      <sz val="22"/>
      <name val="HG丸ｺﾞｼｯｸM-PRO"/>
      <family val="3"/>
      <charset val="128"/>
    </font>
    <font>
      <sz val="11"/>
      <name val="HG創英角ﾎﾟｯﾌﾟ体"/>
      <family val="3"/>
      <charset val="128"/>
    </font>
    <font>
      <b/>
      <sz val="16"/>
      <name val="HG創英角ﾎﾟｯﾌﾟ体"/>
      <family val="3"/>
      <charset val="128"/>
    </font>
    <font>
      <b/>
      <sz val="11"/>
      <name val="HG創英角ﾎﾟｯﾌﾟ体"/>
      <family val="3"/>
      <charset val="128"/>
    </font>
    <font>
      <sz val="7"/>
      <name val="ＭＳ Ｐゴシック"/>
      <family val="3"/>
      <charset val="128"/>
    </font>
    <font>
      <sz val="8"/>
      <name val="ＭＳ Ｐ明朝"/>
      <family val="1"/>
      <charset val="128"/>
    </font>
    <font>
      <sz val="12"/>
      <name val="ＭＳ 明朝"/>
      <family val="1"/>
      <charset val="128"/>
    </font>
    <font>
      <b/>
      <sz val="11"/>
      <color theme="1"/>
      <name val="メイリオ"/>
      <family val="3"/>
      <charset val="128"/>
    </font>
    <font>
      <sz val="11"/>
      <name val="ＭＳ 明朝"/>
      <family val="1"/>
      <charset val="128"/>
    </font>
    <font>
      <sz val="14"/>
      <name val="ＭＳ 明朝"/>
      <family val="1"/>
      <charset val="128"/>
    </font>
    <font>
      <sz val="14"/>
      <color indexed="10"/>
      <name val="ＭＳ 明朝"/>
      <family val="1"/>
      <charset val="128"/>
    </font>
    <font>
      <b/>
      <sz val="12"/>
      <name val="ＭＳ 明朝"/>
      <family val="1"/>
      <charset val="128"/>
    </font>
    <font>
      <sz val="11"/>
      <color theme="1"/>
      <name val="ＭＳ Ｐゴシック"/>
      <family val="2"/>
      <scheme val="minor"/>
    </font>
    <font>
      <sz val="8"/>
      <name val="明朝体"/>
      <family val="3"/>
      <charset val="128"/>
    </font>
    <font>
      <sz val="12"/>
      <name val="明朝体"/>
      <family val="3"/>
      <charset val="128"/>
    </font>
    <font>
      <sz val="12"/>
      <name val="HGP創英角ﾎﾟｯﾌﾟ体"/>
      <family val="3"/>
      <charset val="128"/>
    </font>
    <font>
      <sz val="6"/>
      <name val="ＭＳ 明朝"/>
      <family val="1"/>
      <charset val="128"/>
    </font>
    <font>
      <sz val="11"/>
      <color indexed="12"/>
      <name val="ＭＳ ゴシック"/>
      <family val="3"/>
      <charset val="128"/>
    </font>
    <font>
      <sz val="9"/>
      <name val="ＭＳ Ｐゴシック"/>
      <family val="3"/>
      <charset val="128"/>
    </font>
    <font>
      <sz val="10"/>
      <color indexed="12"/>
      <name val="ＭＳ Ｐゴシック"/>
      <family val="3"/>
      <charset val="128"/>
    </font>
    <font>
      <sz val="10"/>
      <color rgb="FF000000"/>
      <name val="ＭＳ Ｐゴシック"/>
      <family val="3"/>
      <charset val="128"/>
    </font>
    <font>
      <sz val="10"/>
      <color theme="0"/>
      <name val="ＭＳ Ｐゴシック"/>
      <family val="3"/>
      <charset val="128"/>
    </font>
    <font>
      <sz val="11"/>
      <color rgb="FF0000CC"/>
      <name val="ＭＳ 明朝"/>
      <family val="1"/>
      <charset val="128"/>
    </font>
    <font>
      <sz val="11"/>
      <color indexed="8"/>
      <name val="ＭＳ 明朝"/>
      <family val="1"/>
      <charset val="128"/>
    </font>
    <font>
      <sz val="11"/>
      <color indexed="10"/>
      <name val="ＭＳ 明朝"/>
      <family val="1"/>
      <charset val="128"/>
    </font>
    <font>
      <sz val="22"/>
      <name val="メイリオ"/>
      <family val="3"/>
      <charset val="128"/>
    </font>
    <font>
      <sz val="11"/>
      <name val="メイリオ"/>
      <family val="3"/>
      <charset val="128"/>
    </font>
    <font>
      <sz val="10.5"/>
      <color indexed="9"/>
      <name val="明朝体"/>
      <family val="3"/>
      <charset val="128"/>
    </font>
    <font>
      <sz val="10"/>
      <name val="FO明朝体"/>
      <family val="1"/>
      <charset val="128"/>
    </font>
    <font>
      <sz val="10.5"/>
      <name val="FO明朝体"/>
      <family val="1"/>
      <charset val="128"/>
    </font>
    <font>
      <sz val="12"/>
      <name val="FO明朝体"/>
      <family val="1"/>
      <charset val="128"/>
    </font>
    <font>
      <sz val="12"/>
      <color indexed="30"/>
      <name val="FO明朝体"/>
      <family val="1"/>
      <charset val="128"/>
    </font>
    <font>
      <sz val="10"/>
      <name val="メイリオ"/>
      <family val="3"/>
      <charset val="128"/>
    </font>
    <font>
      <sz val="10"/>
      <color theme="1"/>
      <name val="メイリオ"/>
      <family val="3"/>
      <charset val="128"/>
    </font>
    <font>
      <i/>
      <sz val="10"/>
      <name val="メイリオ"/>
      <family val="3"/>
      <charset val="128"/>
    </font>
    <font>
      <sz val="12"/>
      <name val="メイリオ"/>
      <family val="3"/>
      <charset val="128"/>
    </font>
    <font>
      <sz val="14"/>
      <color theme="1"/>
      <name val="メイリオ"/>
      <family val="3"/>
      <charset val="128"/>
    </font>
    <font>
      <sz val="14"/>
      <name val="メイリオ"/>
      <family val="3"/>
      <charset val="128"/>
    </font>
    <font>
      <i/>
      <sz val="14"/>
      <name val="メイリオ"/>
      <family val="3"/>
      <charset val="128"/>
    </font>
    <font>
      <u/>
      <sz val="18"/>
      <name val="メイリオ"/>
      <family val="3"/>
      <charset val="128"/>
    </font>
    <font>
      <sz val="18"/>
      <name val="メイリオ"/>
      <family val="3"/>
      <charset val="128"/>
    </font>
    <font>
      <u/>
      <sz val="20"/>
      <name val="メイリオ"/>
      <family val="3"/>
      <charset val="128"/>
    </font>
    <font>
      <sz val="10.5"/>
      <name val="メイリオ"/>
      <family val="3"/>
      <charset val="128"/>
    </font>
    <font>
      <sz val="8"/>
      <color theme="1"/>
      <name val="メイリオ"/>
      <family val="3"/>
      <charset val="128"/>
    </font>
    <font>
      <i/>
      <sz val="10"/>
      <color theme="1"/>
      <name val="メイリオ"/>
      <family val="3"/>
      <charset val="128"/>
    </font>
    <font>
      <b/>
      <sz val="16"/>
      <name val="メイリオ"/>
      <family val="3"/>
      <charset val="128"/>
    </font>
    <font>
      <sz val="12"/>
      <color rgb="FFFF0000"/>
      <name val="HG創英角ﾎﾟｯﾌﾟ体"/>
      <family val="3"/>
      <charset val="128"/>
    </font>
    <font>
      <sz val="12"/>
      <color theme="1"/>
      <name val="HG丸ｺﾞｼｯｸM-PRO"/>
      <family val="3"/>
      <charset val="128"/>
    </font>
    <font>
      <sz val="12"/>
      <color rgb="FFFF0000"/>
      <name val="メイリオ"/>
      <family val="3"/>
      <charset val="128"/>
    </font>
    <font>
      <b/>
      <sz val="12"/>
      <name val="メイリオ"/>
      <family val="3"/>
      <charset val="128"/>
    </font>
    <font>
      <sz val="12"/>
      <name val="HG創英角ﾎﾟｯﾌﾟ体"/>
      <family val="3"/>
      <charset val="128"/>
    </font>
    <font>
      <sz val="12"/>
      <color rgb="FFFF0000"/>
      <name val="HG丸ｺﾞｼｯｸM-PRO"/>
      <family val="3"/>
      <charset val="128"/>
    </font>
    <font>
      <sz val="13"/>
      <name val="メイリオ"/>
      <family val="3"/>
      <charset val="128"/>
    </font>
    <font>
      <b/>
      <sz val="13"/>
      <name val="メイリオ"/>
      <family val="3"/>
      <charset val="128"/>
    </font>
    <font>
      <sz val="11"/>
      <color theme="1"/>
      <name val="メイリオ"/>
      <family val="3"/>
      <charset val="128"/>
    </font>
    <font>
      <b/>
      <sz val="14"/>
      <color theme="1"/>
      <name val="メイリオ"/>
      <family val="3"/>
      <charset val="128"/>
    </font>
    <font>
      <sz val="12"/>
      <color theme="1"/>
      <name val="メイリオ"/>
      <family val="3"/>
      <charset val="128"/>
    </font>
    <font>
      <b/>
      <i/>
      <sz val="10"/>
      <color theme="1"/>
      <name val="メイリオ"/>
      <family val="3"/>
      <charset val="128"/>
    </font>
    <font>
      <b/>
      <u/>
      <sz val="14"/>
      <color theme="1"/>
      <name val="メイリオ"/>
      <family val="3"/>
      <charset val="128"/>
    </font>
    <font>
      <sz val="20"/>
      <color theme="1"/>
      <name val="メイリオ"/>
      <family val="3"/>
      <charset val="128"/>
    </font>
    <font>
      <b/>
      <sz val="12"/>
      <color rgb="FFFF0000"/>
      <name val="メイリオ"/>
      <family val="3"/>
      <charset val="128"/>
    </font>
    <font>
      <b/>
      <sz val="12"/>
      <color theme="1"/>
      <name val="メイリオ"/>
      <family val="3"/>
      <charset val="128"/>
    </font>
  </fonts>
  <fills count="8">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theme="0"/>
        <bgColor indexed="64"/>
      </patternFill>
    </fill>
    <fill>
      <patternFill patternType="solid">
        <fgColor indexed="62"/>
        <bgColor indexed="64"/>
      </patternFill>
    </fill>
    <fill>
      <patternFill patternType="solid">
        <fgColor rgb="FF66FFCC"/>
        <bgColor indexed="64"/>
      </patternFill>
    </fill>
    <fill>
      <patternFill patternType="solid">
        <fgColor rgb="FFFFFF00"/>
        <bgColor indexed="64"/>
      </patternFill>
    </fill>
  </fills>
  <borders count="82">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bottom/>
      <diagonal/>
    </border>
    <border>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s>
  <cellStyleXfs count="18">
    <xf numFmtId="0" fontId="0" fillId="0" borderId="0"/>
    <xf numFmtId="9" fontId="8" fillId="0" borderId="0" applyFont="0" applyFill="0" applyBorder="0" applyAlignment="0" applyProtection="0"/>
    <xf numFmtId="38" fontId="8" fillId="0" borderId="0" applyFont="0" applyFill="0" applyBorder="0" applyAlignment="0" applyProtection="0"/>
    <xf numFmtId="0" fontId="12" fillId="0" borderId="0"/>
    <xf numFmtId="0" fontId="11" fillId="0" borderId="0"/>
    <xf numFmtId="38" fontId="11" fillId="0" borderId="0" applyFont="0" applyFill="0" applyBorder="0" applyAlignment="0" applyProtection="0"/>
    <xf numFmtId="0" fontId="12" fillId="0" borderId="0"/>
    <xf numFmtId="0" fontId="7" fillId="0" borderId="0"/>
    <xf numFmtId="0" fontId="31" fillId="0" borderId="0"/>
    <xf numFmtId="0" fontId="4" fillId="0" borderId="0"/>
    <xf numFmtId="0" fontId="2" fillId="0" borderId="0"/>
    <xf numFmtId="38" fontId="2" fillId="0" borderId="0" applyFont="0" applyFill="0" applyBorder="0" applyAlignment="0" applyProtection="0"/>
    <xf numFmtId="0" fontId="2" fillId="0" borderId="0"/>
    <xf numFmtId="0" fontId="2" fillId="0" borderId="0"/>
    <xf numFmtId="0" fontId="37" fillId="0" borderId="0"/>
    <xf numFmtId="38" fontId="37" fillId="0" borderId="0" applyFont="0" applyFill="0" applyBorder="0" applyAlignment="0" applyProtection="0">
      <alignment vertical="center"/>
    </xf>
    <xf numFmtId="9" fontId="37" fillId="0" borderId="0" applyFont="0" applyFill="0" applyBorder="0" applyAlignment="0" applyProtection="0">
      <alignment vertical="center"/>
    </xf>
    <xf numFmtId="9" fontId="2" fillId="0" borderId="0" applyFont="0" applyFill="0" applyBorder="0" applyAlignment="0" applyProtection="0"/>
  </cellStyleXfs>
  <cellXfs count="728">
    <xf numFmtId="0" fontId="0" fillId="0" borderId="0" xfId="0"/>
    <xf numFmtId="38" fontId="10" fillId="0" borderId="0" xfId="2" applyFont="1"/>
    <xf numFmtId="38" fontId="10" fillId="0" borderId="0" xfId="2" applyFont="1" applyAlignment="1">
      <alignment horizontal="center"/>
    </xf>
    <xf numFmtId="0" fontId="13" fillId="2" borderId="0" xfId="0" applyNumberFormat="1" applyFont="1" applyFill="1"/>
    <xf numFmtId="0" fontId="13" fillId="2" borderId="0" xfId="0" applyFont="1" applyFill="1"/>
    <xf numFmtId="0" fontId="14" fillId="2" borderId="0" xfId="0" applyNumberFormat="1" applyFont="1" applyFill="1" applyAlignment="1">
      <alignment vertical="center"/>
    </xf>
    <xf numFmtId="0" fontId="13" fillId="2" borderId="2" xfId="0" applyNumberFormat="1" applyFont="1" applyFill="1" applyBorder="1" applyAlignment="1">
      <alignment vertical="center"/>
    </xf>
    <xf numFmtId="0" fontId="13" fillId="2" borderId="3" xfId="0" applyNumberFormat="1" applyFont="1" applyFill="1" applyBorder="1" applyAlignment="1">
      <alignment vertical="center"/>
    </xf>
    <xf numFmtId="0" fontId="13" fillId="2" borderId="4" xfId="0" applyNumberFormat="1" applyFont="1" applyFill="1" applyBorder="1" applyAlignment="1">
      <alignment vertical="center"/>
    </xf>
    <xf numFmtId="0" fontId="13" fillId="2" borderId="5" xfId="0" applyNumberFormat="1" applyFont="1" applyFill="1" applyBorder="1" applyAlignment="1">
      <alignment horizontal="right" vertical="center"/>
    </xf>
    <xf numFmtId="0" fontId="13" fillId="2" borderId="6" xfId="0" applyNumberFormat="1" applyFont="1" applyFill="1" applyBorder="1" applyAlignment="1">
      <alignment vertical="center"/>
    </xf>
    <xf numFmtId="0" fontId="14" fillId="2" borderId="5" xfId="0" applyNumberFormat="1" applyFont="1" applyFill="1" applyBorder="1" applyAlignment="1">
      <alignment vertical="center"/>
    </xf>
    <xf numFmtId="0" fontId="13" fillId="2" borderId="7" xfId="0" applyNumberFormat="1" applyFont="1" applyFill="1" applyBorder="1" applyAlignment="1">
      <alignment vertical="center"/>
    </xf>
    <xf numFmtId="0" fontId="14" fillId="2" borderId="7" xfId="0" applyNumberFormat="1" applyFont="1" applyFill="1" applyBorder="1" applyAlignment="1">
      <alignment horizontal="distributed" vertical="center" justifyLastLine="1"/>
    </xf>
    <xf numFmtId="0" fontId="14" fillId="2" borderId="8" xfId="0" applyNumberFormat="1" applyFont="1" applyFill="1" applyBorder="1" applyAlignment="1">
      <alignment vertical="center"/>
    </xf>
    <xf numFmtId="0" fontId="13" fillId="2" borderId="8" xfId="0" applyNumberFormat="1" applyFont="1" applyFill="1" applyBorder="1" applyAlignment="1">
      <alignment vertical="center"/>
    </xf>
    <xf numFmtId="0" fontId="14" fillId="2" borderId="9" xfId="0" applyNumberFormat="1" applyFont="1" applyFill="1" applyBorder="1" applyAlignment="1">
      <alignment vertical="center"/>
    </xf>
    <xf numFmtId="176" fontId="14" fillId="2" borderId="9" xfId="0" applyNumberFormat="1" applyFont="1" applyFill="1" applyBorder="1" applyAlignment="1">
      <alignment vertical="center"/>
    </xf>
    <xf numFmtId="182" fontId="14" fillId="2" borderId="9" xfId="0" applyNumberFormat="1" applyFont="1" applyFill="1" applyBorder="1" applyAlignment="1">
      <alignment vertical="center"/>
    </xf>
    <xf numFmtId="176" fontId="14" fillId="2" borderId="3" xfId="0" applyNumberFormat="1" applyFont="1" applyFill="1" applyBorder="1" applyAlignment="1">
      <alignment horizontal="right" vertical="center"/>
    </xf>
    <xf numFmtId="177" fontId="14" fillId="2" borderId="4" xfId="0" applyNumberFormat="1" applyFont="1" applyFill="1" applyBorder="1" applyAlignment="1">
      <alignment vertical="center"/>
    </xf>
    <xf numFmtId="180" fontId="14" fillId="2" borderId="4" xfId="0" applyNumberFormat="1" applyFont="1" applyFill="1" applyBorder="1" applyAlignment="1">
      <alignment vertical="center"/>
    </xf>
    <xf numFmtId="176" fontId="14" fillId="2" borderId="4" xfId="0" applyNumberFormat="1" applyFont="1" applyFill="1" applyBorder="1" applyAlignment="1">
      <alignment vertical="center"/>
    </xf>
    <xf numFmtId="176" fontId="14" fillId="2" borderId="8" xfId="0" applyNumberFormat="1" applyFont="1" applyFill="1" applyBorder="1" applyAlignment="1">
      <alignment vertical="center"/>
    </xf>
    <xf numFmtId="182" fontId="14" fillId="2" borderId="8" xfId="0" applyNumberFormat="1" applyFont="1" applyFill="1" applyBorder="1" applyAlignment="1">
      <alignment vertical="center"/>
    </xf>
    <xf numFmtId="176" fontId="14" fillId="2" borderId="10" xfId="0" applyNumberFormat="1" applyFont="1" applyFill="1" applyBorder="1" applyAlignment="1">
      <alignment horizontal="right" vertical="center"/>
    </xf>
    <xf numFmtId="177" fontId="14" fillId="2" borderId="11" xfId="0" applyNumberFormat="1" applyFont="1" applyFill="1" applyBorder="1" applyAlignment="1">
      <alignment vertical="center"/>
    </xf>
    <xf numFmtId="180" fontId="14" fillId="2" borderId="11" xfId="0" applyNumberFormat="1" applyFont="1" applyFill="1" applyBorder="1" applyAlignment="1">
      <alignment vertical="center"/>
    </xf>
    <xf numFmtId="0" fontId="13" fillId="2" borderId="0" xfId="0" applyNumberFormat="1" applyFont="1" applyFill="1" applyAlignment="1">
      <alignment horizontal="center"/>
    </xf>
    <xf numFmtId="0" fontId="13" fillId="2" borderId="0" xfId="0" applyNumberFormat="1" applyFont="1" applyFill="1" applyAlignment="1">
      <alignment horizontal="right"/>
    </xf>
    <xf numFmtId="3" fontId="13" fillId="2" borderId="0" xfId="0" applyNumberFormat="1" applyFont="1" applyFill="1"/>
    <xf numFmtId="38" fontId="13" fillId="2" borderId="0" xfId="2" applyFont="1" applyFill="1" applyAlignment="1"/>
    <xf numFmtId="38" fontId="12" fillId="0" borderId="0" xfId="2" applyFont="1" applyAlignment="1"/>
    <xf numFmtId="183" fontId="10" fillId="0" borderId="0" xfId="2" applyNumberFormat="1" applyFont="1"/>
    <xf numFmtId="38" fontId="10" fillId="0" borderId="0" xfId="2" applyFont="1" applyAlignment="1">
      <alignment wrapText="1"/>
    </xf>
    <xf numFmtId="38" fontId="18" fillId="0" borderId="0" xfId="2" applyFont="1" applyAlignment="1">
      <alignment horizontal="center"/>
    </xf>
    <xf numFmtId="0" fontId="14" fillId="2" borderId="7" xfId="0" applyNumberFormat="1" applyFont="1" applyFill="1" applyBorder="1" applyAlignment="1">
      <alignment horizontal="center" vertical="center"/>
    </xf>
    <xf numFmtId="0" fontId="14" fillId="2" borderId="8" xfId="0" applyNumberFormat="1" applyFont="1" applyFill="1" applyBorder="1" applyAlignment="1">
      <alignment horizontal="center" vertical="center"/>
    </xf>
    <xf numFmtId="0" fontId="14" fillId="2" borderId="2" xfId="0" applyNumberFormat="1" applyFont="1" applyFill="1" applyBorder="1" applyAlignment="1">
      <alignment horizontal="center" vertical="center"/>
    </xf>
    <xf numFmtId="38" fontId="10" fillId="0" borderId="0" xfId="2" applyFont="1" applyFill="1"/>
    <xf numFmtId="0" fontId="13" fillId="0" borderId="0" xfId="0" applyNumberFormat="1" applyFont="1" applyFill="1"/>
    <xf numFmtId="0" fontId="14" fillId="0" borderId="8" xfId="0" applyNumberFormat="1" applyFont="1" applyFill="1" applyBorder="1" applyAlignment="1">
      <alignment horizontal="left" vertical="center"/>
    </xf>
    <xf numFmtId="176" fontId="14" fillId="0" borderId="8" xfId="0" applyNumberFormat="1" applyFont="1" applyFill="1" applyBorder="1" applyAlignment="1">
      <alignment vertical="center"/>
    </xf>
    <xf numFmtId="182" fontId="14" fillId="0" borderId="8" xfId="0" applyNumberFormat="1" applyFont="1" applyFill="1" applyBorder="1" applyAlignment="1">
      <alignment vertical="center"/>
    </xf>
    <xf numFmtId="176" fontId="14" fillId="0" borderId="10" xfId="0" applyNumberFormat="1" applyFont="1" applyFill="1" applyBorder="1" applyAlignment="1">
      <alignment horizontal="right" vertical="center"/>
    </xf>
    <xf numFmtId="177" fontId="14" fillId="0" borderId="11" xfId="0" applyNumberFormat="1" applyFont="1" applyFill="1" applyBorder="1" applyAlignment="1">
      <alignment vertical="center"/>
    </xf>
    <xf numFmtId="180" fontId="14" fillId="0" borderId="11" xfId="0" applyNumberFormat="1" applyFont="1" applyFill="1" applyBorder="1" applyAlignment="1">
      <alignment vertical="center"/>
    </xf>
    <xf numFmtId="0" fontId="21" fillId="2" borderId="0" xfId="4" applyFont="1" applyFill="1"/>
    <xf numFmtId="0" fontId="13" fillId="2" borderId="0" xfId="6" applyFont="1" applyFill="1"/>
    <xf numFmtId="0" fontId="14" fillId="2" borderId="0" xfId="0" applyNumberFormat="1" applyFont="1" applyFill="1" applyAlignment="1">
      <alignment horizontal="right" vertical="center"/>
    </xf>
    <xf numFmtId="0" fontId="26" fillId="0" borderId="0" xfId="0" applyFont="1"/>
    <xf numFmtId="0" fontId="19" fillId="0" borderId="0" xfId="0" applyFont="1"/>
    <xf numFmtId="0" fontId="13" fillId="2" borderId="5" xfId="0" applyNumberFormat="1" applyFont="1" applyFill="1" applyBorder="1" applyAlignment="1">
      <alignment vertical="center"/>
    </xf>
    <xf numFmtId="0" fontId="14" fillId="2" borderId="1" xfId="0" applyNumberFormat="1" applyFont="1" applyFill="1" applyBorder="1" applyAlignment="1">
      <alignment horizontal="distributed" vertical="center" justifyLastLine="1"/>
    </xf>
    <xf numFmtId="0" fontId="13" fillId="2" borderId="10" xfId="0" applyNumberFormat="1" applyFont="1" applyFill="1" applyBorder="1" applyAlignment="1">
      <alignment vertical="center"/>
    </xf>
    <xf numFmtId="177" fontId="14" fillId="2" borderId="3" xfId="0" applyNumberFormat="1" applyFont="1" applyFill="1" applyBorder="1" applyAlignment="1">
      <alignment vertical="center"/>
    </xf>
    <xf numFmtId="177" fontId="14" fillId="2" borderId="10" xfId="0" applyNumberFormat="1" applyFont="1" applyFill="1" applyBorder="1" applyAlignment="1">
      <alignment vertical="center"/>
    </xf>
    <xf numFmtId="177" fontId="14" fillId="0" borderId="10" xfId="0" applyNumberFormat="1" applyFont="1" applyFill="1" applyBorder="1" applyAlignment="1">
      <alignment vertical="center"/>
    </xf>
    <xf numFmtId="0" fontId="13" fillId="2" borderId="22" xfId="0" applyFont="1" applyFill="1" applyBorder="1"/>
    <xf numFmtId="0" fontId="14" fillId="2" borderId="23" xfId="0" applyNumberFormat="1" applyFont="1" applyFill="1" applyBorder="1" applyAlignment="1">
      <alignment horizontal="distributed" vertical="center" justifyLastLine="1"/>
    </xf>
    <xf numFmtId="176" fontId="14" fillId="2" borderId="31" xfId="0" applyNumberFormat="1" applyFont="1" applyFill="1" applyBorder="1"/>
    <xf numFmtId="0" fontId="13" fillId="2" borderId="30" xfId="0" applyFont="1" applyFill="1" applyBorder="1" applyAlignment="1">
      <alignment horizontal="right"/>
    </xf>
    <xf numFmtId="176" fontId="14" fillId="0" borderId="5" xfId="0" applyNumberFormat="1" applyFont="1" applyFill="1" applyBorder="1" applyAlignment="1">
      <alignment horizontal="right" vertical="center"/>
    </xf>
    <xf numFmtId="0" fontId="13" fillId="2" borderId="10" xfId="0" applyNumberFormat="1" applyFont="1" applyFill="1" applyBorder="1"/>
    <xf numFmtId="177" fontId="14" fillId="0" borderId="11" xfId="0" applyNumberFormat="1" applyFont="1" applyFill="1" applyBorder="1" applyAlignment="1">
      <alignment horizontal="right" vertical="center"/>
    </xf>
    <xf numFmtId="0" fontId="30" fillId="2" borderId="0" xfId="0" applyNumberFormat="1" applyFont="1" applyFill="1" applyAlignment="1">
      <alignment horizontal="left"/>
    </xf>
    <xf numFmtId="187" fontId="14" fillId="0" borderId="7" xfId="0" applyNumberFormat="1" applyFont="1" applyFill="1" applyBorder="1" applyAlignment="1">
      <alignment vertical="center"/>
    </xf>
    <xf numFmtId="176" fontId="14" fillId="0" borderId="1" xfId="0" applyNumberFormat="1" applyFont="1" applyFill="1" applyBorder="1" applyAlignment="1">
      <alignment horizontal="right" vertical="center"/>
    </xf>
    <xf numFmtId="177" fontId="14" fillId="0" borderId="20" xfId="0" applyNumberFormat="1" applyFont="1" applyFill="1" applyBorder="1" applyAlignment="1">
      <alignment horizontal="right" vertical="center"/>
    </xf>
    <xf numFmtId="188" fontId="14" fillId="0" borderId="8" xfId="0" applyNumberFormat="1" applyFont="1" applyFill="1" applyBorder="1" applyAlignment="1">
      <alignment vertical="center"/>
    </xf>
    <xf numFmtId="0" fontId="7" fillId="0" borderId="0" xfId="7"/>
    <xf numFmtId="0" fontId="7" fillId="0" borderId="12" xfId="7" applyBorder="1" applyAlignment="1">
      <alignment horizontal="distributed" vertical="center"/>
    </xf>
    <xf numFmtId="0" fontId="7" fillId="0" borderId="2" xfId="7" applyBorder="1" applyAlignment="1">
      <alignment horizontal="center" vertical="center"/>
    </xf>
    <xf numFmtId="0" fontId="7" fillId="0" borderId="9" xfId="7" applyFont="1" applyBorder="1" applyAlignment="1">
      <alignment horizontal="center"/>
    </xf>
    <xf numFmtId="0" fontId="7" fillId="0" borderId="0" xfId="7" applyAlignment="1"/>
    <xf numFmtId="0" fontId="7" fillId="0" borderId="9" xfId="7" applyBorder="1" applyAlignment="1">
      <alignment horizontal="distributed" vertical="center"/>
    </xf>
    <xf numFmtId="179" fontId="7" fillId="0" borderId="9" xfId="7" applyNumberFormat="1" applyBorder="1" applyAlignment="1">
      <alignment horizontal="right" vertical="center"/>
    </xf>
    <xf numFmtId="179" fontId="7" fillId="0" borderId="9" xfId="7" applyNumberFormat="1" applyBorder="1" applyAlignment="1"/>
    <xf numFmtId="179" fontId="7" fillId="0" borderId="9" xfId="7" applyNumberFormat="1" applyFill="1" applyBorder="1" applyAlignment="1"/>
    <xf numFmtId="0" fontId="7" fillId="0" borderId="0" xfId="7" applyBorder="1" applyAlignment="1">
      <alignment horizontal="distributed" vertical="center"/>
    </xf>
    <xf numFmtId="179" fontId="7" fillId="0" borderId="0" xfId="7" applyNumberFormat="1" applyBorder="1" applyAlignment="1">
      <alignment horizontal="right" vertical="center"/>
    </xf>
    <xf numFmtId="0" fontId="7" fillId="0" borderId="2" xfId="7" applyFont="1" applyBorder="1" applyAlignment="1">
      <alignment horizontal="center" vertical="center"/>
    </xf>
    <xf numFmtId="181" fontId="7" fillId="0" borderId="9" xfId="7" applyNumberFormat="1" applyBorder="1" applyAlignment="1">
      <alignment horizontal="right" vertical="center"/>
    </xf>
    <xf numFmtId="177" fontId="7" fillId="0" borderId="9" xfId="7" applyNumberFormat="1" applyBorder="1" applyAlignment="1">
      <alignment horizontal="right" vertical="center"/>
    </xf>
    <xf numFmtId="177" fontId="23" fillId="0" borderId="9" xfId="7" applyNumberFormat="1" applyFont="1" applyBorder="1" applyAlignment="1">
      <alignment horizontal="right" vertical="center"/>
    </xf>
    <xf numFmtId="177" fontId="7" fillId="0" borderId="9" xfId="7" applyNumberFormat="1" applyFont="1" applyBorder="1" applyAlignment="1">
      <alignment horizontal="right" vertical="center"/>
    </xf>
    <xf numFmtId="0" fontId="16" fillId="0" borderId="13" xfId="7" applyFont="1" applyFill="1" applyBorder="1" applyAlignment="1">
      <alignment vertical="center"/>
    </xf>
    <xf numFmtId="0" fontId="16" fillId="0" borderId="0" xfId="7" applyFont="1"/>
    <xf numFmtId="0" fontId="16" fillId="0" borderId="12" xfId="7" applyFont="1" applyBorder="1" applyAlignment="1">
      <alignment horizontal="distributed" vertical="center"/>
    </xf>
    <xf numFmtId="0" fontId="16" fillId="0" borderId="9" xfId="7" applyFont="1" applyBorder="1" applyAlignment="1">
      <alignment horizontal="distributed" vertical="center"/>
    </xf>
    <xf numFmtId="179" fontId="16" fillId="0" borderId="9" xfId="7" applyNumberFormat="1" applyFont="1" applyBorder="1" applyAlignment="1">
      <alignment horizontal="right" vertical="center"/>
    </xf>
    <xf numFmtId="0" fontId="18" fillId="4" borderId="13" xfId="7" applyFont="1" applyFill="1" applyBorder="1" applyAlignment="1">
      <alignment vertical="center"/>
    </xf>
    <xf numFmtId="0" fontId="16" fillId="4" borderId="13" xfId="7" applyFont="1" applyFill="1" applyBorder="1" applyAlignment="1">
      <alignment vertical="center"/>
    </xf>
    <xf numFmtId="0" fontId="16" fillId="4" borderId="0" xfId="7" applyFont="1" applyFill="1"/>
    <xf numFmtId="0" fontId="7" fillId="4" borderId="0" xfId="7" applyFill="1"/>
    <xf numFmtId="0" fontId="16" fillId="4" borderId="12" xfId="7" applyFont="1" applyFill="1" applyBorder="1" applyAlignment="1">
      <alignment horizontal="distributed" vertical="center"/>
    </xf>
    <xf numFmtId="0" fontId="18" fillId="4" borderId="9" xfId="7" applyFont="1" applyFill="1" applyBorder="1" applyAlignment="1">
      <alignment horizontal="distributed" vertical="center"/>
    </xf>
    <xf numFmtId="179" fontId="22" fillId="4" borderId="9" xfId="7" applyNumberFormat="1" applyFont="1" applyFill="1" applyBorder="1" applyAlignment="1">
      <alignment horizontal="right" vertical="center"/>
    </xf>
    <xf numFmtId="0" fontId="18" fillId="4" borderId="0" xfId="7" applyFont="1" applyFill="1" applyBorder="1" applyAlignment="1">
      <alignment horizontal="left" vertical="center"/>
    </xf>
    <xf numFmtId="179" fontId="22" fillId="4" borderId="0" xfId="7" applyNumberFormat="1" applyFont="1" applyFill="1" applyBorder="1" applyAlignment="1">
      <alignment horizontal="right" vertical="center"/>
    </xf>
    <xf numFmtId="0" fontId="18" fillId="0" borderId="0" xfId="7" applyFont="1" applyBorder="1" applyAlignment="1">
      <alignment horizontal="distributed" vertical="center"/>
    </xf>
    <xf numFmtId="179" fontId="22" fillId="0" borderId="0" xfId="7" applyNumberFormat="1" applyFont="1" applyBorder="1" applyAlignment="1">
      <alignment horizontal="right" vertical="center"/>
    </xf>
    <xf numFmtId="0" fontId="7" fillId="0" borderId="13" xfId="7" applyFill="1" applyBorder="1" applyAlignment="1">
      <alignment horizontal="left" vertical="center"/>
    </xf>
    <xf numFmtId="177" fontId="7" fillId="0" borderId="9" xfId="7" applyNumberFormat="1" applyFill="1" applyBorder="1" applyAlignment="1">
      <alignment horizontal="right" vertical="center"/>
    </xf>
    <xf numFmtId="179" fontId="7" fillId="0" borderId="0" xfId="7" applyNumberFormat="1" applyFill="1" applyBorder="1" applyAlignment="1">
      <alignment horizontal="right" vertical="center"/>
    </xf>
    <xf numFmtId="0" fontId="6" fillId="0" borderId="9" xfId="7" applyFont="1" applyBorder="1" applyAlignment="1">
      <alignment horizontal="center"/>
    </xf>
    <xf numFmtId="0" fontId="6" fillId="0" borderId="2" xfId="7" applyFont="1" applyBorder="1" applyAlignment="1">
      <alignment horizontal="center" vertical="center"/>
    </xf>
    <xf numFmtId="177" fontId="24" fillId="0" borderId="9" xfId="7" applyNumberFormat="1" applyFont="1" applyBorder="1" applyAlignment="1">
      <alignment horizontal="right" vertical="center"/>
    </xf>
    <xf numFmtId="176" fontId="14" fillId="0" borderId="8" xfId="0" applyNumberFormat="1" applyFont="1" applyFill="1" applyBorder="1" applyAlignment="1">
      <alignment vertical="center" shrinkToFit="1"/>
    </xf>
    <xf numFmtId="182" fontId="14" fillId="0" borderId="8" xfId="0" applyNumberFormat="1" applyFont="1" applyFill="1" applyBorder="1" applyAlignment="1">
      <alignment vertical="center" shrinkToFit="1"/>
    </xf>
    <xf numFmtId="176" fontId="14" fillId="0" borderId="10" xfId="0" applyNumberFormat="1" applyFont="1" applyFill="1" applyBorder="1" applyAlignment="1">
      <alignment horizontal="right" vertical="center" shrinkToFit="1"/>
    </xf>
    <xf numFmtId="177" fontId="14" fillId="0" borderId="11" xfId="0" applyNumberFormat="1" applyFont="1" applyFill="1" applyBorder="1" applyAlignment="1">
      <alignment vertical="center" shrinkToFit="1"/>
    </xf>
    <xf numFmtId="0" fontId="5" fillId="0" borderId="9" xfId="7" applyFont="1" applyBorder="1" applyAlignment="1">
      <alignment horizontal="center"/>
    </xf>
    <xf numFmtId="0" fontId="32" fillId="0" borderId="0" xfId="3" applyNumberFormat="1" applyFont="1" applyFill="1" applyBorder="1" applyAlignment="1">
      <alignment horizontal="left" vertical="center" wrapText="1"/>
    </xf>
    <xf numFmtId="0" fontId="4" fillId="0" borderId="9" xfId="7" applyFont="1" applyBorder="1" applyAlignment="1">
      <alignment horizontal="center"/>
    </xf>
    <xf numFmtId="0" fontId="4" fillId="0" borderId="2" xfId="7" applyFont="1" applyBorder="1" applyAlignment="1">
      <alignment horizontal="center" vertical="center"/>
    </xf>
    <xf numFmtId="179" fontId="7" fillId="0" borderId="9" xfId="7" applyNumberFormat="1" applyFill="1" applyBorder="1" applyAlignment="1">
      <alignment horizontal="right" vertical="center"/>
    </xf>
    <xf numFmtId="181" fontId="7" fillId="0" borderId="9" xfId="7" applyNumberFormat="1" applyFill="1" applyBorder="1" applyAlignment="1">
      <alignment horizontal="right" vertical="center"/>
    </xf>
    <xf numFmtId="177" fontId="7" fillId="0" borderId="9" xfId="7" applyNumberFormat="1" applyFont="1" applyFill="1" applyBorder="1" applyAlignment="1">
      <alignment horizontal="right" vertical="center"/>
    </xf>
    <xf numFmtId="177" fontId="24" fillId="0" borderId="9" xfId="7" applyNumberFormat="1" applyFont="1" applyFill="1" applyBorder="1" applyAlignment="1">
      <alignment horizontal="right" vertical="center"/>
    </xf>
    <xf numFmtId="0" fontId="7" fillId="0" borderId="0" xfId="7" applyFill="1"/>
    <xf numFmtId="179" fontId="16" fillId="0" borderId="9" xfId="7" applyNumberFormat="1" applyFont="1" applyFill="1" applyBorder="1" applyAlignment="1">
      <alignment horizontal="right" vertical="center"/>
    </xf>
    <xf numFmtId="179" fontId="22" fillId="0" borderId="9" xfId="7" applyNumberFormat="1" applyFont="1" applyFill="1" applyBorder="1" applyAlignment="1">
      <alignment horizontal="right" vertical="center"/>
    </xf>
    <xf numFmtId="0" fontId="3" fillId="0" borderId="9" xfId="7" applyFont="1" applyBorder="1" applyAlignment="1">
      <alignment horizontal="center"/>
    </xf>
    <xf numFmtId="38" fontId="10" fillId="0" borderId="0" xfId="2" applyFont="1" applyAlignment="1">
      <alignment horizontal="right"/>
    </xf>
    <xf numFmtId="0" fontId="2" fillId="0" borderId="9" xfId="7" applyFont="1" applyBorder="1" applyAlignment="1">
      <alignment horizontal="center"/>
    </xf>
    <xf numFmtId="0" fontId="33" fillId="0" borderId="0" xfId="10" applyFont="1" applyAlignment="1">
      <alignment vertical="center"/>
    </xf>
    <xf numFmtId="186" fontId="35" fillId="0" borderId="0" xfId="10" applyNumberFormat="1" applyFont="1" applyBorder="1" applyAlignment="1">
      <alignment vertical="center"/>
    </xf>
    <xf numFmtId="0" fontId="34" fillId="0" borderId="0" xfId="10" applyFont="1" applyBorder="1" applyAlignment="1">
      <alignment horizontal="distributed" vertical="center"/>
    </xf>
    <xf numFmtId="0" fontId="2" fillId="0" borderId="0" xfId="12"/>
    <xf numFmtId="0" fontId="2" fillId="0" borderId="12" xfId="12" applyBorder="1" applyAlignment="1">
      <alignment horizontal="distributed" vertical="center"/>
    </xf>
    <xf numFmtId="0" fontId="2" fillId="0" borderId="2" xfId="12" applyBorder="1" applyAlignment="1">
      <alignment horizontal="center" vertical="center"/>
    </xf>
    <xf numFmtId="0" fontId="2" fillId="0" borderId="9" xfId="12" applyFont="1" applyBorder="1" applyAlignment="1">
      <alignment horizontal="center"/>
    </xf>
    <xf numFmtId="0" fontId="2" fillId="0" borderId="0" xfId="12" applyAlignment="1"/>
    <xf numFmtId="0" fontId="2" fillId="0" borderId="9" xfId="12" applyBorder="1" applyAlignment="1">
      <alignment horizontal="distributed" vertical="center"/>
    </xf>
    <xf numFmtId="179" fontId="2" fillId="0" borderId="9" xfId="12" applyNumberFormat="1" applyBorder="1" applyAlignment="1">
      <alignment horizontal="right" vertical="center"/>
    </xf>
    <xf numFmtId="179" fontId="2" fillId="0" borderId="9" xfId="12" applyNumberFormat="1" applyBorder="1" applyAlignment="1"/>
    <xf numFmtId="179" fontId="2" fillId="0" borderId="9" xfId="12" applyNumberFormat="1" applyFill="1" applyBorder="1" applyAlignment="1"/>
    <xf numFmtId="179" fontId="2" fillId="0" borderId="9" xfId="12" applyNumberFormat="1" applyFont="1" applyFill="1" applyBorder="1" applyAlignment="1">
      <alignment horizontal="right" vertical="center"/>
    </xf>
    <xf numFmtId="179" fontId="2" fillId="0" borderId="0" xfId="12" applyNumberFormat="1"/>
    <xf numFmtId="0" fontId="16" fillId="0" borderId="0" xfId="12" applyFont="1" applyFill="1" applyBorder="1" applyAlignment="1">
      <alignment horizontal="distributed" vertical="center"/>
    </xf>
    <xf numFmtId="179" fontId="2" fillId="0" borderId="9" xfId="12" applyNumberFormat="1" applyFont="1" applyBorder="1" applyAlignment="1">
      <alignment horizontal="right" vertical="center"/>
    </xf>
    <xf numFmtId="179" fontId="2" fillId="0" borderId="0" xfId="12" applyNumberFormat="1" applyBorder="1" applyAlignment="1">
      <alignment horizontal="right" vertical="center"/>
    </xf>
    <xf numFmtId="179" fontId="2" fillId="0" borderId="14" xfId="12" applyNumberFormat="1" applyFill="1" applyBorder="1" applyAlignment="1">
      <alignment horizontal="right" vertical="center"/>
    </xf>
    <xf numFmtId="0" fontId="2" fillId="0" borderId="2" xfId="12" applyFont="1" applyBorder="1" applyAlignment="1">
      <alignment horizontal="center" vertical="center"/>
    </xf>
    <xf numFmtId="181" fontId="2" fillId="0" borderId="9" xfId="12" applyNumberFormat="1" applyBorder="1" applyAlignment="1">
      <alignment horizontal="right" vertical="center"/>
    </xf>
    <xf numFmtId="184" fontId="2" fillId="0" borderId="9" xfId="12" applyNumberFormat="1" applyBorder="1" applyAlignment="1">
      <alignment horizontal="right" vertical="center"/>
    </xf>
    <xf numFmtId="177" fontId="2" fillId="0" borderId="9" xfId="12" applyNumberFormat="1" applyBorder="1" applyAlignment="1">
      <alignment horizontal="right" vertical="center"/>
    </xf>
    <xf numFmtId="0" fontId="16" fillId="0" borderId="0" xfId="12" applyFont="1"/>
    <xf numFmtId="177" fontId="2" fillId="0" borderId="9" xfId="12" applyNumberFormat="1" applyFill="1" applyBorder="1" applyAlignment="1">
      <alignment horizontal="right" vertical="center"/>
    </xf>
    <xf numFmtId="177" fontId="2" fillId="0" borderId="2" xfId="12" applyNumberFormat="1" applyBorder="1" applyAlignment="1">
      <alignment horizontal="right" vertical="center"/>
    </xf>
    <xf numFmtId="177" fontId="2" fillId="0" borderId="8" xfId="12" applyNumberFormat="1" applyBorder="1" applyAlignment="1">
      <alignment horizontal="right" vertical="center"/>
    </xf>
    <xf numFmtId="177" fontId="24" fillId="0" borderId="9" xfId="12" applyNumberFormat="1" applyFont="1" applyBorder="1" applyAlignment="1">
      <alignment horizontal="right" vertical="center"/>
    </xf>
    <xf numFmtId="0" fontId="23" fillId="0" borderId="0" xfId="12" applyFont="1"/>
    <xf numFmtId="0" fontId="2" fillId="0" borderId="0" xfId="12" applyFont="1"/>
    <xf numFmtId="0" fontId="16" fillId="0" borderId="12" xfId="12" applyFont="1" applyBorder="1" applyAlignment="1">
      <alignment horizontal="distributed" vertical="center"/>
    </xf>
    <xf numFmtId="0" fontId="16" fillId="0" borderId="2" xfId="12" applyFont="1" applyBorder="1" applyAlignment="1">
      <alignment horizontal="center" vertical="center"/>
    </xf>
    <xf numFmtId="0" fontId="16" fillId="0" borderId="9" xfId="12" applyFont="1" applyBorder="1" applyAlignment="1">
      <alignment horizontal="distributed" vertical="center" wrapText="1"/>
    </xf>
    <xf numFmtId="179" fontId="16" fillId="0" borderId="9" xfId="12" applyNumberFormat="1" applyFont="1" applyBorder="1" applyAlignment="1">
      <alignment vertical="center"/>
    </xf>
    <xf numFmtId="0" fontId="16" fillId="0" borderId="9" xfId="12" applyFont="1" applyBorder="1" applyAlignment="1">
      <alignment horizontal="distributed" vertical="center"/>
    </xf>
    <xf numFmtId="0" fontId="2" fillId="0" borderId="0" xfId="12" applyBorder="1"/>
    <xf numFmtId="0" fontId="16" fillId="0" borderId="15" xfId="12" applyFont="1" applyBorder="1" applyAlignment="1">
      <alignment horizontal="distributed" vertical="center"/>
    </xf>
    <xf numFmtId="179" fontId="16" fillId="0" borderId="15" xfId="12" applyNumberFormat="1" applyFont="1" applyBorder="1" applyAlignment="1">
      <alignment vertical="center"/>
    </xf>
    <xf numFmtId="179" fontId="2" fillId="0" borderId="0" xfId="12" applyNumberFormat="1" applyFill="1" applyBorder="1" applyAlignment="1">
      <alignment horizontal="right" vertical="center"/>
    </xf>
    <xf numFmtId="181" fontId="2" fillId="0" borderId="33" xfId="12" applyNumberFormat="1" applyBorder="1" applyAlignment="1">
      <alignment horizontal="right" vertical="center"/>
    </xf>
    <xf numFmtId="0" fontId="16" fillId="2" borderId="0" xfId="13" applyFont="1" applyFill="1"/>
    <xf numFmtId="0" fontId="2" fillId="2" borderId="0" xfId="13" applyFont="1" applyFill="1"/>
    <xf numFmtId="0" fontId="2" fillId="0" borderId="0" xfId="13" applyFont="1"/>
    <xf numFmtId="0" fontId="16" fillId="2" borderId="28" xfId="13" applyFont="1" applyFill="1" applyBorder="1" applyAlignment="1">
      <alignment horizontal="distributed" vertical="center"/>
    </xf>
    <xf numFmtId="0" fontId="16" fillId="2" borderId="29" xfId="13" applyFont="1" applyFill="1" applyBorder="1" applyAlignment="1">
      <alignment horizontal="center" vertical="center"/>
    </xf>
    <xf numFmtId="0" fontId="29" fillId="2" borderId="29" xfId="13" applyFont="1" applyFill="1" applyBorder="1" applyAlignment="1">
      <alignment horizontal="distributed" vertical="center" wrapText="1"/>
    </xf>
    <xf numFmtId="179" fontId="16" fillId="2" borderId="29" xfId="13" applyNumberFormat="1" applyFont="1" applyFill="1" applyBorder="1" applyAlignment="1">
      <alignment vertical="center"/>
    </xf>
    <xf numFmtId="0" fontId="29" fillId="2" borderId="29" xfId="13" applyFont="1" applyFill="1" applyBorder="1" applyAlignment="1">
      <alignment horizontal="distributed" vertical="center"/>
    </xf>
    <xf numFmtId="179" fontId="16" fillId="0" borderId="29" xfId="13" applyNumberFormat="1" applyFont="1" applyFill="1" applyBorder="1" applyAlignment="1">
      <alignment vertical="center"/>
    </xf>
    <xf numFmtId="0" fontId="2" fillId="0" borderId="0" xfId="13" applyFont="1" applyBorder="1"/>
    <xf numFmtId="179" fontId="2" fillId="2" borderId="0" xfId="13" applyNumberFormat="1" applyFont="1" applyFill="1" applyBorder="1" applyAlignment="1">
      <alignment horizontal="right" vertical="center"/>
    </xf>
    <xf numFmtId="179" fontId="2" fillId="0" borderId="0" xfId="13" applyNumberFormat="1" applyFont="1" applyFill="1" applyBorder="1" applyAlignment="1">
      <alignment horizontal="right" vertical="center"/>
    </xf>
    <xf numFmtId="179" fontId="2" fillId="2" borderId="29" xfId="13" applyNumberFormat="1" applyFont="1" applyFill="1" applyBorder="1" applyAlignment="1">
      <alignment vertical="center"/>
    </xf>
    <xf numFmtId="0" fontId="21" fillId="0" borderId="0" xfId="10" applyFont="1"/>
    <xf numFmtId="179" fontId="2" fillId="0" borderId="8" xfId="12" applyNumberFormat="1" applyFill="1" applyBorder="1" applyAlignment="1">
      <alignment vertical="center"/>
    </xf>
    <xf numFmtId="179" fontId="2" fillId="0" borderId="9" xfId="7" applyNumberFormat="1" applyFont="1" applyBorder="1" applyAlignment="1">
      <alignment horizontal="right" vertical="center"/>
    </xf>
    <xf numFmtId="179" fontId="2" fillId="0" borderId="9" xfId="7" applyNumberFormat="1" applyFont="1" applyFill="1" applyBorder="1" applyAlignment="1">
      <alignment horizontal="right" vertical="center"/>
    </xf>
    <xf numFmtId="0" fontId="2" fillId="0" borderId="9" xfId="12" applyFill="1" applyBorder="1" applyAlignment="1">
      <alignment horizontal="distributed" vertical="center"/>
    </xf>
    <xf numFmtId="179" fontId="2" fillId="0" borderId="9" xfId="12" applyNumberFormat="1" applyFill="1" applyBorder="1" applyAlignment="1">
      <alignment horizontal="right" vertical="center"/>
    </xf>
    <xf numFmtId="177" fontId="2" fillId="0" borderId="9" xfId="12" applyNumberFormat="1" applyFont="1" applyBorder="1" applyAlignment="1">
      <alignment horizontal="right" vertical="center"/>
    </xf>
    <xf numFmtId="177" fontId="2" fillId="0" borderId="33" xfId="12" applyNumberFormat="1" applyFont="1" applyBorder="1" applyAlignment="1">
      <alignment horizontal="right" vertical="center"/>
    </xf>
    <xf numFmtId="0" fontId="34" fillId="0" borderId="9" xfId="10" applyFont="1" applyBorder="1" applyAlignment="1">
      <alignment horizontal="distributed" vertical="center"/>
    </xf>
    <xf numFmtId="0" fontId="42" fillId="0" borderId="0" xfId="10" applyFont="1" applyBorder="1" applyAlignment="1">
      <alignment vertical="center"/>
    </xf>
    <xf numFmtId="0" fontId="31" fillId="0" borderId="9" xfId="10" applyFont="1" applyBorder="1" applyAlignment="1">
      <alignment horizontal="distributed" vertical="center" wrapText="1"/>
    </xf>
    <xf numFmtId="0" fontId="2" fillId="0" borderId="0" xfId="10"/>
    <xf numFmtId="0" fontId="43" fillId="0" borderId="9" xfId="10" applyFont="1" applyBorder="1" applyAlignment="1">
      <alignment horizontal="center" vertical="top" wrapText="1"/>
    </xf>
    <xf numFmtId="0" fontId="43" fillId="0" borderId="9" xfId="10" applyFont="1" applyBorder="1" applyAlignment="1"/>
    <xf numFmtId="0" fontId="43" fillId="0" borderId="8" xfId="10" applyFont="1" applyBorder="1" applyAlignment="1"/>
    <xf numFmtId="192" fontId="43" fillId="0" borderId="9" xfId="10" applyNumberFormat="1" applyFont="1" applyBorder="1"/>
    <xf numFmtId="0" fontId="18" fillId="0" borderId="9" xfId="10" applyFont="1" applyBorder="1" applyAlignment="1">
      <alignment horizontal="center"/>
    </xf>
    <xf numFmtId="192" fontId="18" fillId="0" borderId="9" xfId="10" applyNumberFormat="1" applyFont="1" applyBorder="1"/>
    <xf numFmtId="192" fontId="44" fillId="0" borderId="9" xfId="10" applyNumberFormat="1" applyFont="1" applyBorder="1"/>
    <xf numFmtId="0" fontId="18" fillId="0" borderId="9" xfId="10" applyFont="1" applyBorder="1" applyAlignment="1">
      <alignment horizontal="center" wrapText="1"/>
    </xf>
    <xf numFmtId="192" fontId="45" fillId="0" borderId="9" xfId="10" applyNumberFormat="1" applyFont="1" applyFill="1" applyBorder="1"/>
    <xf numFmtId="10" fontId="18" fillId="0" borderId="9" xfId="10" applyNumberFormat="1" applyFont="1" applyBorder="1"/>
    <xf numFmtId="192" fontId="46" fillId="0" borderId="9" xfId="10" applyNumberFormat="1" applyFont="1" applyBorder="1"/>
    <xf numFmtId="0" fontId="21" fillId="0" borderId="0" xfId="10" applyFont="1" applyFill="1"/>
    <xf numFmtId="0" fontId="38" fillId="0" borderId="10" xfId="0" applyFont="1" applyFill="1" applyBorder="1" applyAlignment="1">
      <alignment vertical="distributed" wrapText="1"/>
    </xf>
    <xf numFmtId="0" fontId="38" fillId="0" borderId="13" xfId="0" applyFont="1" applyFill="1" applyBorder="1" applyAlignment="1">
      <alignment vertical="distributed" wrapText="1"/>
    </xf>
    <xf numFmtId="0" fontId="38" fillId="0" borderId="11" xfId="0" applyFont="1" applyFill="1" applyBorder="1" applyAlignment="1">
      <alignment vertical="distributed" wrapText="1"/>
    </xf>
    <xf numFmtId="193" fontId="14" fillId="0" borderId="11" xfId="2" applyNumberFormat="1" applyFont="1" applyFill="1" applyBorder="1" applyAlignment="1">
      <alignment vertical="center"/>
    </xf>
    <xf numFmtId="176" fontId="14" fillId="0" borderId="11" xfId="0" applyNumberFormat="1" applyFont="1" applyFill="1" applyBorder="1" applyAlignment="1">
      <alignment vertical="center"/>
    </xf>
    <xf numFmtId="176" fontId="14" fillId="2" borderId="31" xfId="0" applyNumberFormat="1" applyFont="1" applyFill="1" applyBorder="1" applyAlignment="1">
      <alignment vertical="center"/>
    </xf>
    <xf numFmtId="176" fontId="14" fillId="0" borderId="31" xfId="0" applyNumberFormat="1" applyFont="1" applyFill="1" applyBorder="1" applyAlignment="1">
      <alignment vertical="center"/>
    </xf>
    <xf numFmtId="176" fontId="14" fillId="2" borderId="31" xfId="0" applyNumberFormat="1" applyFont="1" applyFill="1" applyBorder="1" applyAlignment="1">
      <alignment vertical="center" shrinkToFit="1"/>
    </xf>
    <xf numFmtId="0" fontId="2" fillId="0" borderId="2" xfId="7" applyFont="1" applyBorder="1" applyAlignment="1">
      <alignment horizontal="center" vertical="center"/>
    </xf>
    <xf numFmtId="0" fontId="33" fillId="0" borderId="9" xfId="10" applyFont="1" applyBorder="1" applyAlignment="1">
      <alignment horizontal="center" vertical="center" shrinkToFit="1"/>
    </xf>
    <xf numFmtId="0" fontId="33" fillId="0" borderId="9" xfId="10" applyFont="1" applyBorder="1" applyAlignment="1">
      <alignment horizontal="center" vertical="center" wrapText="1" shrinkToFit="1"/>
    </xf>
    <xf numFmtId="0" fontId="47" fillId="0" borderId="9" xfId="10" applyFont="1" applyBorder="1" applyAlignment="1">
      <alignment horizontal="center" vertical="center" wrapText="1" shrinkToFit="1"/>
    </xf>
    <xf numFmtId="186" fontId="33" fillId="0" borderId="9" xfId="10" applyNumberFormat="1" applyFont="1" applyBorder="1" applyAlignment="1">
      <alignment vertical="center"/>
    </xf>
    <xf numFmtId="38" fontId="48" fillId="0" borderId="9" xfId="11" applyFont="1" applyBorder="1" applyAlignment="1">
      <alignment vertical="center"/>
    </xf>
    <xf numFmtId="186" fontId="33" fillId="0" borderId="9" xfId="10" applyNumberFormat="1" applyFont="1" applyFill="1" applyBorder="1" applyAlignment="1">
      <alignment vertical="center"/>
    </xf>
    <xf numFmtId="186" fontId="47" fillId="0" borderId="9" xfId="10" applyNumberFormat="1" applyFont="1" applyBorder="1" applyAlignment="1">
      <alignment horizontal="right" vertical="center" wrapText="1" shrinkToFit="1"/>
    </xf>
    <xf numFmtId="186" fontId="49" fillId="0" borderId="9" xfId="10" applyNumberFormat="1" applyFont="1" applyBorder="1" applyAlignment="1">
      <alignment vertical="center"/>
    </xf>
    <xf numFmtId="186" fontId="35" fillId="0" borderId="0" xfId="10" applyNumberFormat="1" applyFont="1" applyFill="1" applyBorder="1" applyAlignment="1">
      <alignment vertical="center"/>
    </xf>
    <xf numFmtId="179" fontId="2" fillId="0" borderId="8" xfId="12" applyNumberFormat="1" applyFill="1" applyBorder="1" applyAlignment="1">
      <alignment vertical="center"/>
    </xf>
    <xf numFmtId="176" fontId="14" fillId="0" borderId="31" xfId="0" applyNumberFormat="1" applyFont="1" applyFill="1" applyBorder="1" applyAlignment="1">
      <alignment vertical="center" shrinkToFit="1"/>
    </xf>
    <xf numFmtId="0" fontId="7" fillId="0" borderId="1" xfId="7" applyBorder="1"/>
    <xf numFmtId="0" fontId="43" fillId="0" borderId="9" xfId="10" applyFont="1" applyBorder="1"/>
    <xf numFmtId="0" fontId="43" fillId="0" borderId="8" xfId="10" applyFont="1" applyBorder="1"/>
    <xf numFmtId="192" fontId="45" fillId="0" borderId="9" xfId="10" applyNumberFormat="1" applyFont="1" applyBorder="1"/>
    <xf numFmtId="0" fontId="43" fillId="0" borderId="9" xfId="10" applyFont="1" applyBorder="1"/>
    <xf numFmtId="0" fontId="21" fillId="0" borderId="0" xfId="0" applyFont="1"/>
    <xf numFmtId="0" fontId="0" fillId="0" borderId="0" xfId="0" applyNumberFormat="1"/>
    <xf numFmtId="0" fontId="52" fillId="5" borderId="0" xfId="0" applyFont="1" applyFill="1"/>
    <xf numFmtId="181" fontId="53" fillId="0" borderId="48" xfId="0" applyNumberFormat="1" applyFont="1" applyFill="1" applyBorder="1" applyAlignment="1">
      <alignment vertical="center"/>
    </xf>
    <xf numFmtId="181" fontId="53" fillId="0" borderId="47" xfId="0" applyNumberFormat="1" applyFont="1" applyFill="1" applyBorder="1" applyAlignment="1">
      <alignment vertical="center"/>
    </xf>
    <xf numFmtId="181" fontId="53" fillId="0" borderId="66" xfId="0" applyNumberFormat="1" applyFont="1" applyFill="1" applyBorder="1" applyAlignment="1">
      <alignment vertical="center"/>
    </xf>
    <xf numFmtId="38" fontId="53" fillId="0" borderId="67" xfId="2" applyFont="1" applyBorder="1" applyAlignment="1">
      <alignment vertical="center"/>
    </xf>
    <xf numFmtId="176" fontId="53" fillId="0" borderId="42" xfId="0" applyNumberFormat="1" applyFont="1" applyBorder="1" applyAlignment="1">
      <alignment vertical="center"/>
    </xf>
    <xf numFmtId="176" fontId="53" fillId="0" borderId="8" xfId="0" applyNumberFormat="1" applyFont="1" applyBorder="1" applyAlignment="1">
      <alignment vertical="center"/>
    </xf>
    <xf numFmtId="176" fontId="53" fillId="6" borderId="54" xfId="0" applyNumberFormat="1" applyFont="1" applyFill="1" applyBorder="1" applyAlignment="1">
      <alignment vertical="center"/>
    </xf>
    <xf numFmtId="38" fontId="53" fillId="0" borderId="10" xfId="2" applyFont="1" applyBorder="1" applyAlignment="1">
      <alignment vertical="center"/>
    </xf>
    <xf numFmtId="181" fontId="53" fillId="0" borderId="43" xfId="0" applyNumberFormat="1" applyFont="1" applyFill="1" applyBorder="1" applyAlignment="1">
      <alignment vertical="center"/>
    </xf>
    <xf numFmtId="181" fontId="53" fillId="0" borderId="9" xfId="0" applyNumberFormat="1" applyFont="1" applyFill="1" applyBorder="1" applyAlignment="1">
      <alignment vertical="center"/>
    </xf>
    <xf numFmtId="181" fontId="53" fillId="0" borderId="55" xfId="0" applyNumberFormat="1" applyFont="1" applyFill="1" applyBorder="1" applyAlignment="1">
      <alignment vertical="center"/>
    </xf>
    <xf numFmtId="38" fontId="53" fillId="0" borderId="3" xfId="2" applyFont="1" applyBorder="1" applyAlignment="1">
      <alignment vertical="center"/>
    </xf>
    <xf numFmtId="176" fontId="53" fillId="0" borderId="43" xfId="0" applyNumberFormat="1" applyFont="1" applyBorder="1" applyAlignment="1">
      <alignment vertical="center"/>
    </xf>
    <xf numFmtId="176" fontId="53" fillId="0" borderId="9" xfId="0" applyNumberFormat="1" applyFont="1" applyBorder="1" applyAlignment="1">
      <alignment vertical="center"/>
    </xf>
    <xf numFmtId="176" fontId="53" fillId="7" borderId="9" xfId="0" applyNumberFormat="1" applyFont="1" applyFill="1" applyBorder="1" applyAlignment="1">
      <alignment vertical="center"/>
    </xf>
    <xf numFmtId="176" fontId="53" fillId="0" borderId="55" xfId="0" applyNumberFormat="1" applyFont="1" applyFill="1" applyBorder="1" applyAlignment="1">
      <alignment vertical="center"/>
    </xf>
    <xf numFmtId="181" fontId="53" fillId="0" borderId="45" xfId="0" applyNumberFormat="1" applyFont="1" applyFill="1" applyBorder="1" applyAlignment="1">
      <alignment vertical="center"/>
    </xf>
    <xf numFmtId="181" fontId="53" fillId="0" borderId="2" xfId="0" applyNumberFormat="1" applyFont="1" applyFill="1" applyBorder="1" applyAlignment="1">
      <alignment vertical="center"/>
    </xf>
    <xf numFmtId="181" fontId="53" fillId="0" borderId="57" xfId="0" applyNumberFormat="1" applyFont="1" applyFill="1" applyBorder="1" applyAlignment="1">
      <alignment vertical="center"/>
    </xf>
    <xf numFmtId="38" fontId="53" fillId="0" borderId="5" xfId="2" applyFont="1" applyBorder="1" applyAlignment="1">
      <alignment vertical="center"/>
    </xf>
    <xf numFmtId="176" fontId="53" fillId="0" borderId="43" xfId="0" applyNumberFormat="1" applyFont="1" applyFill="1" applyBorder="1" applyAlignment="1">
      <alignment vertical="center"/>
    </xf>
    <xf numFmtId="176" fontId="53" fillId="0" borderId="9" xfId="0" applyNumberFormat="1" applyFont="1" applyFill="1" applyBorder="1" applyAlignment="1">
      <alignment vertical="center"/>
    </xf>
    <xf numFmtId="176" fontId="53" fillId="0" borderId="32" xfId="0" applyNumberFormat="1" applyFont="1" applyFill="1" applyBorder="1" applyAlignment="1">
      <alignment vertical="center"/>
    </xf>
    <xf numFmtId="176" fontId="53" fillId="7" borderId="11" xfId="0" applyNumberFormat="1" applyFont="1" applyFill="1" applyBorder="1" applyAlignment="1">
      <alignment vertical="center"/>
    </xf>
    <xf numFmtId="176" fontId="53" fillId="0" borderId="11" xfId="0" applyNumberFormat="1" applyFont="1" applyFill="1" applyBorder="1" applyAlignment="1">
      <alignment vertical="center"/>
    </xf>
    <xf numFmtId="176" fontId="53" fillId="0" borderId="54" xfId="0" applyNumberFormat="1" applyFont="1" applyFill="1" applyBorder="1" applyAlignment="1">
      <alignment vertical="center"/>
    </xf>
    <xf numFmtId="176" fontId="53" fillId="0" borderId="42" xfId="0" applyNumberFormat="1" applyFont="1" applyFill="1" applyBorder="1" applyAlignment="1">
      <alignment vertical="center"/>
    </xf>
    <xf numFmtId="176" fontId="53" fillId="0" borderId="8" xfId="0" applyNumberFormat="1" applyFont="1" applyFill="1" applyBorder="1" applyAlignment="1">
      <alignment vertical="center"/>
    </xf>
    <xf numFmtId="176" fontId="53" fillId="0" borderId="44" xfId="0" applyNumberFormat="1" applyFont="1" applyFill="1" applyBorder="1" applyAlignment="1">
      <alignment vertical="center"/>
    </xf>
    <xf numFmtId="176" fontId="53" fillId="0" borderId="4" xfId="0" applyNumberFormat="1" applyFont="1" applyFill="1" applyBorder="1" applyAlignment="1">
      <alignment vertical="center"/>
    </xf>
    <xf numFmtId="181" fontId="53" fillId="0" borderId="72" xfId="0" applyNumberFormat="1" applyFont="1" applyFill="1" applyBorder="1" applyAlignment="1">
      <alignment vertical="center"/>
    </xf>
    <xf numFmtId="181" fontId="53" fillId="0" borderId="74" xfId="0" applyNumberFormat="1" applyFont="1" applyFill="1" applyBorder="1" applyAlignment="1">
      <alignment vertical="center"/>
    </xf>
    <xf numFmtId="181" fontId="53" fillId="0" borderId="75" xfId="0" applyNumberFormat="1" applyFont="1" applyFill="1" applyBorder="1" applyAlignment="1">
      <alignment vertical="center"/>
    </xf>
    <xf numFmtId="176" fontId="53" fillId="2" borderId="54" xfId="0" applyNumberFormat="1" applyFont="1" applyFill="1" applyBorder="1" applyAlignment="1">
      <alignment vertical="center"/>
    </xf>
    <xf numFmtId="181" fontId="53" fillId="0" borderId="44" xfId="0" applyNumberFormat="1" applyFont="1" applyFill="1" applyBorder="1" applyAlignment="1">
      <alignment vertical="center"/>
    </xf>
    <xf numFmtId="181" fontId="53" fillId="0" borderId="4" xfId="0" applyNumberFormat="1" applyFont="1" applyFill="1" applyBorder="1" applyAlignment="1">
      <alignment vertical="center"/>
    </xf>
    <xf numFmtId="176" fontId="53" fillId="2" borderId="4" xfId="0" applyNumberFormat="1" applyFont="1" applyFill="1" applyBorder="1" applyAlignment="1">
      <alignment vertical="center"/>
    </xf>
    <xf numFmtId="176" fontId="53" fillId="2" borderId="55" xfId="0" applyNumberFormat="1" applyFont="1" applyFill="1" applyBorder="1" applyAlignment="1">
      <alignment vertical="center"/>
    </xf>
    <xf numFmtId="181" fontId="53" fillId="0" borderId="6" xfId="0" applyNumberFormat="1" applyFont="1" applyFill="1" applyBorder="1" applyAlignment="1">
      <alignment vertical="center"/>
    </xf>
    <xf numFmtId="181" fontId="53" fillId="2" borderId="6" xfId="0" applyNumberFormat="1" applyFont="1" applyFill="1" applyBorder="1" applyAlignment="1">
      <alignment vertical="center"/>
    </xf>
    <xf numFmtId="181" fontId="53" fillId="2" borderId="57" xfId="0" applyNumberFormat="1" applyFont="1" applyFill="1" applyBorder="1" applyAlignment="1">
      <alignment vertical="center"/>
    </xf>
    <xf numFmtId="181" fontId="53" fillId="0" borderId="52" xfId="0" applyNumberFormat="1" applyFont="1" applyFill="1" applyBorder="1" applyAlignment="1">
      <alignment vertical="center"/>
    </xf>
    <xf numFmtId="181" fontId="53" fillId="0" borderId="72" xfId="0" applyNumberFormat="1" applyFont="1" applyBorder="1" applyAlignment="1">
      <alignment vertical="center"/>
    </xf>
    <xf numFmtId="181" fontId="53" fillId="0" borderId="6" xfId="0" applyNumberFormat="1" applyFont="1" applyBorder="1" applyAlignment="1">
      <alignment vertical="center"/>
    </xf>
    <xf numFmtId="181" fontId="53" fillId="0" borderId="57" xfId="0" applyNumberFormat="1" applyFont="1" applyBorder="1" applyAlignment="1">
      <alignment vertical="center"/>
    </xf>
    <xf numFmtId="176" fontId="53" fillId="0" borderId="44" xfId="0" applyNumberFormat="1" applyFont="1" applyBorder="1" applyAlignment="1">
      <alignment vertical="center"/>
    </xf>
    <xf numFmtId="176" fontId="53" fillId="0" borderId="4" xfId="0" applyNumberFormat="1" applyFont="1" applyBorder="1" applyAlignment="1">
      <alignment vertical="center"/>
    </xf>
    <xf numFmtId="176" fontId="53" fillId="0" borderId="55" xfId="0" applyNumberFormat="1" applyFont="1" applyBorder="1" applyAlignment="1">
      <alignment vertical="center"/>
    </xf>
    <xf numFmtId="181" fontId="53" fillId="0" borderId="4" xfId="0" applyNumberFormat="1" applyFont="1" applyBorder="1" applyAlignment="1">
      <alignment vertical="center"/>
    </xf>
    <xf numFmtId="195" fontId="0" fillId="0" borderId="0" xfId="0" applyNumberFormat="1"/>
    <xf numFmtId="181" fontId="53" fillId="0" borderId="32" xfId="0" applyNumberFormat="1" applyFont="1" applyBorder="1" applyAlignment="1">
      <alignment vertical="center"/>
    </xf>
    <xf numFmtId="181" fontId="53" fillId="0" borderId="11" xfId="0" applyNumberFormat="1" applyFont="1" applyBorder="1" applyAlignment="1">
      <alignment vertical="center"/>
    </xf>
    <xf numFmtId="181" fontId="53" fillId="0" borderId="54" xfId="0" applyNumberFormat="1" applyFont="1" applyBorder="1" applyAlignment="1">
      <alignment vertical="center"/>
    </xf>
    <xf numFmtId="0" fontId="0" fillId="0" borderId="0" xfId="0" applyBorder="1"/>
    <xf numFmtId="0" fontId="53" fillId="0" borderId="58" xfId="0" applyNumberFormat="1" applyFont="1" applyBorder="1" applyAlignment="1">
      <alignment horizontal="center" vertical="center"/>
    </xf>
    <xf numFmtId="0" fontId="53" fillId="0" borderId="43" xfId="0" applyNumberFormat="1" applyFont="1" applyBorder="1" applyAlignment="1">
      <alignment horizontal="center" vertical="center"/>
    </xf>
    <xf numFmtId="0" fontId="53" fillId="0" borderId="9" xfId="0" applyNumberFormat="1" applyFont="1" applyBorder="1" applyAlignment="1">
      <alignment vertical="center"/>
    </xf>
    <xf numFmtId="0" fontId="53" fillId="0" borderId="3" xfId="0" applyNumberFormat="1" applyFont="1" applyBorder="1" applyAlignment="1">
      <alignment vertical="center"/>
    </xf>
    <xf numFmtId="0" fontId="53" fillId="0" borderId="51" xfId="0" applyNumberFormat="1" applyFont="1" applyBorder="1" applyAlignment="1">
      <alignment horizontal="center" vertical="center"/>
    </xf>
    <xf numFmtId="0" fontId="54" fillId="0" borderId="10" xfId="0" applyNumberFormat="1" applyFont="1" applyBorder="1" applyAlignment="1">
      <alignment vertical="center"/>
    </xf>
    <xf numFmtId="0" fontId="54" fillId="0" borderId="76" xfId="0" applyNumberFormat="1" applyFont="1" applyBorder="1" applyAlignment="1">
      <alignment horizontal="center" vertical="center"/>
    </xf>
    <xf numFmtId="0" fontId="53" fillId="0" borderId="77" xfId="0" applyNumberFormat="1" applyFont="1" applyBorder="1" applyAlignment="1">
      <alignment horizontal="center" vertical="center"/>
    </xf>
    <xf numFmtId="0" fontId="54" fillId="0" borderId="81" xfId="0" applyNumberFormat="1" applyFont="1" applyBorder="1" applyAlignment="1">
      <alignment vertical="center"/>
    </xf>
    <xf numFmtId="0" fontId="54" fillId="0" borderId="49" xfId="0" applyNumberFormat="1" applyFont="1" applyBorder="1" applyAlignment="1">
      <alignment horizontal="center" vertical="center"/>
    </xf>
    <xf numFmtId="0" fontId="54" fillId="0" borderId="0" xfId="0" applyNumberFormat="1" applyFont="1"/>
    <xf numFmtId="0" fontId="54" fillId="0" borderId="0" xfId="0" applyFont="1"/>
    <xf numFmtId="0" fontId="53" fillId="0" borderId="0" xfId="0" applyNumberFormat="1" applyFont="1" applyAlignment="1">
      <alignment vertical="center"/>
    </xf>
    <xf numFmtId="0" fontId="55" fillId="0" borderId="0" xfId="0" applyFont="1" applyAlignment="1">
      <alignment horizontal="center"/>
    </xf>
    <xf numFmtId="0" fontId="39" fillId="0" borderId="0" xfId="0" applyFont="1" applyAlignment="1">
      <alignment horizontal="right"/>
    </xf>
    <xf numFmtId="0" fontId="57" fillId="0" borderId="0" xfId="3" applyFont="1" applyFill="1"/>
    <xf numFmtId="0" fontId="57" fillId="0" borderId="0" xfId="3" applyNumberFormat="1" applyFont="1" applyFill="1"/>
    <xf numFmtId="0" fontId="58" fillId="0" borderId="0" xfId="3" applyNumberFormat="1" applyFont="1" applyFill="1"/>
    <xf numFmtId="0" fontId="58" fillId="0" borderId="0" xfId="3" applyFont="1" applyFill="1"/>
    <xf numFmtId="0" fontId="58" fillId="0" borderId="0" xfId="3" applyNumberFormat="1" applyFont="1" applyFill="1" applyAlignment="1">
      <alignment horizontal="center"/>
    </xf>
    <xf numFmtId="0" fontId="57" fillId="0" borderId="0" xfId="3" applyFont="1" applyFill="1" applyAlignment="1">
      <alignment horizontal="center"/>
    </xf>
    <xf numFmtId="0" fontId="58" fillId="0" borderId="0" xfId="3" applyFont="1" applyFill="1" applyAlignment="1">
      <alignment horizontal="center"/>
    </xf>
    <xf numFmtId="0" fontId="57" fillId="0" borderId="0" xfId="3" applyNumberFormat="1" applyFont="1" applyFill="1" applyAlignment="1">
      <alignment horizontal="center"/>
    </xf>
    <xf numFmtId="178" fontId="59" fillId="0" borderId="0" xfId="3" applyNumberFormat="1" applyFont="1" applyFill="1" applyAlignment="1">
      <alignment horizontal="left" vertical="center"/>
    </xf>
    <xf numFmtId="0" fontId="58" fillId="0" borderId="0" xfId="3" applyNumberFormat="1" applyFont="1" applyFill="1" applyAlignment="1">
      <alignment horizontal="center" vertical="center"/>
    </xf>
    <xf numFmtId="0" fontId="60" fillId="0" borderId="0" xfId="3" applyFont="1" applyFill="1" applyAlignment="1">
      <alignment horizontal="center"/>
    </xf>
    <xf numFmtId="0" fontId="59" fillId="0" borderId="0" xfId="3" applyFont="1" applyFill="1" applyAlignment="1">
      <alignment horizontal="center"/>
    </xf>
    <xf numFmtId="189" fontId="57" fillId="0" borderId="0" xfId="3" applyNumberFormat="1" applyFont="1" applyFill="1" applyAlignment="1">
      <alignment horizontal="center"/>
    </xf>
    <xf numFmtId="189" fontId="58" fillId="0" borderId="0" xfId="3" applyNumberFormat="1" applyFont="1" applyFill="1" applyAlignment="1">
      <alignment horizontal="center"/>
    </xf>
    <xf numFmtId="0" fontId="61" fillId="0" borderId="0" xfId="3" applyNumberFormat="1" applyFont="1" applyFill="1" applyAlignment="1">
      <alignment horizontal="center"/>
    </xf>
    <xf numFmtId="0" fontId="61" fillId="0" borderId="0" xfId="3" applyFont="1" applyFill="1" applyAlignment="1">
      <alignment horizontal="center"/>
    </xf>
    <xf numFmtId="0" fontId="61" fillId="0" borderId="0" xfId="3" applyNumberFormat="1" applyFont="1" applyFill="1" applyAlignment="1">
      <alignment horizontal="distributed"/>
    </xf>
    <xf numFmtId="0" fontId="61" fillId="0" borderId="0" xfId="3" applyNumberFormat="1" applyFont="1" applyFill="1"/>
    <xf numFmtId="0" fontId="62" fillId="0" borderId="0" xfId="3" applyNumberFormat="1" applyFont="1" applyFill="1" applyAlignment="1">
      <alignment horizontal="center"/>
    </xf>
    <xf numFmtId="0" fontId="62" fillId="0" borderId="0" xfId="3" applyFont="1" applyFill="1" applyAlignment="1">
      <alignment horizontal="center"/>
    </xf>
    <xf numFmtId="0" fontId="60" fillId="0" borderId="0" xfId="3" applyNumberFormat="1" applyFont="1" applyFill="1" applyAlignment="1">
      <alignment horizontal="center"/>
    </xf>
    <xf numFmtId="0" fontId="62" fillId="0" borderId="0" xfId="3" applyNumberFormat="1" applyFont="1" applyFill="1" applyAlignment="1">
      <alignment horizontal="left" vertical="top"/>
    </xf>
    <xf numFmtId="0" fontId="62" fillId="0" borderId="0" xfId="3" applyNumberFormat="1" applyFont="1" applyFill="1" applyAlignment="1">
      <alignment horizontal="left"/>
    </xf>
    <xf numFmtId="0" fontId="62" fillId="0" borderId="0" xfId="3" applyNumberFormat="1" applyFont="1" applyFill="1"/>
    <xf numFmtId="0" fontId="62" fillId="0" borderId="0" xfId="3" applyNumberFormat="1" applyFont="1" applyFill="1" applyAlignment="1">
      <alignment horizontal="distributed"/>
    </xf>
    <xf numFmtId="0" fontId="62" fillId="0" borderId="0" xfId="3" quotePrefix="1" applyNumberFormat="1" applyFont="1" applyFill="1" applyAlignment="1">
      <alignment horizontal="center"/>
    </xf>
    <xf numFmtId="0" fontId="57" fillId="0" borderId="0" xfId="3" applyNumberFormat="1" applyFont="1" applyFill="1" applyAlignment="1">
      <alignment horizontal="left"/>
    </xf>
    <xf numFmtId="0" fontId="63" fillId="0" borderId="0" xfId="3" applyNumberFormat="1" applyFont="1" applyFill="1" applyAlignment="1">
      <alignment horizontal="center"/>
    </xf>
    <xf numFmtId="49" fontId="62" fillId="0" borderId="0" xfId="3" applyNumberFormat="1" applyFont="1" applyFill="1" applyAlignment="1">
      <alignment horizontal="center"/>
    </xf>
    <xf numFmtId="49" fontId="62" fillId="0" borderId="0" xfId="3" quotePrefix="1" applyNumberFormat="1" applyFont="1" applyFill="1" applyAlignment="1">
      <alignment horizontal="center"/>
    </xf>
    <xf numFmtId="0" fontId="63" fillId="0" borderId="0" xfId="3" applyNumberFormat="1" applyFont="1" applyFill="1" applyAlignment="1">
      <alignment horizontal="left"/>
    </xf>
    <xf numFmtId="0" fontId="60" fillId="0" borderId="0" xfId="3" applyFont="1" applyFill="1" applyBorder="1"/>
    <xf numFmtId="0" fontId="57" fillId="0" borderId="0" xfId="3" applyFont="1" applyFill="1" applyBorder="1"/>
    <xf numFmtId="0" fontId="60" fillId="0" borderId="0" xfId="3" applyNumberFormat="1" applyFont="1" applyFill="1" applyBorder="1" applyAlignment="1">
      <alignment horizontal="center"/>
    </xf>
    <xf numFmtId="0" fontId="60" fillId="0" borderId="0" xfId="3" applyNumberFormat="1" applyFont="1" applyFill="1" applyBorder="1" applyAlignment="1">
      <alignment horizontal="left"/>
    </xf>
    <xf numFmtId="0" fontId="57" fillId="0" borderId="0" xfId="3" applyFont="1" applyFill="1" applyAlignment="1">
      <alignment vertical="top"/>
    </xf>
    <xf numFmtId="0" fontId="57" fillId="0" borderId="0" xfId="3" applyFont="1" applyFill="1" applyBorder="1" applyAlignment="1">
      <alignment vertical="top"/>
    </xf>
    <xf numFmtId="0" fontId="60" fillId="0" borderId="0" xfId="3" applyNumberFormat="1" applyFont="1" applyFill="1" applyBorder="1" applyAlignment="1">
      <alignment horizontal="center" vertical="top"/>
    </xf>
    <xf numFmtId="0" fontId="60" fillId="0" borderId="0" xfId="3" applyNumberFormat="1" applyFont="1" applyFill="1" applyBorder="1" applyAlignment="1">
      <alignment horizontal="left" vertical="top"/>
    </xf>
    <xf numFmtId="0" fontId="60" fillId="0" borderId="0" xfId="3" applyNumberFormat="1" applyFont="1" applyFill="1" applyAlignment="1">
      <alignment horizontal="center" vertical="top"/>
    </xf>
    <xf numFmtId="0" fontId="64" fillId="0" borderId="0" xfId="3" applyNumberFormat="1" applyFont="1" applyFill="1" applyAlignment="1">
      <alignment horizontal="center" vertical="top"/>
    </xf>
    <xf numFmtId="0" fontId="60" fillId="0" borderId="0" xfId="3" applyFont="1" applyFill="1" applyAlignment="1">
      <alignment horizontal="center" vertical="top"/>
    </xf>
    <xf numFmtId="0" fontId="66" fillId="0" borderId="0" xfId="3" applyNumberFormat="1" applyFont="1" applyFill="1" applyAlignment="1">
      <alignment horizontal="center" vertical="top"/>
    </xf>
    <xf numFmtId="0" fontId="57" fillId="0" borderId="0" xfId="3" applyNumberFormat="1" applyFont="1" applyFill="1" applyAlignment="1">
      <alignment horizontal="center" vertical="top"/>
    </xf>
    <xf numFmtId="0" fontId="57" fillId="0" borderId="0" xfId="3" applyNumberFormat="1" applyFont="1" applyFill="1" applyAlignment="1">
      <alignment vertical="top"/>
    </xf>
    <xf numFmtId="0" fontId="67" fillId="0" borderId="0" xfId="3" applyFont="1" applyFill="1" applyBorder="1" applyAlignment="1">
      <alignment vertical="center"/>
    </xf>
    <xf numFmtId="179" fontId="68" fillId="0" borderId="0" xfId="1" applyNumberFormat="1" applyFont="1" applyFill="1" applyBorder="1" applyAlignment="1">
      <alignment horizontal="right" vertical="top"/>
    </xf>
    <xf numFmtId="176" fontId="58" fillId="0" borderId="0" xfId="3" applyNumberFormat="1" applyFont="1" applyFill="1" applyBorder="1" applyAlignment="1">
      <alignment horizontal="right" vertical="center"/>
    </xf>
    <xf numFmtId="0" fontId="58" fillId="0" borderId="0" xfId="3" applyNumberFormat="1" applyFont="1" applyFill="1" applyBorder="1" applyAlignment="1">
      <alignment horizontal="distributed" vertical="center"/>
    </xf>
    <xf numFmtId="178" fontId="58" fillId="0" borderId="0" xfId="1" applyNumberFormat="1" applyFont="1" applyFill="1" applyBorder="1" applyAlignment="1">
      <alignment horizontal="right" vertical="center"/>
    </xf>
    <xf numFmtId="0" fontId="58" fillId="0" borderId="0" xfId="3" applyNumberFormat="1" applyFont="1" applyFill="1" applyBorder="1" applyAlignment="1">
      <alignment horizontal="distributed" vertical="center" wrapText="1"/>
    </xf>
    <xf numFmtId="178" fontId="60" fillId="0" borderId="11" xfId="1" applyNumberFormat="1" applyFont="1" applyFill="1" applyBorder="1" applyAlignment="1">
      <alignment vertical="center"/>
    </xf>
    <xf numFmtId="0" fontId="60" fillId="0" borderId="8" xfId="3" applyNumberFormat="1" applyFont="1" applyFill="1" applyBorder="1" applyAlignment="1">
      <alignment horizontal="distributed" vertical="center"/>
    </xf>
    <xf numFmtId="0" fontId="60" fillId="0" borderId="13" xfId="3" applyNumberFormat="1" applyFont="1" applyFill="1" applyBorder="1" applyAlignment="1">
      <alignment horizontal="distributed" vertical="center"/>
    </xf>
    <xf numFmtId="178" fontId="60" fillId="0" borderId="19" xfId="1" applyNumberFormat="1" applyFont="1" applyFill="1" applyBorder="1" applyAlignment="1">
      <alignment horizontal="right" vertical="center"/>
    </xf>
    <xf numFmtId="0" fontId="57" fillId="0" borderId="0" xfId="3" applyNumberFormat="1" applyFont="1" applyFill="1" applyBorder="1"/>
    <xf numFmtId="178" fontId="60" fillId="0" borderId="20" xfId="1" applyNumberFormat="1" applyFont="1" applyFill="1" applyBorder="1" applyAlignment="1">
      <alignment vertical="center"/>
    </xf>
    <xf numFmtId="0" fontId="60" fillId="0" borderId="7" xfId="3" applyNumberFormat="1" applyFont="1" applyFill="1" applyBorder="1" applyAlignment="1">
      <alignment horizontal="distributed" vertical="center"/>
    </xf>
    <xf numFmtId="0" fontId="60" fillId="0" borderId="0" xfId="3" applyNumberFormat="1" applyFont="1" applyFill="1" applyBorder="1" applyAlignment="1">
      <alignment horizontal="distributed" vertical="center"/>
    </xf>
    <xf numFmtId="178" fontId="60" fillId="0" borderId="21" xfId="1" applyNumberFormat="1" applyFont="1" applyFill="1" applyBorder="1" applyAlignment="1">
      <alignment horizontal="right" vertical="center"/>
    </xf>
    <xf numFmtId="0" fontId="60" fillId="0" borderId="20" xfId="3" applyNumberFormat="1" applyFont="1" applyFill="1" applyBorder="1" applyAlignment="1">
      <alignment horizontal="distributed" vertical="center"/>
    </xf>
    <xf numFmtId="0" fontId="57" fillId="0" borderId="20" xfId="3" applyNumberFormat="1" applyFont="1" applyFill="1" applyBorder="1"/>
    <xf numFmtId="0" fontId="57" fillId="0" borderId="1" xfId="3" applyFont="1" applyFill="1" applyBorder="1"/>
    <xf numFmtId="179" fontId="60" fillId="0" borderId="10" xfId="1" applyNumberFormat="1" applyFont="1" applyFill="1" applyBorder="1" applyAlignment="1">
      <alignment horizontal="right" vertical="top"/>
    </xf>
    <xf numFmtId="0" fontId="60" fillId="0" borderId="24" xfId="3" applyNumberFormat="1" applyFont="1" applyFill="1" applyBorder="1" applyAlignment="1">
      <alignment horizontal="distributed" vertical="center"/>
    </xf>
    <xf numFmtId="178" fontId="60" fillId="0" borderId="6" xfId="1" applyNumberFormat="1" applyFont="1" applyFill="1" applyBorder="1" applyAlignment="1">
      <alignment vertical="center"/>
    </xf>
    <xf numFmtId="185" fontId="60" fillId="0" borderId="5" xfId="1" applyNumberFormat="1" applyFont="1" applyFill="1" applyBorder="1" applyAlignment="1">
      <alignment horizontal="right" vertical="center"/>
    </xf>
    <xf numFmtId="0" fontId="60" fillId="0" borderId="0" xfId="3" applyFont="1" applyFill="1"/>
    <xf numFmtId="178" fontId="60" fillId="0" borderId="18" xfId="1" applyNumberFormat="1" applyFont="1" applyFill="1" applyBorder="1" applyAlignment="1">
      <alignment horizontal="right" vertical="center"/>
    </xf>
    <xf numFmtId="0" fontId="60" fillId="0" borderId="1" xfId="3" applyFont="1" applyFill="1" applyBorder="1" applyAlignment="1">
      <alignment horizontal="distributed" vertical="center"/>
    </xf>
    <xf numFmtId="0" fontId="60" fillId="0" borderId="2" xfId="3" applyFont="1" applyFill="1" applyBorder="1" applyAlignment="1">
      <alignment horizontal="distributed" vertical="center"/>
    </xf>
    <xf numFmtId="0" fontId="60" fillId="0" borderId="11" xfId="3" applyFont="1" applyFill="1" applyBorder="1"/>
    <xf numFmtId="0" fontId="60" fillId="0" borderId="7" xfId="3" applyFont="1" applyFill="1" applyBorder="1"/>
    <xf numFmtId="0" fontId="60" fillId="0" borderId="23" xfId="3" applyNumberFormat="1" applyFont="1" applyFill="1" applyBorder="1" applyAlignment="1">
      <alignment horizontal="distributed" vertical="center"/>
    </xf>
    <xf numFmtId="0" fontId="60" fillId="0" borderId="8" xfId="3" applyFont="1" applyFill="1" applyBorder="1"/>
    <xf numFmtId="0" fontId="60" fillId="0" borderId="1" xfId="3" applyNumberFormat="1" applyFont="1" applyFill="1" applyBorder="1" applyAlignment="1">
      <alignment horizontal="distributed" vertical="center"/>
    </xf>
    <xf numFmtId="0" fontId="60" fillId="0" borderId="16" xfId="3" applyNumberFormat="1" applyFont="1" applyFill="1" applyBorder="1" applyAlignment="1">
      <alignment horizontal="distributed" vertical="center"/>
    </xf>
    <xf numFmtId="0" fontId="60" fillId="0" borderId="2" xfId="3" applyNumberFormat="1" applyFont="1" applyFill="1" applyBorder="1" applyAlignment="1">
      <alignment horizontal="distributed" vertical="center"/>
    </xf>
    <xf numFmtId="178" fontId="60" fillId="0" borderId="13" xfId="1" applyNumberFormat="1" applyFont="1" applyFill="1" applyBorder="1" applyAlignment="1">
      <alignment horizontal="right" vertical="center"/>
    </xf>
    <xf numFmtId="0" fontId="57" fillId="0" borderId="0" xfId="3" applyNumberFormat="1" applyFont="1" applyFill="1" applyAlignment="1">
      <alignment vertical="center"/>
    </xf>
    <xf numFmtId="178" fontId="60" fillId="0" borderId="0" xfId="1" applyNumberFormat="1" applyFont="1" applyFill="1" applyBorder="1" applyAlignment="1">
      <alignment horizontal="right" vertical="center"/>
    </xf>
    <xf numFmtId="0" fontId="60" fillId="0" borderId="9" xfId="3" applyNumberFormat="1" applyFont="1" applyFill="1" applyBorder="1" applyAlignment="1">
      <alignment horizontal="center" vertical="center"/>
    </xf>
    <xf numFmtId="0" fontId="60" fillId="0" borderId="11" xfId="3" applyNumberFormat="1" applyFont="1" applyFill="1" applyBorder="1" applyAlignment="1">
      <alignment vertical="center"/>
    </xf>
    <xf numFmtId="0" fontId="60" fillId="0" borderId="13" xfId="3" applyNumberFormat="1" applyFont="1" applyFill="1" applyBorder="1" applyAlignment="1">
      <alignment vertical="center"/>
    </xf>
    <xf numFmtId="0" fontId="60" fillId="0" borderId="17" xfId="3" applyNumberFormat="1" applyFont="1" applyFill="1" applyBorder="1" applyAlignment="1">
      <alignment vertical="center"/>
    </xf>
    <xf numFmtId="0" fontId="60" fillId="0" borderId="10" xfId="3" applyNumberFormat="1" applyFont="1" applyFill="1" applyBorder="1" applyAlignment="1">
      <alignment vertical="center"/>
    </xf>
    <xf numFmtId="0" fontId="60" fillId="0" borderId="6" xfId="3" applyNumberFormat="1" applyFont="1" applyFill="1" applyBorder="1" applyAlignment="1">
      <alignment vertical="center"/>
    </xf>
    <xf numFmtId="0" fontId="60" fillId="0" borderId="14" xfId="3" applyNumberFormat="1" applyFont="1" applyFill="1" applyBorder="1" applyAlignment="1">
      <alignment vertical="center"/>
    </xf>
    <xf numFmtId="0" fontId="60" fillId="0" borderId="16" xfId="3" applyNumberFormat="1" applyFont="1" applyFill="1" applyBorder="1" applyAlignment="1">
      <alignment vertical="center"/>
    </xf>
    <xf numFmtId="0" fontId="60" fillId="0" borderId="5" xfId="3" applyNumberFormat="1" applyFont="1" applyFill="1" applyBorder="1" applyAlignment="1">
      <alignment vertical="center"/>
    </xf>
    <xf numFmtId="0" fontId="57" fillId="0" borderId="0" xfId="3" applyNumberFormat="1" applyFont="1" applyFill="1" applyAlignment="1">
      <alignment horizontal="right" vertical="center"/>
    </xf>
    <xf numFmtId="0" fontId="58" fillId="0" borderId="0" xfId="3" applyNumberFormat="1" applyFont="1" applyFill="1" applyAlignment="1">
      <alignment horizontal="right"/>
    </xf>
    <xf numFmtId="0" fontId="69" fillId="0" borderId="0" xfId="3" applyFont="1" applyFill="1"/>
    <xf numFmtId="0" fontId="70" fillId="0" borderId="0" xfId="3" applyNumberFormat="1" applyFont="1" applyFill="1" applyAlignment="1">
      <alignment vertical="center"/>
    </xf>
    <xf numFmtId="0" fontId="57" fillId="0" borderId="0" xfId="3" applyFont="1" applyFill="1" applyBorder="1" applyAlignment="1">
      <alignment vertical="center"/>
    </xf>
    <xf numFmtId="58" fontId="57" fillId="0" borderId="0" xfId="3" applyNumberFormat="1" applyFont="1" applyFill="1" applyBorder="1" applyAlignment="1">
      <alignment horizontal="left" vertical="center"/>
    </xf>
    <xf numFmtId="58" fontId="58" fillId="0" borderId="0" xfId="3" applyNumberFormat="1" applyFont="1" applyFill="1" applyBorder="1" applyAlignment="1">
      <alignment horizontal="left" vertical="center"/>
    </xf>
    <xf numFmtId="0" fontId="26" fillId="0" borderId="0" xfId="10" applyFont="1"/>
    <xf numFmtId="0" fontId="71" fillId="0" borderId="0" xfId="10" applyFont="1"/>
    <xf numFmtId="0" fontId="73" fillId="0" borderId="0" xfId="0" applyFont="1"/>
    <xf numFmtId="0" fontId="73" fillId="0" borderId="0" xfId="0" applyFont="1" applyFill="1"/>
    <xf numFmtId="0" fontId="60" fillId="0" borderId="0" xfId="0" applyFont="1" applyFill="1"/>
    <xf numFmtId="0" fontId="60" fillId="0" borderId="0" xfId="0" applyFont="1"/>
    <xf numFmtId="0" fontId="75" fillId="0" borderId="0" xfId="10" applyFont="1"/>
    <xf numFmtId="0" fontId="60" fillId="0" borderId="0" xfId="10" applyFont="1"/>
    <xf numFmtId="0" fontId="60" fillId="0" borderId="0" xfId="10" applyFont="1" applyFill="1"/>
    <xf numFmtId="0" fontId="51" fillId="0" borderId="0" xfId="0" applyFont="1"/>
    <xf numFmtId="0" fontId="75" fillId="0" borderId="0" xfId="10" applyFont="1" applyAlignment="1">
      <alignment horizontal="left" vertical="top" wrapText="1"/>
    </xf>
    <xf numFmtId="0" fontId="73" fillId="0" borderId="0" xfId="10" applyFont="1"/>
    <xf numFmtId="0" fontId="51" fillId="0" borderId="0" xfId="10" applyFont="1"/>
    <xf numFmtId="0" fontId="51" fillId="0" borderId="0" xfId="10" applyFont="1" applyAlignment="1">
      <alignment horizontal="left"/>
    </xf>
    <xf numFmtId="0" fontId="60" fillId="0" borderId="0" xfId="10" applyFont="1" applyAlignment="1">
      <alignment horizontal="right"/>
    </xf>
    <xf numFmtId="0" fontId="20" fillId="0" borderId="0" xfId="10" applyFont="1"/>
    <xf numFmtId="0" fontId="73" fillId="0" borderId="0" xfId="10" applyFont="1" applyFill="1"/>
    <xf numFmtId="0" fontId="75" fillId="0" borderId="0" xfId="10" applyFont="1" applyFill="1"/>
    <xf numFmtId="0" fontId="20" fillId="0" borderId="0" xfId="10" applyFont="1" applyFill="1"/>
    <xf numFmtId="0" fontId="76" fillId="0" borderId="0" xfId="10" applyFont="1"/>
    <xf numFmtId="0" fontId="60" fillId="0" borderId="0" xfId="10" applyFont="1" applyFill="1" applyAlignment="1">
      <alignment vertical="center"/>
    </xf>
    <xf numFmtId="0" fontId="60" fillId="0" borderId="0" xfId="10" applyFont="1" applyFill="1" applyAlignment="1"/>
    <xf numFmtId="0" fontId="26" fillId="0" borderId="11" xfId="10" applyFont="1" applyFill="1" applyBorder="1"/>
    <xf numFmtId="0" fontId="26" fillId="0" borderId="13" xfId="10" applyFont="1" applyFill="1" applyBorder="1" applyAlignment="1">
      <alignment horizontal="left" vertical="distributed" wrapText="1" indent="1"/>
    </xf>
    <xf numFmtId="0" fontId="26" fillId="0" borderId="13" xfId="10" applyFont="1" applyFill="1" applyBorder="1"/>
    <xf numFmtId="0" fontId="26" fillId="0" borderId="10" xfId="10" applyFont="1" applyFill="1" applyBorder="1"/>
    <xf numFmtId="0" fontId="26" fillId="0" borderId="20" xfId="10" applyFont="1" applyFill="1" applyBorder="1"/>
    <xf numFmtId="0" fontId="26" fillId="0" borderId="0" xfId="10" applyFont="1" applyFill="1" applyBorder="1" applyAlignment="1">
      <alignment horizontal="left" vertical="distributed" wrapText="1" indent="1"/>
    </xf>
    <xf numFmtId="0" fontId="26" fillId="0" borderId="0" xfId="10" applyFont="1" applyFill="1" applyBorder="1"/>
    <xf numFmtId="0" fontId="26" fillId="0" borderId="1" xfId="10" applyFont="1" applyFill="1" applyBorder="1"/>
    <xf numFmtId="0" fontId="28" fillId="0" borderId="0" xfId="10" applyFont="1" applyFill="1" applyBorder="1" applyAlignment="1">
      <alignment horizontal="center" vertical="center"/>
    </xf>
    <xf numFmtId="0" fontId="26" fillId="0" borderId="0" xfId="10" applyFont="1" applyFill="1" applyBorder="1" applyAlignment="1">
      <alignment horizontal="center" vertical="center"/>
    </xf>
    <xf numFmtId="0" fontId="26" fillId="0" borderId="11" xfId="10" applyFont="1" applyFill="1" applyBorder="1" applyAlignment="1">
      <alignment horizontal="left" vertical="distributed" wrapText="1" indent="1"/>
    </xf>
    <xf numFmtId="0" fontId="26" fillId="0" borderId="10" xfId="10" applyFont="1" applyFill="1" applyBorder="1" applyAlignment="1">
      <alignment horizontal="left" vertical="distributed" wrapText="1" indent="1"/>
    </xf>
    <xf numFmtId="0" fontId="26" fillId="0" borderId="6" xfId="10" applyFont="1" applyFill="1" applyBorder="1"/>
    <xf numFmtId="0" fontId="26" fillId="0" borderId="14" xfId="10" applyFont="1" applyFill="1" applyBorder="1"/>
    <xf numFmtId="0" fontId="26" fillId="0" borderId="5" xfId="10" applyFont="1" applyFill="1" applyBorder="1"/>
    <xf numFmtId="0" fontId="27" fillId="0" borderId="0" xfId="10" applyFont="1" applyFill="1" applyBorder="1" applyAlignment="1">
      <alignment horizontal="center"/>
    </xf>
    <xf numFmtId="0" fontId="79" fillId="0" borderId="0" xfId="10" applyFont="1" applyAlignment="1">
      <alignment vertical="center"/>
    </xf>
    <xf numFmtId="0" fontId="79" fillId="0" borderId="0" xfId="10" applyFont="1"/>
    <xf numFmtId="0" fontId="68" fillId="0" borderId="0" xfId="10" applyFont="1" applyAlignment="1"/>
    <xf numFmtId="38" fontId="79" fillId="0" borderId="9" xfId="10" applyNumberFormat="1" applyFont="1" applyBorder="1" applyAlignment="1">
      <alignment vertical="center"/>
    </xf>
    <xf numFmtId="0" fontId="79" fillId="0" borderId="9" xfId="10" applyFont="1" applyBorder="1" applyAlignment="1">
      <alignment vertical="center"/>
    </xf>
    <xf numFmtId="38" fontId="79" fillId="0" borderId="9" xfId="11" applyFont="1" applyBorder="1" applyAlignment="1">
      <alignment vertical="center"/>
    </xf>
    <xf numFmtId="0" fontId="61" fillId="0" borderId="0" xfId="10" applyFont="1" applyAlignment="1">
      <alignment vertical="center"/>
    </xf>
    <xf numFmtId="0" fontId="80" fillId="0" borderId="0" xfId="10" applyFont="1" applyAlignment="1">
      <alignment vertical="center"/>
    </xf>
    <xf numFmtId="0" fontId="81" fillId="0" borderId="0" xfId="10" applyFont="1" applyAlignment="1">
      <alignment vertical="center"/>
    </xf>
    <xf numFmtId="0" fontId="82" fillId="0" borderId="0" xfId="10" applyFont="1" applyAlignment="1">
      <alignment vertical="center"/>
    </xf>
    <xf numFmtId="0" fontId="79" fillId="0" borderId="0" xfId="10" applyFont="1" applyAlignment="1">
      <alignment vertical="top"/>
    </xf>
    <xf numFmtId="0" fontId="81" fillId="0" borderId="0" xfId="10" applyFont="1" applyFill="1" applyAlignment="1">
      <alignment vertical="center"/>
    </xf>
    <xf numFmtId="0" fontId="79" fillId="0" borderId="0" xfId="10" applyFont="1" applyAlignment="1">
      <alignment vertical="distributed"/>
    </xf>
    <xf numFmtId="0" fontId="32" fillId="0" borderId="0" xfId="10" applyFont="1" applyAlignment="1">
      <alignment vertical="center"/>
    </xf>
    <xf numFmtId="0" fontId="82" fillId="0" borderId="0" xfId="10" applyFont="1" applyAlignment="1">
      <alignment horizontal="right" vertical="center"/>
    </xf>
    <xf numFmtId="186" fontId="58" fillId="0" borderId="0" xfId="10" applyNumberFormat="1" applyFont="1" applyBorder="1" applyAlignment="1">
      <alignment vertical="center"/>
    </xf>
    <xf numFmtId="0" fontId="83" fillId="0" borderId="0" xfId="10" applyFont="1" applyFill="1" applyAlignment="1">
      <alignment vertical="center"/>
    </xf>
    <xf numFmtId="0" fontId="61" fillId="0" borderId="0" xfId="10" applyFont="1" applyAlignment="1">
      <alignment horizontal="center" vertical="center"/>
    </xf>
    <xf numFmtId="191" fontId="61" fillId="0" borderId="0" xfId="10" applyNumberFormat="1" applyFont="1" applyBorder="1" applyAlignment="1">
      <alignment vertical="center"/>
    </xf>
    <xf numFmtId="191" fontId="58" fillId="0" borderId="0" xfId="10" applyNumberFormat="1" applyFont="1" applyBorder="1" applyAlignment="1">
      <alignment horizontal="right" vertical="center"/>
    </xf>
    <xf numFmtId="186" fontId="61" fillId="0" borderId="0" xfId="10" applyNumberFormat="1" applyFont="1" applyBorder="1" applyAlignment="1">
      <alignment vertical="center"/>
    </xf>
    <xf numFmtId="179" fontId="61" fillId="0" borderId="43" xfId="10" applyNumberFormat="1" applyFont="1" applyBorder="1" applyAlignment="1">
      <alignment vertical="center" shrinkToFit="1"/>
    </xf>
    <xf numFmtId="186" fontId="61" fillId="0" borderId="53" xfId="10" applyNumberFormat="1" applyFont="1" applyFill="1" applyBorder="1" applyAlignment="1">
      <alignment vertical="center" shrinkToFit="1"/>
    </xf>
    <xf numFmtId="190" fontId="81" fillId="0" borderId="48" xfId="10" applyNumberFormat="1" applyFont="1" applyBorder="1" applyAlignment="1">
      <alignment vertical="center"/>
    </xf>
    <xf numFmtId="179" fontId="81" fillId="0" borderId="47" xfId="10" applyNumberFormat="1" applyFont="1" applyBorder="1" applyAlignment="1">
      <alignment vertical="center"/>
    </xf>
    <xf numFmtId="186" fontId="81" fillId="0" borderId="47" xfId="10" applyNumberFormat="1" applyFont="1" applyFill="1" applyBorder="1" applyAlignment="1">
      <alignment vertical="center"/>
    </xf>
    <xf numFmtId="186" fontId="81" fillId="0" borderId="60" xfId="10" applyNumberFormat="1" applyFont="1" applyFill="1" applyBorder="1" applyAlignment="1">
      <alignment vertical="center"/>
    </xf>
    <xf numFmtId="0" fontId="79" fillId="0" borderId="56" xfId="10" applyFont="1" applyBorder="1" applyAlignment="1">
      <alignment horizontal="distributed" vertical="center"/>
    </xf>
    <xf numFmtId="0" fontId="79" fillId="0" borderId="59" xfId="10" applyFont="1" applyBorder="1" applyAlignment="1">
      <alignment horizontal="center" vertical="center"/>
    </xf>
    <xf numFmtId="190" fontId="81" fillId="0" borderId="43" xfId="10" applyNumberFormat="1" applyFont="1" applyBorder="1" applyAlignment="1">
      <alignment vertical="center"/>
    </xf>
    <xf numFmtId="179" fontId="81" fillId="0" borderId="9" xfId="10" applyNumberFormat="1" applyFont="1" applyBorder="1" applyAlignment="1">
      <alignment vertical="center"/>
    </xf>
    <xf numFmtId="186" fontId="81" fillId="0" borderId="9" xfId="10" applyNumberFormat="1" applyFont="1" applyFill="1" applyBorder="1" applyAlignment="1">
      <alignment vertical="center"/>
    </xf>
    <xf numFmtId="186" fontId="81" fillId="0" borderId="15" xfId="10" applyNumberFormat="1" applyFont="1" applyFill="1" applyBorder="1" applyAlignment="1">
      <alignment vertical="center"/>
    </xf>
    <xf numFmtId="0" fontId="79" fillId="0" borderId="43" xfId="10" applyFont="1" applyBorder="1" applyAlignment="1">
      <alignment horizontal="distributed" vertical="center"/>
    </xf>
    <xf numFmtId="0" fontId="79" fillId="0" borderId="1" xfId="10" applyFont="1" applyBorder="1" applyAlignment="1">
      <alignment horizontal="center" vertical="center"/>
    </xf>
    <xf numFmtId="179" fontId="61" fillId="0" borderId="42" xfId="10" applyNumberFormat="1" applyFont="1" applyBorder="1" applyAlignment="1">
      <alignment vertical="center" shrinkToFit="1"/>
    </xf>
    <xf numFmtId="186" fontId="61" fillId="0" borderId="51" xfId="10" applyNumberFormat="1" applyFont="1" applyFill="1" applyBorder="1" applyAlignment="1">
      <alignment vertical="center" shrinkToFit="1"/>
    </xf>
    <xf numFmtId="186" fontId="61" fillId="0" borderId="58" xfId="10" applyNumberFormat="1" applyFont="1" applyFill="1" applyBorder="1" applyAlignment="1">
      <alignment vertical="center" shrinkToFit="1"/>
    </xf>
    <xf numFmtId="179" fontId="81" fillId="0" borderId="8" xfId="10" applyNumberFormat="1" applyFont="1" applyBorder="1" applyAlignment="1">
      <alignment vertical="center"/>
    </xf>
    <xf numFmtId="186" fontId="81" fillId="0" borderId="8" xfId="10" applyNumberFormat="1" applyFont="1" applyFill="1" applyBorder="1" applyAlignment="1">
      <alignment vertical="center"/>
    </xf>
    <xf numFmtId="186" fontId="81" fillId="0" borderId="54" xfId="10" applyNumberFormat="1" applyFont="1" applyFill="1" applyBorder="1" applyAlignment="1">
      <alignment vertical="center"/>
    </xf>
    <xf numFmtId="0" fontId="79" fillId="0" borderId="41" xfId="10" applyFont="1" applyBorder="1" applyAlignment="1">
      <alignment vertical="center"/>
    </xf>
    <xf numFmtId="186" fontId="61" fillId="0" borderId="55" xfId="10" applyNumberFormat="1" applyFont="1" applyFill="1" applyBorder="1" applyAlignment="1">
      <alignment vertical="center" shrinkToFit="1"/>
    </xf>
    <xf numFmtId="186" fontId="61" fillId="0" borderId="52" xfId="10" applyNumberFormat="1" applyFont="1" applyFill="1" applyBorder="1" applyAlignment="1">
      <alignment vertical="center" shrinkToFit="1"/>
    </xf>
    <xf numFmtId="186" fontId="81" fillId="0" borderId="53" xfId="10" applyNumberFormat="1" applyFont="1" applyFill="1" applyBorder="1" applyAlignment="1">
      <alignment vertical="center"/>
    </xf>
    <xf numFmtId="179" fontId="61" fillId="0" borderId="45" xfId="10" applyNumberFormat="1" applyFont="1" applyBorder="1" applyAlignment="1">
      <alignment vertical="center" shrinkToFit="1"/>
    </xf>
    <xf numFmtId="190" fontId="81" fillId="0" borderId="45" xfId="10" applyNumberFormat="1" applyFont="1" applyBorder="1" applyAlignment="1">
      <alignment horizontal="right" vertical="center"/>
    </xf>
    <xf numFmtId="179" fontId="81" fillId="0" borderId="2" xfId="10" applyNumberFormat="1" applyFont="1" applyBorder="1" applyAlignment="1">
      <alignment vertical="center"/>
    </xf>
    <xf numFmtId="186" fontId="81" fillId="0" borderId="2" xfId="10" applyNumberFormat="1" applyFont="1" applyFill="1" applyBorder="1" applyAlignment="1">
      <alignment vertical="center"/>
    </xf>
    <xf numFmtId="186" fontId="81" fillId="0" borderId="52" xfId="10" applyNumberFormat="1" applyFont="1" applyFill="1" applyBorder="1" applyAlignment="1">
      <alignment vertical="center"/>
    </xf>
    <xf numFmtId="190" fontId="81" fillId="0" borderId="45" xfId="10" applyNumberFormat="1" applyFont="1" applyBorder="1" applyAlignment="1">
      <alignment vertical="center"/>
    </xf>
    <xf numFmtId="186" fontId="81" fillId="0" borderId="55" xfId="10" applyNumberFormat="1" applyFont="1" applyFill="1" applyBorder="1" applyAlignment="1">
      <alignment vertical="center"/>
    </xf>
    <xf numFmtId="0" fontId="79" fillId="0" borderId="42" xfId="10" applyFont="1" applyBorder="1" applyAlignment="1">
      <alignment horizontal="distributed" vertical="center"/>
    </xf>
    <xf numFmtId="0" fontId="79" fillId="0" borderId="43" xfId="10" applyFont="1" applyBorder="1" applyAlignment="1">
      <alignment horizontal="distributed" vertical="center" wrapText="1"/>
    </xf>
    <xf numFmtId="190" fontId="81" fillId="0" borderId="42" xfId="10" applyNumberFormat="1" applyFont="1" applyBorder="1" applyAlignment="1">
      <alignment vertical="center"/>
    </xf>
    <xf numFmtId="186" fontId="81" fillId="0" borderId="13" xfId="10" applyNumberFormat="1" applyFont="1" applyFill="1" applyBorder="1" applyAlignment="1">
      <alignment vertical="center"/>
    </xf>
    <xf numFmtId="0" fontId="79" fillId="0" borderId="45" xfId="10" applyFont="1" applyBorder="1" applyAlignment="1">
      <alignment horizontal="distributed" vertical="center"/>
    </xf>
    <xf numFmtId="186" fontId="61" fillId="0" borderId="51" xfId="10" applyNumberFormat="1" applyFont="1" applyBorder="1" applyAlignment="1">
      <alignment vertical="center" shrinkToFit="1"/>
    </xf>
    <xf numFmtId="186" fontId="81" fillId="0" borderId="8" xfId="10" applyNumberFormat="1" applyFont="1" applyBorder="1" applyAlignment="1">
      <alignment vertical="center"/>
    </xf>
    <xf numFmtId="186" fontId="81" fillId="0" borderId="13" xfId="10" applyNumberFormat="1" applyFont="1" applyBorder="1" applyAlignment="1">
      <alignment vertical="center"/>
    </xf>
    <xf numFmtId="38" fontId="79" fillId="0" borderId="0" xfId="11" applyFont="1" applyAlignment="1">
      <alignment vertical="center"/>
    </xf>
    <xf numFmtId="179" fontId="61" fillId="0" borderId="40" xfId="10" applyNumberFormat="1" applyFont="1" applyBorder="1" applyAlignment="1">
      <alignment vertical="center" shrinkToFit="1"/>
    </xf>
    <xf numFmtId="186" fontId="61" fillId="0" borderId="50" xfId="10" applyNumberFormat="1" applyFont="1" applyBorder="1" applyAlignment="1">
      <alignment vertical="center" shrinkToFit="1"/>
    </xf>
    <xf numFmtId="190" fontId="81" fillId="0" borderId="64" xfId="10" applyNumberFormat="1" applyFont="1" applyBorder="1" applyAlignment="1">
      <alignment vertical="center"/>
    </xf>
    <xf numFmtId="179" fontId="81" fillId="0" borderId="63" xfId="10" applyNumberFormat="1" applyFont="1" applyBorder="1" applyAlignment="1">
      <alignment vertical="center"/>
    </xf>
    <xf numFmtId="186" fontId="81" fillId="0" borderId="63" xfId="10" applyNumberFormat="1" applyFont="1" applyBorder="1" applyAlignment="1">
      <alignment vertical="center"/>
    </xf>
    <xf numFmtId="186" fontId="81" fillId="0" borderId="50" xfId="10" applyNumberFormat="1" applyFont="1" applyBorder="1" applyAlignment="1">
      <alignment vertical="center"/>
    </xf>
    <xf numFmtId="0" fontId="68" fillId="0" borderId="39" xfId="10" applyFont="1" applyBorder="1" applyAlignment="1">
      <alignment horizontal="center" vertical="center"/>
    </xf>
    <xf numFmtId="0" fontId="79" fillId="0" borderId="38" xfId="10" applyFont="1" applyBorder="1" applyAlignment="1">
      <alignment horizontal="distributed" vertical="center" wrapText="1" justifyLastLine="1"/>
    </xf>
    <xf numFmtId="0" fontId="79" fillId="0" borderId="35" xfId="10" applyFont="1" applyBorder="1" applyAlignment="1">
      <alignment horizontal="distributed" vertical="center" wrapText="1" justifyLastLine="1"/>
    </xf>
    <xf numFmtId="0" fontId="61" fillId="0" borderId="0" xfId="10" applyFont="1" applyBorder="1" applyAlignment="1">
      <alignment horizontal="center" vertical="center"/>
    </xf>
    <xf numFmtId="0" fontId="79" fillId="0" borderId="39" xfId="10" applyFont="1" applyBorder="1" applyAlignment="1">
      <alignment horizontal="center" vertical="center"/>
    </xf>
    <xf numFmtId="0" fontId="79" fillId="0" borderId="38" xfId="10" applyFont="1" applyBorder="1" applyAlignment="1">
      <alignment horizontal="center" vertical="center"/>
    </xf>
    <xf numFmtId="0" fontId="79" fillId="0" borderId="38" xfId="10" applyFont="1" applyBorder="1" applyAlignment="1">
      <alignment horizontal="center" vertical="center" wrapText="1"/>
    </xf>
    <xf numFmtId="0" fontId="79" fillId="0" borderId="36" xfId="10" applyFont="1" applyBorder="1" applyAlignment="1">
      <alignment horizontal="distributed" vertical="center" wrapText="1" justifyLastLine="1"/>
    </xf>
    <xf numFmtId="0" fontId="81" fillId="0" borderId="0" xfId="10" applyFont="1" applyBorder="1" applyAlignment="1">
      <alignment horizontal="right" vertical="center"/>
    </xf>
    <xf numFmtId="0" fontId="58" fillId="0" borderId="34" xfId="10" applyFont="1" applyBorder="1" applyAlignment="1">
      <alignment horizontal="right" vertical="center"/>
    </xf>
    <xf numFmtId="0" fontId="79" fillId="0" borderId="34" xfId="10" applyFont="1" applyBorder="1" applyAlignment="1">
      <alignment vertical="center"/>
    </xf>
    <xf numFmtId="0" fontId="84" fillId="0" borderId="0" xfId="10" applyFont="1" applyAlignment="1">
      <alignment horizontal="center" vertical="center"/>
    </xf>
    <xf numFmtId="0" fontId="60" fillId="0" borderId="0" xfId="0" applyFont="1" applyAlignment="1"/>
    <xf numFmtId="0" fontId="60" fillId="0" borderId="0" xfId="0" applyFont="1" applyAlignment="1">
      <alignment vertical="top"/>
    </xf>
    <xf numFmtId="0" fontId="60" fillId="0" borderId="0" xfId="0" quotePrefix="1" applyFont="1"/>
    <xf numFmtId="0" fontId="85" fillId="0" borderId="0" xfId="0" applyFont="1"/>
    <xf numFmtId="0" fontId="70" fillId="0" borderId="0" xfId="0" applyFont="1"/>
    <xf numFmtId="0" fontId="51" fillId="2" borderId="0" xfId="4" applyFont="1" applyFill="1"/>
    <xf numFmtId="0" fontId="51" fillId="2" borderId="0" xfId="4" applyFont="1" applyFill="1" applyAlignment="1">
      <alignment horizontal="right"/>
    </xf>
    <xf numFmtId="0" fontId="51" fillId="0" borderId="9" xfId="4" applyFont="1" applyFill="1" applyBorder="1"/>
    <xf numFmtId="0" fontId="51" fillId="0" borderId="9" xfId="4" applyFont="1" applyFill="1" applyBorder="1" applyAlignment="1">
      <alignment horizontal="center" vertical="center"/>
    </xf>
    <xf numFmtId="0" fontId="51" fillId="0" borderId="9" xfId="4" applyFont="1" applyFill="1" applyBorder="1" applyAlignment="1">
      <alignment horizontal="center" vertical="center" wrapText="1"/>
    </xf>
    <xf numFmtId="0" fontId="57" fillId="0" borderId="9" xfId="4" applyFont="1" applyFill="1" applyBorder="1" applyAlignment="1">
      <alignment horizontal="center" vertical="center" wrapText="1"/>
    </xf>
    <xf numFmtId="186" fontId="51" fillId="0" borderId="9" xfId="4" applyNumberFormat="1" applyFont="1" applyFill="1" applyBorder="1" applyAlignment="1">
      <alignment vertical="center"/>
    </xf>
    <xf numFmtId="179" fontId="51" fillId="0" borderId="9" xfId="4" applyNumberFormat="1" applyFont="1" applyFill="1" applyBorder="1" applyAlignment="1">
      <alignment vertical="center"/>
    </xf>
    <xf numFmtId="0" fontId="25" fillId="0" borderId="0" xfId="10" applyFont="1" applyAlignment="1">
      <alignment horizontal="center"/>
    </xf>
    <xf numFmtId="0" fontId="25" fillId="0" borderId="0" xfId="10" applyFont="1" applyAlignment="1">
      <alignment horizontal="distributed"/>
    </xf>
    <xf numFmtId="0" fontId="50" fillId="0" borderId="0" xfId="10" applyFont="1" applyAlignment="1">
      <alignment horizontal="center"/>
    </xf>
    <xf numFmtId="49" fontId="79" fillId="0" borderId="0" xfId="10" applyNumberFormat="1" applyFont="1" applyFill="1" applyAlignment="1">
      <alignment horizontal="left" vertical="top" wrapText="1"/>
    </xf>
    <xf numFmtId="0" fontId="81" fillId="0" borderId="0" xfId="10" applyFont="1" applyAlignment="1">
      <alignment horizontal="center" vertical="top"/>
    </xf>
    <xf numFmtId="0" fontId="81" fillId="0" borderId="0" xfId="10" applyFont="1" applyFill="1" applyAlignment="1">
      <alignment vertical="top"/>
    </xf>
    <xf numFmtId="0" fontId="86" fillId="0" borderId="0" xfId="10" applyFont="1" applyAlignment="1">
      <alignment vertical="center"/>
    </xf>
    <xf numFmtId="0" fontId="81" fillId="0" borderId="0" xfId="10" applyFont="1" applyAlignment="1">
      <alignment vertical="distributed"/>
    </xf>
    <xf numFmtId="0" fontId="81" fillId="0" borderId="0" xfId="10" applyFont="1" applyAlignment="1">
      <alignment horizontal="left" vertical="top" wrapText="1"/>
    </xf>
    <xf numFmtId="49" fontId="81" fillId="0" borderId="0" xfId="10" applyNumberFormat="1" applyFont="1" applyFill="1" applyAlignment="1">
      <alignment horizontal="left" vertical="top" wrapText="1"/>
    </xf>
    <xf numFmtId="0" fontId="21" fillId="2" borderId="14" xfId="4" applyFont="1" applyFill="1" applyBorder="1" applyAlignment="1">
      <alignment horizontal="left" vertical="top" wrapText="1"/>
    </xf>
    <xf numFmtId="0" fontId="50" fillId="0" borderId="0" xfId="10" applyFont="1" applyAlignment="1">
      <alignment horizontal="center" vertical="center"/>
    </xf>
    <xf numFmtId="0" fontId="50" fillId="0" borderId="0" xfId="10" applyFont="1" applyAlignment="1">
      <alignment horizontal="distributed" vertical="center"/>
    </xf>
    <xf numFmtId="0" fontId="25" fillId="0" borderId="0" xfId="10" applyFont="1" applyAlignment="1">
      <alignment horizontal="center"/>
    </xf>
    <xf numFmtId="58" fontId="58" fillId="0" borderId="0" xfId="0" applyNumberFormat="1" applyFont="1" applyFill="1" applyBorder="1" applyAlignment="1">
      <alignment horizontal="left" vertical="center"/>
    </xf>
    <xf numFmtId="0" fontId="60" fillId="0" borderId="9" xfId="3" applyNumberFormat="1" applyFont="1" applyFill="1" applyBorder="1" applyAlignment="1">
      <alignment horizontal="center" vertical="center"/>
    </xf>
    <xf numFmtId="0" fontId="60" fillId="0" borderId="5" xfId="3" applyNumberFormat="1" applyFont="1" applyFill="1" applyBorder="1" applyAlignment="1">
      <alignment horizontal="center" vertical="center"/>
    </xf>
    <xf numFmtId="0" fontId="60" fillId="0" borderId="18" xfId="3" applyNumberFormat="1" applyFont="1" applyFill="1" applyBorder="1" applyAlignment="1">
      <alignment horizontal="center" vertical="center"/>
    </xf>
    <xf numFmtId="176" fontId="60" fillId="0" borderId="2" xfId="3" applyNumberFormat="1" applyFont="1" applyFill="1" applyBorder="1" applyAlignment="1">
      <alignment horizontal="right" vertical="center"/>
    </xf>
    <xf numFmtId="176" fontId="60" fillId="0" borderId="7" xfId="3" applyNumberFormat="1" applyFont="1" applyFill="1" applyBorder="1" applyAlignment="1">
      <alignment horizontal="right" vertical="center"/>
    </xf>
    <xf numFmtId="176" fontId="60" fillId="0" borderId="8" xfId="3" applyNumberFormat="1" applyFont="1" applyFill="1" applyBorder="1" applyAlignment="1">
      <alignment horizontal="right" vertical="center"/>
    </xf>
    <xf numFmtId="185" fontId="60" fillId="0" borderId="5" xfId="1" applyNumberFormat="1" applyFont="1" applyFill="1" applyBorder="1" applyAlignment="1">
      <alignment horizontal="right" vertical="center"/>
    </xf>
    <xf numFmtId="185" fontId="60" fillId="0" borderId="1" xfId="1" applyNumberFormat="1" applyFont="1" applyFill="1" applyBorder="1" applyAlignment="1">
      <alignment horizontal="right" vertical="center"/>
    </xf>
    <xf numFmtId="179" fontId="60" fillId="0" borderId="1" xfId="1" applyNumberFormat="1" applyFont="1" applyFill="1" applyBorder="1" applyAlignment="1">
      <alignment horizontal="right" vertical="top"/>
    </xf>
    <xf numFmtId="179" fontId="60" fillId="0" borderId="10" xfId="1" applyNumberFormat="1" applyFont="1" applyFill="1" applyBorder="1" applyAlignment="1">
      <alignment horizontal="right" vertical="top"/>
    </xf>
    <xf numFmtId="0" fontId="60" fillId="0" borderId="6" xfId="3" applyNumberFormat="1" applyFont="1" applyFill="1" applyBorder="1" applyAlignment="1">
      <alignment horizontal="center" vertical="center"/>
    </xf>
    <xf numFmtId="0" fontId="60" fillId="0" borderId="3" xfId="3" applyNumberFormat="1" applyFont="1" applyFill="1" applyBorder="1" applyAlignment="1">
      <alignment horizontal="center" vertical="center"/>
    </xf>
    <xf numFmtId="0" fontId="60" fillId="0" borderId="4" xfId="3" applyNumberFormat="1" applyFont="1" applyFill="1" applyBorder="1" applyAlignment="1">
      <alignment horizontal="center" vertical="center"/>
    </xf>
    <xf numFmtId="0" fontId="60" fillId="0" borderId="7" xfId="0" applyFont="1" applyBorder="1" applyAlignment="1">
      <alignment horizontal="right" vertical="center"/>
    </xf>
    <xf numFmtId="0" fontId="60" fillId="0" borderId="8" xfId="0" applyFont="1" applyBorder="1" applyAlignment="1">
      <alignment horizontal="right" vertical="center"/>
    </xf>
    <xf numFmtId="0" fontId="60" fillId="0" borderId="1" xfId="0" applyFont="1" applyBorder="1" applyAlignment="1"/>
    <xf numFmtId="0" fontId="60" fillId="0" borderId="10" xfId="0" applyFont="1" applyBorder="1" applyAlignment="1">
      <alignment vertical="top"/>
    </xf>
    <xf numFmtId="176" fontId="60" fillId="0" borderId="2" xfId="3" applyNumberFormat="1" applyFont="1" applyFill="1" applyBorder="1" applyAlignment="1">
      <alignment horizontal="right" vertical="center" shrinkToFit="1"/>
    </xf>
    <xf numFmtId="176" fontId="60" fillId="0" borderId="7" xfId="3" applyNumberFormat="1" applyFont="1" applyFill="1" applyBorder="1" applyAlignment="1">
      <alignment horizontal="right" vertical="center" shrinkToFit="1"/>
    </xf>
    <xf numFmtId="176" fontId="60" fillId="0" borderId="8" xfId="3" applyNumberFormat="1" applyFont="1" applyFill="1" applyBorder="1" applyAlignment="1">
      <alignment horizontal="right" vertical="center" shrinkToFit="1"/>
    </xf>
    <xf numFmtId="176" fontId="60" fillId="0" borderId="5" xfId="3" applyNumberFormat="1" applyFont="1" applyFill="1" applyBorder="1" applyAlignment="1">
      <alignment horizontal="right" vertical="center"/>
    </xf>
    <xf numFmtId="176" fontId="60" fillId="0" borderId="6" xfId="3" applyNumberFormat="1" applyFont="1" applyFill="1" applyBorder="1" applyAlignment="1">
      <alignment horizontal="right" vertical="center"/>
    </xf>
    <xf numFmtId="176" fontId="60" fillId="0" borderId="1" xfId="3" applyNumberFormat="1" applyFont="1" applyFill="1" applyBorder="1" applyAlignment="1">
      <alignment horizontal="right" vertical="center"/>
    </xf>
    <xf numFmtId="176" fontId="60" fillId="0" borderId="20" xfId="3" applyNumberFormat="1" applyFont="1" applyFill="1" applyBorder="1" applyAlignment="1">
      <alignment horizontal="right" vertical="center"/>
    </xf>
    <xf numFmtId="176" fontId="60" fillId="0" borderId="10" xfId="3" applyNumberFormat="1" applyFont="1" applyFill="1" applyBorder="1" applyAlignment="1">
      <alignment horizontal="right" vertical="center"/>
    </xf>
    <xf numFmtId="176" fontId="60" fillId="0" borderId="11" xfId="3" applyNumberFormat="1" applyFont="1" applyFill="1" applyBorder="1" applyAlignment="1">
      <alignment horizontal="right" vertical="center"/>
    </xf>
    <xf numFmtId="185" fontId="60" fillId="0" borderId="5" xfId="1" applyNumberFormat="1" applyFont="1" applyFill="1" applyBorder="1" applyAlignment="1">
      <alignment horizontal="right" vertical="center" shrinkToFit="1"/>
    </xf>
    <xf numFmtId="185" fontId="60" fillId="0" borderId="1" xfId="1" applyNumberFormat="1" applyFont="1" applyFill="1" applyBorder="1" applyAlignment="1">
      <alignment horizontal="right" vertical="center" shrinkToFit="1"/>
    </xf>
    <xf numFmtId="0" fontId="60" fillId="0" borderId="16" xfId="3" applyNumberFormat="1" applyFont="1" applyFill="1" applyBorder="1" applyAlignment="1">
      <alignment horizontal="distributed" vertical="center"/>
    </xf>
    <xf numFmtId="0" fontId="60" fillId="0" borderId="14" xfId="3" applyNumberFormat="1" applyFont="1" applyFill="1" applyBorder="1" applyAlignment="1">
      <alignment horizontal="distributed" vertical="center"/>
    </xf>
    <xf numFmtId="0" fontId="60" fillId="0" borderId="6" xfId="3" applyNumberFormat="1" applyFont="1" applyFill="1" applyBorder="1" applyAlignment="1">
      <alignment horizontal="distributed" vertical="center"/>
    </xf>
    <xf numFmtId="0" fontId="60" fillId="0" borderId="24" xfId="3" applyNumberFormat="1" applyFont="1" applyFill="1" applyBorder="1" applyAlignment="1">
      <alignment horizontal="distributed" vertical="center"/>
    </xf>
    <xf numFmtId="0" fontId="60" fillId="0" borderId="0" xfId="3" applyNumberFormat="1" applyFont="1" applyFill="1" applyBorder="1" applyAlignment="1">
      <alignment horizontal="distributed" vertical="center"/>
    </xf>
    <xf numFmtId="0" fontId="60" fillId="0" borderId="20" xfId="3" applyNumberFormat="1" applyFont="1" applyFill="1" applyBorder="1" applyAlignment="1">
      <alignment horizontal="distributed" vertical="center"/>
    </xf>
    <xf numFmtId="0" fontId="60" fillId="0" borderId="17" xfId="3" applyNumberFormat="1" applyFont="1" applyFill="1" applyBorder="1" applyAlignment="1">
      <alignment horizontal="distributed" vertical="center"/>
    </xf>
    <xf numFmtId="0" fontId="60" fillId="0" borderId="13" xfId="3" applyNumberFormat="1" applyFont="1" applyFill="1" applyBorder="1" applyAlignment="1">
      <alignment horizontal="distributed" vertical="center"/>
    </xf>
    <xf numFmtId="0" fontId="60" fillId="0" borderId="11" xfId="3" applyNumberFormat="1" applyFont="1" applyFill="1" applyBorder="1" applyAlignment="1">
      <alignment horizontal="distributed" vertical="center"/>
    </xf>
    <xf numFmtId="0" fontId="60" fillId="0" borderId="5" xfId="3" applyNumberFormat="1" applyFont="1" applyFill="1" applyBorder="1" applyAlignment="1">
      <alignment horizontal="distributed" vertical="center"/>
    </xf>
    <xf numFmtId="0" fontId="60" fillId="0" borderId="1" xfId="3" applyNumberFormat="1" applyFont="1" applyFill="1" applyBorder="1" applyAlignment="1">
      <alignment horizontal="distributed" vertical="center"/>
    </xf>
    <xf numFmtId="0" fontId="60" fillId="0" borderId="10" xfId="3" applyNumberFormat="1" applyFont="1" applyFill="1" applyBorder="1" applyAlignment="1">
      <alignment horizontal="distributed" vertical="center"/>
    </xf>
    <xf numFmtId="0" fontId="60" fillId="0" borderId="10" xfId="3" applyNumberFormat="1" applyFont="1" applyFill="1" applyBorder="1" applyAlignment="1">
      <alignment horizontal="center" vertical="center"/>
    </xf>
    <xf numFmtId="0" fontId="60" fillId="0" borderId="19" xfId="3" applyNumberFormat="1" applyFont="1" applyFill="1" applyBorder="1" applyAlignment="1">
      <alignment horizontal="center" vertical="center"/>
    </xf>
    <xf numFmtId="0" fontId="60" fillId="0" borderId="11" xfId="3" applyNumberFormat="1" applyFont="1" applyFill="1" applyBorder="1" applyAlignment="1">
      <alignment horizontal="center" vertical="center"/>
    </xf>
    <xf numFmtId="0" fontId="60" fillId="0" borderId="5" xfId="3" applyNumberFormat="1" applyFont="1" applyFill="1" applyBorder="1" applyAlignment="1">
      <alignment horizontal="distributed" vertical="center" shrinkToFit="1"/>
    </xf>
    <xf numFmtId="0" fontId="60" fillId="0" borderId="14" xfId="3" applyNumberFormat="1" applyFont="1" applyFill="1" applyBorder="1" applyAlignment="1">
      <alignment horizontal="distributed" vertical="center" shrinkToFit="1"/>
    </xf>
    <xf numFmtId="0" fontId="60" fillId="0" borderId="6" xfId="3" applyNumberFormat="1" applyFont="1" applyFill="1" applyBorder="1" applyAlignment="1">
      <alignment horizontal="distributed" vertical="center" shrinkToFit="1"/>
    </xf>
    <xf numFmtId="0" fontId="60" fillId="0" borderId="10" xfId="3" applyNumberFormat="1" applyFont="1" applyFill="1" applyBorder="1" applyAlignment="1">
      <alignment horizontal="distributed" vertical="center" shrinkToFit="1"/>
    </xf>
    <xf numFmtId="0" fontId="60" fillId="0" borderId="13" xfId="3" applyNumberFormat="1" applyFont="1" applyFill="1" applyBorder="1" applyAlignment="1">
      <alignment horizontal="distributed" vertical="center" shrinkToFit="1"/>
    </xf>
    <xf numFmtId="0" fontId="60" fillId="0" borderId="11" xfId="3" applyNumberFormat="1" applyFont="1" applyFill="1" applyBorder="1" applyAlignment="1">
      <alignment horizontal="distributed" vertical="center" shrinkToFit="1"/>
    </xf>
    <xf numFmtId="0" fontId="57" fillId="0" borderId="2" xfId="3" applyNumberFormat="1" applyFont="1" applyFill="1" applyBorder="1" applyAlignment="1">
      <alignment horizontal="distributed" vertical="center" wrapText="1"/>
    </xf>
    <xf numFmtId="0" fontId="57" fillId="0" borderId="8" xfId="3" applyNumberFormat="1" applyFont="1" applyFill="1" applyBorder="1" applyAlignment="1">
      <alignment horizontal="distributed" vertical="center" wrapText="1"/>
    </xf>
    <xf numFmtId="0" fontId="57" fillId="0" borderId="5" xfId="3" applyNumberFormat="1" applyFont="1" applyFill="1" applyBorder="1" applyAlignment="1">
      <alignment horizontal="distributed" vertical="center" wrapText="1"/>
    </xf>
    <xf numFmtId="0" fontId="57" fillId="0" borderId="6" xfId="3" applyNumberFormat="1" applyFont="1" applyFill="1" applyBorder="1" applyAlignment="1">
      <alignment horizontal="distributed" vertical="center" wrapText="1"/>
    </xf>
    <xf numFmtId="0" fontId="57" fillId="0" borderId="10" xfId="3" applyNumberFormat="1" applyFont="1" applyFill="1" applyBorder="1" applyAlignment="1">
      <alignment horizontal="distributed" vertical="center" wrapText="1"/>
    </xf>
    <xf numFmtId="0" fontId="57" fillId="0" borderId="11" xfId="3" applyNumberFormat="1" applyFont="1" applyFill="1" applyBorder="1" applyAlignment="1">
      <alignment horizontal="distributed" vertical="center" wrapText="1"/>
    </xf>
    <xf numFmtId="194" fontId="60" fillId="0" borderId="5" xfId="3" applyNumberFormat="1" applyFont="1" applyFill="1" applyBorder="1" applyAlignment="1">
      <alignment horizontal="right" vertical="center"/>
    </xf>
    <xf numFmtId="194" fontId="60" fillId="0" borderId="6" xfId="3" applyNumberFormat="1" applyFont="1" applyFill="1" applyBorder="1" applyAlignment="1">
      <alignment horizontal="right" vertical="center"/>
    </xf>
    <xf numFmtId="194" fontId="60" fillId="0" borderId="10" xfId="3" applyNumberFormat="1" applyFont="1" applyFill="1" applyBorder="1" applyAlignment="1">
      <alignment horizontal="right" vertical="center"/>
    </xf>
    <xf numFmtId="194" fontId="60" fillId="0" borderId="11" xfId="3" applyNumberFormat="1" applyFont="1" applyFill="1" applyBorder="1" applyAlignment="1">
      <alignment horizontal="right" vertical="center"/>
    </xf>
    <xf numFmtId="0" fontId="51" fillId="0" borderId="5" xfId="3" applyNumberFormat="1" applyFont="1" applyFill="1" applyBorder="1" applyAlignment="1">
      <alignment horizontal="distributed" vertical="center" wrapText="1"/>
    </xf>
    <xf numFmtId="0" fontId="51" fillId="0" borderId="14" xfId="3" applyNumberFormat="1" applyFont="1" applyFill="1" applyBorder="1" applyAlignment="1">
      <alignment horizontal="distributed" vertical="center"/>
    </xf>
    <xf numFmtId="0" fontId="51" fillId="0" borderId="1" xfId="3" applyNumberFormat="1" applyFont="1" applyFill="1" applyBorder="1" applyAlignment="1">
      <alignment horizontal="distributed" vertical="center"/>
    </xf>
    <xf numFmtId="0" fontId="51" fillId="0" borderId="0" xfId="3" applyNumberFormat="1" applyFont="1" applyFill="1" applyBorder="1" applyAlignment="1">
      <alignment horizontal="distributed" vertical="center"/>
    </xf>
    <xf numFmtId="0" fontId="51" fillId="0" borderId="10" xfId="3" applyNumberFormat="1" applyFont="1" applyFill="1" applyBorder="1" applyAlignment="1">
      <alignment horizontal="distributed" vertical="center"/>
    </xf>
    <xf numFmtId="0" fontId="51" fillId="0" borderId="13" xfId="3" applyNumberFormat="1" applyFont="1" applyFill="1" applyBorder="1" applyAlignment="1">
      <alignment horizontal="distributed" vertical="center"/>
    </xf>
    <xf numFmtId="179" fontId="60" fillId="0" borderId="1" xfId="1" applyNumberFormat="1" applyFont="1" applyFill="1" applyBorder="1" applyAlignment="1">
      <alignment horizontal="right" vertical="top" shrinkToFit="1"/>
    </xf>
    <xf numFmtId="179" fontId="60" fillId="0" borderId="10" xfId="1" applyNumberFormat="1" applyFont="1" applyFill="1" applyBorder="1" applyAlignment="1">
      <alignment horizontal="right" vertical="top" shrinkToFit="1"/>
    </xf>
    <xf numFmtId="0" fontId="51" fillId="0" borderId="2" xfId="3" applyNumberFormat="1" applyFont="1" applyFill="1" applyBorder="1" applyAlignment="1">
      <alignment horizontal="distributed" vertical="center" wrapText="1"/>
    </xf>
    <xf numFmtId="0" fontId="51" fillId="0" borderId="8" xfId="3" applyNumberFormat="1" applyFont="1" applyFill="1" applyBorder="1" applyAlignment="1">
      <alignment horizontal="distributed" vertical="center" wrapText="1"/>
    </xf>
    <xf numFmtId="194" fontId="60" fillId="0" borderId="2" xfId="3" applyNumberFormat="1" applyFont="1" applyFill="1" applyBorder="1" applyAlignment="1">
      <alignment horizontal="right" vertical="center"/>
    </xf>
    <xf numFmtId="194" fontId="60" fillId="0" borderId="7" xfId="3" applyNumberFormat="1" applyFont="1" applyFill="1" applyBorder="1" applyAlignment="1">
      <alignment horizontal="right" vertical="center"/>
    </xf>
    <xf numFmtId="176" fontId="60" fillId="0" borderId="2" xfId="3" applyNumberFormat="1" applyFont="1" applyFill="1" applyBorder="1" applyAlignment="1">
      <alignment vertical="center"/>
    </xf>
    <xf numFmtId="176" fontId="60" fillId="0" borderId="8" xfId="3" applyNumberFormat="1" applyFont="1" applyFill="1" applyBorder="1" applyAlignment="1">
      <alignment vertical="center"/>
    </xf>
    <xf numFmtId="0" fontId="51" fillId="0" borderId="6" xfId="3" applyNumberFormat="1" applyFont="1" applyFill="1" applyBorder="1" applyAlignment="1">
      <alignment horizontal="distributed" vertical="center" wrapText="1"/>
    </xf>
    <xf numFmtId="0" fontId="51" fillId="0" borderId="1" xfId="3" applyNumberFormat="1" applyFont="1" applyFill="1" applyBorder="1" applyAlignment="1">
      <alignment horizontal="distributed" vertical="center" wrapText="1"/>
    </xf>
    <xf numFmtId="0" fontId="51" fillId="0" borderId="20" xfId="3" applyNumberFormat="1" applyFont="1" applyFill="1" applyBorder="1" applyAlignment="1">
      <alignment horizontal="distributed" vertical="center" wrapText="1"/>
    </xf>
    <xf numFmtId="0" fontId="51" fillId="0" borderId="10" xfId="3" applyNumberFormat="1" applyFont="1" applyFill="1" applyBorder="1" applyAlignment="1">
      <alignment horizontal="distributed" vertical="center" wrapText="1"/>
    </xf>
    <xf numFmtId="0" fontId="51" fillId="0" borderId="11" xfId="3" applyNumberFormat="1" applyFont="1" applyFill="1" applyBorder="1" applyAlignment="1">
      <alignment horizontal="distributed" vertical="center" wrapText="1"/>
    </xf>
    <xf numFmtId="0" fontId="62" fillId="0" borderId="0" xfId="3" applyNumberFormat="1" applyFont="1" applyFill="1" applyAlignment="1">
      <alignment horizontal="center"/>
    </xf>
    <xf numFmtId="189" fontId="62" fillId="0" borderId="0" xfId="3" applyNumberFormat="1" applyFont="1" applyFill="1" applyAlignment="1">
      <alignment horizontal="center"/>
    </xf>
    <xf numFmtId="0" fontId="57" fillId="0" borderId="0" xfId="3" applyNumberFormat="1" applyFont="1" applyFill="1" applyAlignment="1">
      <alignment vertical="center" wrapText="1"/>
    </xf>
    <xf numFmtId="0" fontId="72" fillId="0" borderId="0" xfId="10" applyFont="1" applyFill="1" applyBorder="1" applyAlignment="1">
      <alignment horizontal="left" vertical="distributed" wrapText="1" indent="1"/>
    </xf>
    <xf numFmtId="0" fontId="70" fillId="3" borderId="0" xfId="0" applyFont="1" applyFill="1" applyAlignment="1">
      <alignment vertical="center"/>
    </xf>
    <xf numFmtId="0" fontId="70" fillId="3" borderId="0" xfId="10" applyFont="1" applyFill="1" applyAlignment="1">
      <alignment vertical="center"/>
    </xf>
    <xf numFmtId="0" fontId="60" fillId="0" borderId="0" xfId="10" applyFont="1" applyFill="1" applyAlignment="1">
      <alignment horizontal="left" vertical="distributed" wrapText="1"/>
    </xf>
    <xf numFmtId="0" fontId="75" fillId="0" borderId="0" xfId="10" applyFont="1" applyAlignment="1">
      <alignment horizontal="left" vertical="top" wrapText="1"/>
    </xf>
    <xf numFmtId="0" fontId="70" fillId="3" borderId="0" xfId="10" applyFont="1" applyFill="1" applyAlignment="1">
      <alignment horizontal="left" vertical="center"/>
    </xf>
    <xf numFmtId="0" fontId="70" fillId="0" borderId="14" xfId="10" applyFont="1" applyFill="1" applyBorder="1" applyAlignment="1">
      <alignment horizontal="center" vertical="center"/>
    </xf>
    <xf numFmtId="0" fontId="70" fillId="0" borderId="0" xfId="10" applyFont="1" applyFill="1" applyBorder="1" applyAlignment="1">
      <alignment horizontal="center" vertical="center"/>
    </xf>
    <xf numFmtId="0" fontId="77" fillId="0" borderId="1" xfId="10" applyFont="1" applyFill="1" applyBorder="1" applyAlignment="1">
      <alignment horizontal="left" vertical="center" wrapText="1"/>
    </xf>
    <xf numFmtId="0" fontId="77" fillId="0" borderId="0" xfId="10" applyFont="1" applyFill="1" applyBorder="1" applyAlignment="1">
      <alignment horizontal="left" vertical="center" wrapText="1"/>
    </xf>
    <xf numFmtId="0" fontId="77" fillId="0" borderId="20" xfId="10" applyFont="1" applyFill="1" applyBorder="1" applyAlignment="1">
      <alignment horizontal="left" vertical="center" wrapText="1"/>
    </xf>
    <xf numFmtId="0" fontId="77" fillId="0" borderId="1" xfId="10" applyFont="1" applyFill="1" applyBorder="1" applyAlignment="1">
      <alignment horizontal="left" vertical="distributed" wrapText="1"/>
    </xf>
    <xf numFmtId="0" fontId="77" fillId="0" borderId="0" xfId="10" applyFont="1" applyFill="1" applyBorder="1" applyAlignment="1">
      <alignment horizontal="left" vertical="distributed" wrapText="1"/>
    </xf>
    <xf numFmtId="0" fontId="77" fillId="0" borderId="20" xfId="10" applyFont="1" applyFill="1" applyBorder="1" applyAlignment="1">
      <alignment horizontal="left" vertical="distributed" wrapText="1"/>
    </xf>
    <xf numFmtId="0" fontId="77" fillId="0" borderId="5" xfId="10" applyFont="1" applyFill="1" applyBorder="1" applyAlignment="1">
      <alignment horizontal="left" vertical="distributed" wrapText="1"/>
    </xf>
    <xf numFmtId="0" fontId="77" fillId="0" borderId="14" xfId="10" applyFont="1" applyFill="1" applyBorder="1" applyAlignment="1">
      <alignment horizontal="left" vertical="distributed" wrapText="1"/>
    </xf>
    <xf numFmtId="0" fontId="77" fillId="0" borderId="6" xfId="10" applyFont="1" applyFill="1" applyBorder="1" applyAlignment="1">
      <alignment horizontal="left" vertical="distributed" wrapText="1"/>
    </xf>
    <xf numFmtId="0" fontId="7" fillId="0" borderId="13" xfId="7" applyFill="1" applyBorder="1" applyAlignment="1">
      <alignment vertical="center"/>
    </xf>
    <xf numFmtId="0" fontId="7" fillId="0" borderId="13" xfId="7" applyFill="1" applyBorder="1" applyAlignment="1">
      <alignment horizontal="left" vertical="center"/>
    </xf>
    <xf numFmtId="186" fontId="49" fillId="0" borderId="0" xfId="10" applyNumberFormat="1" applyFont="1" applyBorder="1" applyAlignment="1">
      <alignment horizontal="center" vertical="center"/>
    </xf>
    <xf numFmtId="0" fontId="79" fillId="0" borderId="15" xfId="10" applyFont="1" applyBorder="1" applyAlignment="1">
      <alignment horizontal="distributed" vertical="center" wrapText="1"/>
    </xf>
    <xf numFmtId="0" fontId="79" fillId="0" borderId="44" xfId="10" applyFont="1" applyBorder="1" applyAlignment="1">
      <alignment horizontal="distributed" vertical="center"/>
    </xf>
    <xf numFmtId="0" fontId="79" fillId="0" borderId="41" xfId="10" applyFont="1" applyBorder="1" applyAlignment="1">
      <alignment vertical="center"/>
    </xf>
    <xf numFmtId="0" fontId="79" fillId="0" borderId="2" xfId="10" applyFont="1" applyBorder="1" applyAlignment="1">
      <alignment horizontal="center" vertical="center"/>
    </xf>
    <xf numFmtId="0" fontId="79" fillId="0" borderId="7" xfId="10" applyFont="1" applyBorder="1" applyAlignment="1">
      <alignment horizontal="center" vertical="center"/>
    </xf>
    <xf numFmtId="0" fontId="79" fillId="0" borderId="8" xfId="10" applyFont="1" applyBorder="1" applyAlignment="1">
      <alignment horizontal="center" vertical="center"/>
    </xf>
    <xf numFmtId="0" fontId="79" fillId="0" borderId="35" xfId="10" applyFont="1" applyBorder="1" applyAlignment="1">
      <alignment horizontal="distributed" vertical="center" indent="1"/>
    </xf>
    <xf numFmtId="0" fontId="79" fillId="0" borderId="36" xfId="10" applyFont="1" applyBorder="1" applyAlignment="1">
      <alignment horizontal="distributed" indent="1"/>
    </xf>
    <xf numFmtId="0" fontId="79" fillId="0" borderId="37" xfId="10" applyFont="1" applyBorder="1" applyAlignment="1">
      <alignment horizontal="distributed" indent="1"/>
    </xf>
    <xf numFmtId="0" fontId="79" fillId="0" borderId="50" xfId="10" applyFont="1" applyBorder="1" applyAlignment="1">
      <alignment horizontal="distributed" vertical="center" justifyLastLine="1"/>
    </xf>
    <xf numFmtId="0" fontId="79" fillId="0" borderId="61" xfId="10" applyFont="1" applyBorder="1" applyAlignment="1">
      <alignment horizontal="distributed" vertical="center" justifyLastLine="1"/>
    </xf>
    <xf numFmtId="0" fontId="79" fillId="0" borderId="62" xfId="10" applyFont="1" applyBorder="1" applyAlignment="1">
      <alignment horizontal="distributed" vertical="center" justifyLastLine="1"/>
    </xf>
    <xf numFmtId="0" fontId="79" fillId="0" borderId="13" xfId="10" applyFont="1" applyBorder="1" applyAlignment="1">
      <alignment horizontal="distributed" vertical="center"/>
    </xf>
    <xf numFmtId="0" fontId="79" fillId="0" borderId="32" xfId="10" applyFont="1" applyBorder="1" applyAlignment="1">
      <alignment horizontal="distributed" vertical="center"/>
    </xf>
    <xf numFmtId="0" fontId="79" fillId="0" borderId="6" xfId="10" applyFont="1" applyBorder="1" applyAlignment="1">
      <alignment vertical="center"/>
    </xf>
    <xf numFmtId="0" fontId="79" fillId="0" borderId="11" xfId="10" applyFont="1" applyBorder="1" applyAlignment="1">
      <alignment vertical="center"/>
    </xf>
    <xf numFmtId="0" fontId="81" fillId="0" borderId="0" xfId="10" applyFont="1" applyAlignment="1">
      <alignment horizontal="left" vertical="center" wrapText="1"/>
    </xf>
    <xf numFmtId="0" fontId="79" fillId="0" borderId="3" xfId="10" applyFont="1" applyBorder="1" applyAlignment="1">
      <alignment horizontal="distributed" vertical="center"/>
    </xf>
    <xf numFmtId="49" fontId="81" fillId="0" borderId="0" xfId="10" applyNumberFormat="1" applyFont="1" applyFill="1" applyAlignment="1">
      <alignment horizontal="left" vertical="top" wrapText="1"/>
    </xf>
    <xf numFmtId="0" fontId="79" fillId="0" borderId="13" xfId="10" applyFont="1" applyBorder="1" applyAlignment="1">
      <alignment horizontal="distributed" vertical="center" wrapText="1"/>
    </xf>
    <xf numFmtId="0" fontId="79" fillId="0" borderId="46" xfId="10" applyFont="1" applyBorder="1" applyAlignment="1">
      <alignment vertical="center"/>
    </xf>
    <xf numFmtId="0" fontId="81" fillId="0" borderId="0" xfId="10" applyFont="1" applyFill="1" applyAlignment="1">
      <alignment horizontal="left" vertical="top" wrapText="1"/>
    </xf>
    <xf numFmtId="179" fontId="2" fillId="0" borderId="2" xfId="12" applyNumberFormat="1" applyFill="1" applyBorder="1" applyAlignment="1">
      <alignment vertical="center"/>
    </xf>
    <xf numFmtId="179" fontId="2" fillId="0" borderId="8" xfId="12" applyNumberFormat="1" applyFill="1" applyBorder="1" applyAlignment="1">
      <alignment vertical="center"/>
    </xf>
    <xf numFmtId="184" fontId="2" fillId="0" borderId="2" xfId="12" applyNumberFormat="1" applyBorder="1" applyAlignment="1">
      <alignment horizontal="right" vertical="center"/>
    </xf>
    <xf numFmtId="184" fontId="2" fillId="0" borderId="8" xfId="12" applyNumberFormat="1" applyBorder="1" applyAlignment="1">
      <alignment horizontal="right" vertical="center"/>
    </xf>
    <xf numFmtId="179" fontId="2" fillId="0" borderId="2" xfId="12" applyNumberFormat="1" applyBorder="1" applyAlignment="1">
      <alignment vertical="center"/>
    </xf>
    <xf numFmtId="179" fontId="2" fillId="0" borderId="8" xfId="12" applyNumberFormat="1" applyBorder="1" applyAlignment="1">
      <alignment vertical="center"/>
    </xf>
    <xf numFmtId="0" fontId="2" fillId="0" borderId="13" xfId="12" applyFill="1" applyBorder="1" applyAlignment="1">
      <alignment horizontal="left" vertical="center"/>
    </xf>
    <xf numFmtId="179" fontId="2" fillId="0" borderId="2" xfId="12" applyNumberFormat="1" applyFont="1" applyFill="1" applyBorder="1" applyAlignment="1">
      <alignment horizontal="right" vertical="top"/>
    </xf>
    <xf numFmtId="179" fontId="2" fillId="0" borderId="8" xfId="12" applyNumberFormat="1" applyFont="1" applyFill="1" applyBorder="1" applyAlignment="1">
      <alignment horizontal="right" vertical="top"/>
    </xf>
    <xf numFmtId="0" fontId="16" fillId="0" borderId="13" xfId="12" applyFont="1" applyFill="1" applyBorder="1" applyAlignment="1">
      <alignment horizontal="left" vertical="center"/>
    </xf>
    <xf numFmtId="0" fontId="16" fillId="2" borderId="0" xfId="13" applyFont="1" applyFill="1" applyBorder="1" applyAlignment="1">
      <alignment horizontal="left" vertical="center"/>
    </xf>
    <xf numFmtId="0" fontId="43" fillId="0" borderId="9" xfId="10" applyFont="1" applyBorder="1"/>
    <xf numFmtId="38" fontId="13" fillId="2" borderId="0" xfId="2" applyFont="1" applyFill="1" applyAlignment="1"/>
    <xf numFmtId="38" fontId="12" fillId="0" borderId="0" xfId="2" applyFont="1" applyAlignment="1"/>
    <xf numFmtId="10" fontId="13" fillId="2" borderId="0" xfId="2" applyNumberFormat="1" applyFont="1" applyFill="1" applyAlignment="1"/>
    <xf numFmtId="0" fontId="14" fillId="2" borderId="1" xfId="0" applyNumberFormat="1" applyFont="1" applyFill="1" applyBorder="1" applyAlignment="1">
      <alignment horizontal="center" vertical="center"/>
    </xf>
    <xf numFmtId="0" fontId="14" fillId="2" borderId="20" xfId="0" applyNumberFormat="1" applyFont="1" applyFill="1" applyBorder="1" applyAlignment="1">
      <alignment horizontal="center" vertical="center"/>
    </xf>
    <xf numFmtId="0" fontId="14" fillId="2" borderId="10" xfId="0" applyNumberFormat="1" applyFont="1" applyFill="1" applyBorder="1" applyAlignment="1">
      <alignment horizontal="center" vertical="center"/>
    </xf>
    <xf numFmtId="0" fontId="14" fillId="2" borderId="11" xfId="0" applyNumberFormat="1" applyFont="1" applyFill="1" applyBorder="1" applyAlignment="1">
      <alignment horizontal="center" vertical="center"/>
    </xf>
    <xf numFmtId="0" fontId="14" fillId="2" borderId="25" xfId="0" applyNumberFormat="1" applyFont="1" applyFill="1" applyBorder="1" applyAlignment="1">
      <alignment vertical="center" wrapText="1"/>
    </xf>
    <xf numFmtId="0" fontId="0" fillId="0" borderId="26" xfId="0" applyBorder="1" applyAlignment="1">
      <alignment vertical="center"/>
    </xf>
    <xf numFmtId="0" fontId="0" fillId="0" borderId="27" xfId="0" applyBorder="1" applyAlignment="1">
      <alignment vertical="center"/>
    </xf>
    <xf numFmtId="182" fontId="14" fillId="0" borderId="9" xfId="0" applyNumberFormat="1" applyFont="1" applyFill="1" applyBorder="1" applyAlignment="1">
      <alignment horizontal="right" vertical="center"/>
    </xf>
    <xf numFmtId="176" fontId="14" fillId="0" borderId="9" xfId="0" applyNumberFormat="1" applyFont="1" applyFill="1" applyBorder="1" applyAlignment="1">
      <alignment horizontal="right" vertical="center"/>
    </xf>
    <xf numFmtId="0" fontId="14" fillId="0" borderId="9" xfId="0" applyNumberFormat="1" applyFont="1" applyFill="1" applyBorder="1" applyAlignment="1">
      <alignment horizontal="left" vertical="center"/>
    </xf>
    <xf numFmtId="176" fontId="14" fillId="2" borderId="22" xfId="0" applyNumberFormat="1" applyFont="1" applyFill="1" applyBorder="1" applyAlignment="1">
      <alignment horizontal="right" vertical="center"/>
    </xf>
    <xf numFmtId="176" fontId="14" fillId="2" borderId="30" xfId="0" applyNumberFormat="1" applyFont="1" applyFill="1" applyBorder="1" applyAlignment="1">
      <alignment horizontal="right" vertical="center"/>
    </xf>
    <xf numFmtId="177" fontId="14" fillId="0" borderId="3" xfId="0" applyNumberFormat="1" applyFont="1" applyFill="1" applyBorder="1" applyAlignment="1">
      <alignment horizontal="right" vertical="center"/>
    </xf>
    <xf numFmtId="180" fontId="14" fillId="0" borderId="4" xfId="0" applyNumberFormat="1" applyFont="1" applyFill="1" applyBorder="1" applyAlignment="1">
      <alignment horizontal="right" vertical="center"/>
    </xf>
    <xf numFmtId="0" fontId="60" fillId="0" borderId="0" xfId="0" applyFont="1"/>
    <xf numFmtId="0" fontId="60" fillId="0" borderId="0" xfId="0" applyFont="1" applyAlignment="1"/>
    <xf numFmtId="0" fontId="60" fillId="0" borderId="13" xfId="0" applyFont="1" applyBorder="1" applyAlignment="1">
      <alignment horizontal="center"/>
    </xf>
    <xf numFmtId="0" fontId="60" fillId="0" borderId="0" xfId="0" applyFont="1" applyAlignment="1">
      <alignment vertical="center"/>
    </xf>
    <xf numFmtId="0" fontId="60" fillId="0" borderId="14" xfId="0" applyFont="1" applyBorder="1" applyAlignment="1">
      <alignment shrinkToFit="1"/>
    </xf>
    <xf numFmtId="0" fontId="60" fillId="0" borderId="0" xfId="0" applyFont="1" applyBorder="1" applyAlignment="1">
      <alignment horizontal="right" vertical="center"/>
    </xf>
    <xf numFmtId="0" fontId="60" fillId="0" borderId="0" xfId="0" applyFont="1" applyAlignment="1">
      <alignment horizontal="left"/>
    </xf>
    <xf numFmtId="0" fontId="54" fillId="0" borderId="34" xfId="0" applyNumberFormat="1" applyFont="1" applyBorder="1" applyAlignment="1">
      <alignment horizontal="right"/>
    </xf>
    <xf numFmtId="0" fontId="53" fillId="0" borderId="57" xfId="0" applyNumberFormat="1" applyFont="1" applyBorder="1" applyAlignment="1">
      <alignment horizontal="center" vertical="center"/>
    </xf>
    <xf numFmtId="0" fontId="53" fillId="0" borderId="54" xfId="0" applyNumberFormat="1" applyFont="1" applyBorder="1" applyAlignment="1">
      <alignment horizontal="center" vertical="center"/>
    </xf>
    <xf numFmtId="176" fontId="53" fillId="0" borderId="69" xfId="0" applyNumberFormat="1" applyFont="1" applyBorder="1" applyAlignment="1">
      <alignment horizontal="right" vertical="center"/>
    </xf>
    <xf numFmtId="0" fontId="0" fillId="0" borderId="68" xfId="0" applyBorder="1"/>
    <xf numFmtId="0" fontId="55" fillId="0" borderId="0" xfId="0" applyFont="1" applyAlignment="1">
      <alignment horizontal="center"/>
    </xf>
    <xf numFmtId="0" fontId="55" fillId="0" borderId="0" xfId="0" applyFont="1" applyAlignment="1">
      <alignment horizontal="right"/>
    </xf>
    <xf numFmtId="0" fontId="56" fillId="0" borderId="0" xfId="0" applyFont="1" applyAlignment="1">
      <alignment horizontal="left"/>
    </xf>
    <xf numFmtId="0" fontId="53" fillId="0" borderId="80" xfId="0" applyNumberFormat="1" applyFont="1" applyBorder="1" applyAlignment="1">
      <alignment horizontal="center" vertical="center"/>
    </xf>
    <xf numFmtId="0" fontId="0" fillId="0" borderId="79" xfId="0" applyBorder="1"/>
    <xf numFmtId="0" fontId="0" fillId="0" borderId="78" xfId="0" applyBorder="1"/>
    <xf numFmtId="0" fontId="0" fillId="0" borderId="54" xfId="0" applyBorder="1"/>
    <xf numFmtId="0" fontId="0" fillId="0" borderId="41" xfId="0" applyBorder="1"/>
    <xf numFmtId="176" fontId="53" fillId="0" borderId="69" xfId="0" applyNumberFormat="1" applyFont="1" applyFill="1" applyBorder="1" applyAlignment="1">
      <alignment horizontal="right" vertical="center"/>
    </xf>
    <xf numFmtId="0" fontId="0" fillId="0" borderId="70" xfId="0" applyFill="1" applyBorder="1"/>
    <xf numFmtId="0" fontId="53" fillId="0" borderId="41" xfId="0" applyNumberFormat="1" applyFont="1" applyBorder="1" applyAlignment="1">
      <alignment horizontal="center" vertical="center"/>
    </xf>
    <xf numFmtId="0" fontId="0" fillId="0" borderId="46" xfId="0" applyBorder="1"/>
    <xf numFmtId="176" fontId="53" fillId="0" borderId="70" xfId="0" applyNumberFormat="1" applyFont="1" applyFill="1" applyBorder="1" applyAlignment="1">
      <alignment horizontal="right" vertical="center"/>
    </xf>
    <xf numFmtId="0" fontId="0" fillId="0" borderId="73" xfId="0" applyFill="1" applyBorder="1"/>
    <xf numFmtId="176" fontId="53" fillId="0" borderId="71" xfId="0" applyNumberFormat="1" applyFont="1" applyFill="1" applyBorder="1" applyAlignment="1">
      <alignment horizontal="right" vertical="center"/>
    </xf>
    <xf numFmtId="176" fontId="53" fillId="0" borderId="58" xfId="0" applyNumberFormat="1" applyFont="1" applyFill="1" applyBorder="1" applyAlignment="1">
      <alignment horizontal="right" vertical="center"/>
    </xf>
    <xf numFmtId="0" fontId="0" fillId="0" borderId="55" xfId="0" applyBorder="1"/>
    <xf numFmtId="0" fontId="0" fillId="0" borderId="68" xfId="0" applyFill="1" applyBorder="1"/>
    <xf numFmtId="0" fontId="53" fillId="0" borderId="55" xfId="0" applyNumberFormat="1" applyFont="1" applyBorder="1" applyAlignment="1">
      <alignment horizontal="center" vertical="center"/>
    </xf>
    <xf numFmtId="176" fontId="53" fillId="6" borderId="68" xfId="0" applyNumberFormat="1" applyFont="1" applyFill="1" applyBorder="1" applyAlignment="1">
      <alignment horizontal="right" vertical="center"/>
    </xf>
    <xf numFmtId="176" fontId="53" fillId="6" borderId="65" xfId="0" applyNumberFormat="1" applyFont="1" applyFill="1" applyBorder="1" applyAlignment="1">
      <alignment horizontal="right" vertical="center"/>
    </xf>
    <xf numFmtId="0" fontId="52" fillId="5" borderId="0" xfId="0" applyFont="1" applyFill="1" applyBorder="1" applyAlignment="1">
      <alignment horizontal="center" vertical="center"/>
    </xf>
    <xf numFmtId="0" fontId="0" fillId="0" borderId="58" xfId="0" applyFill="1" applyBorder="1"/>
  </cellXfs>
  <cellStyles count="18">
    <cellStyle name="パーセント" xfId="1" builtinId="5"/>
    <cellStyle name="パーセント 2" xfId="16" xr:uid="{00000000-0005-0000-0000-000001000000}"/>
    <cellStyle name="パーセント 3" xfId="17" xr:uid="{00000000-0005-0000-0000-000002000000}"/>
    <cellStyle name="桁区切り" xfId="2" builtinId="6"/>
    <cellStyle name="桁区切り 2" xfId="5" xr:uid="{00000000-0005-0000-0000-000004000000}"/>
    <cellStyle name="桁区切り 3" xfId="11" xr:uid="{00000000-0005-0000-0000-000005000000}"/>
    <cellStyle name="桁区切り 4" xfId="15" xr:uid="{00000000-0005-0000-0000-000006000000}"/>
    <cellStyle name="標準" xfId="0" builtinId="0"/>
    <cellStyle name="標準 2" xfId="4" xr:uid="{00000000-0005-0000-0000-000008000000}"/>
    <cellStyle name="標準 2 2" xfId="9" xr:uid="{00000000-0005-0000-0000-000009000000}"/>
    <cellStyle name="標準 2 3" xfId="10" xr:uid="{00000000-0005-0000-0000-00000A000000}"/>
    <cellStyle name="標準 3" xfId="8" xr:uid="{00000000-0005-0000-0000-00000B000000}"/>
    <cellStyle name="標準 4" xfId="14" xr:uid="{00000000-0005-0000-0000-00000C000000}"/>
    <cellStyle name="標準_03 頁１・３・４・５・６・８" xfId="6" xr:uid="{00000000-0005-0000-0000-00000D000000}"/>
    <cellStyle name="標準_04 頁５・６ 2 2 2" xfId="13" xr:uid="{00000000-0005-0000-0000-00000E000000}"/>
    <cellStyle name="標準_04 頁５・６ 3" xfId="7" xr:uid="{00000000-0005-0000-0000-00000F000000}"/>
    <cellStyle name="標準_04 頁５・６ 3 2" xfId="12" xr:uid="{00000000-0005-0000-0000-000010000000}"/>
    <cellStyle name="標準_手持資料⑬" xfId="3"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worksheet" Target="worksheets/sheet11.xml"/><Relationship Id="rId18" Type="http://schemas.openxmlformats.org/officeDocument/2006/relationships/worksheet" Target="worksheets/sheet1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6.xml"/><Relationship Id="rId12" Type="http://schemas.openxmlformats.org/officeDocument/2006/relationships/worksheet" Target="worksheets/sheet10.xml"/><Relationship Id="rId17" Type="http://schemas.openxmlformats.org/officeDocument/2006/relationships/worksheet" Target="worksheets/sheet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hartsheet" Target="chartsheets/sheet3.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9.xml"/><Relationship Id="rId24" Type="http://schemas.openxmlformats.org/officeDocument/2006/relationships/styles" Target="styles.xml"/><Relationship Id="rId5" Type="http://schemas.openxmlformats.org/officeDocument/2006/relationships/chartsheet" Target="chartsheets/sheet1.xml"/><Relationship Id="rId15" Type="http://schemas.openxmlformats.org/officeDocument/2006/relationships/worksheet" Target="worksheets/sheet13.xml"/><Relationship Id="rId23" Type="http://schemas.openxmlformats.org/officeDocument/2006/relationships/theme" Target="theme/theme1.xml"/><Relationship Id="rId10" Type="http://schemas.openxmlformats.org/officeDocument/2006/relationships/worksheet" Target="worksheets/sheet8.xml"/><Relationship Id="rId19" Type="http://schemas.openxmlformats.org/officeDocument/2006/relationships/worksheet" Target="worksheets/sheet16.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worksheet" Target="worksheets/sheet12.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歳出の性質別内訳の推移（普通会計）</a:t>
            </a:r>
          </a:p>
        </c:rich>
      </c:tx>
      <c:layout>
        <c:manualLayout>
          <c:xMode val="edge"/>
          <c:yMode val="edge"/>
          <c:x val="0.31541721114648624"/>
          <c:y val="2.023122472009841E-2"/>
        </c:manualLayout>
      </c:layout>
      <c:overlay val="0"/>
      <c:spPr>
        <a:noFill/>
        <a:ln w="25400">
          <a:noFill/>
        </a:ln>
      </c:spPr>
    </c:title>
    <c:autoTitleDeleted val="0"/>
    <c:plotArea>
      <c:layout>
        <c:manualLayout>
          <c:layoutTarget val="inner"/>
          <c:xMode val="edge"/>
          <c:yMode val="edge"/>
          <c:x val="0.12823603432549838"/>
          <c:y val="9.3135227661759704E-2"/>
          <c:w val="0.77227722772277263"/>
          <c:h val="0.73822663471413963"/>
        </c:manualLayout>
      </c:layout>
      <c:barChart>
        <c:barDir val="col"/>
        <c:grouping val="stacked"/>
        <c:varyColors val="0"/>
        <c:ser>
          <c:idx val="4"/>
          <c:order val="0"/>
          <c:tx>
            <c:v>人件費</c:v>
          </c:tx>
          <c:spPr>
            <a:solidFill>
              <a:srgbClr val="FF8080"/>
            </a:solidFill>
            <a:ln w="12700">
              <a:solidFill>
                <a:srgbClr val="000000"/>
              </a:solidFill>
              <a:prstDash val="solid"/>
            </a:ln>
          </c:spPr>
          <c:invertIfNegative val="0"/>
          <c:dLbls>
            <c:dLbl>
              <c:idx val="0"/>
              <c:tx>
                <c:rich>
                  <a:bodyPr/>
                  <a:lstStyle/>
                  <a:p>
                    <a:fld id="{B4C16CB2-FE71-48C2-809E-3A47BF0804B5}" type="VALUE">
                      <a:rPr lang="en-US" altLang="ja-JP"/>
                      <a:pPr/>
                      <a:t>[値]</a:t>
                    </a:fld>
                    <a:endParaRPr lang="en-US" altLang="ja-JP"/>
                  </a:p>
                  <a:p>
                    <a:r>
                      <a:rPr lang="en-US" altLang="ja-JP" sz="650"/>
                      <a:t>(18.1)</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09C2-4499-8752-C8977E9DEE85}"/>
                </c:ext>
              </c:extLst>
            </c:dLbl>
            <c:dLbl>
              <c:idx val="1"/>
              <c:tx>
                <c:rich>
                  <a:bodyPr/>
                  <a:lstStyle/>
                  <a:p>
                    <a:fld id="{E9444DEA-255E-4BCD-A09A-0AE45414CD84}" type="VALUE">
                      <a:rPr lang="en-US" altLang="ja-JP"/>
                      <a:pPr/>
                      <a:t>[値]</a:t>
                    </a:fld>
                    <a:endParaRPr lang="en-US" altLang="ja-JP"/>
                  </a:p>
                  <a:p>
                    <a:r>
                      <a:rPr lang="en-US" altLang="ja-JP" sz="650"/>
                      <a:t>(12.5)</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9C2-4499-8752-C8977E9DEE85}"/>
                </c:ext>
              </c:extLst>
            </c:dLbl>
            <c:dLbl>
              <c:idx val="2"/>
              <c:tx>
                <c:rich>
                  <a:bodyPr/>
                  <a:lstStyle/>
                  <a:p>
                    <a:fld id="{EAF14434-E757-4986-BBF7-63B40B90090F}" type="VALUE">
                      <a:rPr lang="en-US" altLang="ja-JP"/>
                      <a:pPr/>
                      <a:t>[値]</a:t>
                    </a:fld>
                    <a:endParaRPr lang="en-US" altLang="ja-JP"/>
                  </a:p>
                  <a:p>
                    <a:r>
                      <a:rPr lang="en-US" altLang="ja-JP" sz="650"/>
                      <a:t>(17.3)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09C2-4499-8752-C8977E9DEE85}"/>
                </c:ext>
              </c:extLst>
            </c:dLbl>
            <c:dLbl>
              <c:idx val="3"/>
              <c:tx>
                <c:rich>
                  <a:bodyPr/>
                  <a:lstStyle/>
                  <a:p>
                    <a:fld id="{A5817223-D3F9-4035-B4AB-FFBF6CDA8BA9}" type="VALUE">
                      <a:rPr lang="en-US" altLang="ja-JP"/>
                      <a:pPr/>
                      <a:t>[値]</a:t>
                    </a:fld>
                    <a:endParaRPr lang="en-US" altLang="ja-JP"/>
                  </a:p>
                  <a:p>
                    <a:r>
                      <a:rPr lang="en-US" altLang="ja-JP" sz="650"/>
                      <a:t>(17.2)</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09C2-4499-8752-C8977E9DEE85}"/>
                </c:ext>
              </c:extLst>
            </c:dLbl>
            <c:dLbl>
              <c:idx val="4"/>
              <c:tx>
                <c:rich>
                  <a:bodyPr/>
                  <a:lstStyle/>
                  <a:p>
                    <a:fld id="{65FEF41C-D1D3-4E33-881D-2FB4FB9E0151}" type="VALUE">
                      <a:rPr lang="en-US" altLang="ja-JP"/>
                      <a:pPr/>
                      <a:t>[値]</a:t>
                    </a:fld>
                    <a:endParaRPr lang="en-US" altLang="ja-JP"/>
                  </a:p>
                  <a:p>
                    <a:r>
                      <a:rPr lang="en-US" altLang="ja-JP" sz="650"/>
                      <a:t>(17.3)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09C2-4499-8752-C8977E9DEE85}"/>
                </c:ext>
              </c:extLst>
            </c:dLbl>
            <c:dLbl>
              <c:idx val="5"/>
              <c:tx>
                <c:rich>
                  <a:bodyPr/>
                  <a:lstStyle/>
                  <a:p>
                    <a:fld id="{51F243E8-0CED-45D4-B32E-70C3431392EB}" type="VALUE">
                      <a:rPr lang="en-US" altLang="ja-JP"/>
                      <a:pPr/>
                      <a:t>[値]</a:t>
                    </a:fld>
                    <a:endParaRPr lang="en-US" altLang="ja-JP"/>
                  </a:p>
                  <a:p>
                    <a:r>
                      <a:rPr lang="en-US" altLang="ja-JP" sz="650"/>
                      <a:t>(15.2)</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9C2-4499-8752-C8977E9DEE85}"/>
                </c:ext>
              </c:extLst>
            </c:dLbl>
            <c:dLbl>
              <c:idx val="6"/>
              <c:tx>
                <c:rich>
                  <a:bodyPr/>
                  <a:lstStyle/>
                  <a:p>
                    <a:fld id="{0EFD63D4-930C-4AE8-99DC-257DCCFEB58A}" type="VALUE">
                      <a:rPr lang="en-US" altLang="ja-JP"/>
                      <a:pPr/>
                      <a:t>[値]</a:t>
                    </a:fld>
                    <a:endParaRPr lang="en-US" altLang="ja-JP"/>
                  </a:p>
                  <a:p>
                    <a:r>
                      <a:rPr lang="en-US" altLang="ja-JP" sz="650"/>
                      <a:t>(17.3)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09C2-4499-8752-C8977E9DEE85}"/>
                </c:ext>
              </c:extLst>
            </c:dLbl>
            <c:dLbl>
              <c:idx val="7"/>
              <c:tx>
                <c:rich>
                  <a:bodyPr/>
                  <a:lstStyle/>
                  <a:p>
                    <a:fld id="{42FDFD2F-D1CA-4D56-9648-63352C0C6F89}" type="VALUE">
                      <a:rPr lang="en-US" altLang="ja-JP"/>
                      <a:pPr/>
                      <a:t>[値]</a:t>
                    </a:fld>
                    <a:endParaRPr lang="en-US" altLang="ja-JP"/>
                  </a:p>
                  <a:p>
                    <a:r>
                      <a:rPr lang="en-US" altLang="ja-JP" sz="650"/>
                      <a:t>(15.2)</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09C2-4499-8752-C8977E9DEE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頁４データ!$C$48:$N$48</c:f>
              <c:strCache>
                <c:ptCount val="6"/>
                <c:pt idx="0">
                  <c:v>H８決算</c:v>
                </c:pt>
                <c:pt idx="1">
                  <c:v>H28決算</c:v>
                </c:pt>
                <c:pt idx="2">
                  <c:v>H29決算</c:v>
                </c:pt>
                <c:pt idx="3">
                  <c:v>H30決算</c:v>
                </c:pt>
                <c:pt idx="4">
                  <c:v>R元決算</c:v>
                </c:pt>
                <c:pt idx="5">
                  <c:v>R２決算</c:v>
                </c:pt>
              </c:strCache>
            </c:strRef>
          </c:cat>
          <c:val>
            <c:numRef>
              <c:f>頁４データ!$C$44:$N$44</c:f>
              <c:numCache>
                <c:formatCode>#,##0;"△ "#,##0</c:formatCode>
                <c:ptCount val="6"/>
                <c:pt idx="0">
                  <c:v>333494</c:v>
                </c:pt>
                <c:pt idx="1">
                  <c:v>196519</c:v>
                </c:pt>
                <c:pt idx="2">
                  <c:v>300874</c:v>
                </c:pt>
                <c:pt idx="3">
                  <c:v>302071</c:v>
                </c:pt>
                <c:pt idx="4">
                  <c:v>304487</c:v>
                </c:pt>
                <c:pt idx="5">
                  <c:v>305796</c:v>
                </c:pt>
              </c:numCache>
            </c:numRef>
          </c:val>
          <c:extLst>
            <c:ext xmlns:c16="http://schemas.microsoft.com/office/drawing/2014/chart" uri="{C3380CC4-5D6E-409C-BE32-E72D297353CC}">
              <c16:uniqueId val="{00000008-09C2-4499-8752-C8977E9DEE85}"/>
            </c:ext>
          </c:extLst>
        </c:ser>
        <c:ser>
          <c:idx val="3"/>
          <c:order val="1"/>
          <c:tx>
            <c:v>扶助費</c:v>
          </c:tx>
          <c:spPr>
            <a:solidFill>
              <a:srgbClr val="00CCFF"/>
            </a:solidFill>
            <a:ln w="12700">
              <a:solidFill>
                <a:srgbClr val="000000"/>
              </a:solidFill>
              <a:prstDash val="solid"/>
            </a:ln>
          </c:spPr>
          <c:invertIfNegative val="0"/>
          <c:dLbls>
            <c:dLbl>
              <c:idx val="0"/>
              <c:tx>
                <c:rich>
                  <a:bodyPr/>
                  <a:lstStyle/>
                  <a:p>
                    <a:fld id="{F5CBA0D5-9570-41F6-96EE-7020D437C56D}" type="VALUE">
                      <a:rPr lang="en-US" altLang="ja-JP"/>
                      <a:pPr/>
                      <a:t>[値]</a:t>
                    </a:fld>
                    <a:endParaRPr lang="en-US" altLang="ja-JP"/>
                  </a:p>
                  <a:p>
                    <a:r>
                      <a:rPr lang="en-US" altLang="ja-JP" sz="650"/>
                      <a:t>(11.8)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09C2-4499-8752-C8977E9DEE85}"/>
                </c:ext>
              </c:extLst>
            </c:dLbl>
            <c:dLbl>
              <c:idx val="1"/>
              <c:tx>
                <c:rich>
                  <a:bodyPr/>
                  <a:lstStyle/>
                  <a:p>
                    <a:fld id="{C6B3A1D4-F96F-48D3-938C-B9499D512593}" type="VALUE">
                      <a:rPr lang="en-US" altLang="ja-JP"/>
                      <a:pPr/>
                      <a:t>[値]</a:t>
                    </a:fld>
                    <a:endParaRPr lang="en-US" altLang="ja-JP"/>
                  </a:p>
                  <a:p>
                    <a:r>
                      <a:rPr lang="en-US" altLang="ja-JP" sz="650"/>
                      <a:t>(34.4)</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09C2-4499-8752-C8977E9DEE85}"/>
                </c:ext>
              </c:extLst>
            </c:dLbl>
            <c:dLbl>
              <c:idx val="2"/>
              <c:tx>
                <c:rich>
                  <a:bodyPr/>
                  <a:lstStyle/>
                  <a:p>
                    <a:fld id="{5B8190F0-9499-430C-AF37-142E545C4984}" type="VALUE">
                      <a:rPr lang="en-US" altLang="ja-JP"/>
                      <a:pPr/>
                      <a:t>[値]</a:t>
                    </a:fld>
                    <a:endParaRPr lang="en-US" altLang="ja-JP"/>
                  </a:p>
                  <a:p>
                    <a:r>
                      <a:rPr lang="en-US" altLang="ja-JP" sz="650"/>
                      <a:t>(31.7)</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09C2-4499-8752-C8977E9DEE85}"/>
                </c:ext>
              </c:extLst>
            </c:dLbl>
            <c:dLbl>
              <c:idx val="3"/>
              <c:tx>
                <c:rich>
                  <a:bodyPr/>
                  <a:lstStyle/>
                  <a:p>
                    <a:fld id="{C6C2A84E-5AC3-4F33-ACE9-CB8C89916FF9}" type="VALUE">
                      <a:rPr lang="en-US" altLang="ja-JP"/>
                      <a:pPr/>
                      <a:t>[値]</a:t>
                    </a:fld>
                    <a:endParaRPr lang="en-US" altLang="ja-JP"/>
                  </a:p>
                  <a:p>
                    <a:r>
                      <a:rPr lang="en-US" altLang="ja-JP" sz="650"/>
                      <a:t>(31.5)</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09C2-4499-8752-C8977E9DEE85}"/>
                </c:ext>
              </c:extLst>
            </c:dLbl>
            <c:dLbl>
              <c:idx val="4"/>
              <c:tx>
                <c:rich>
                  <a:bodyPr/>
                  <a:lstStyle/>
                  <a:p>
                    <a:fld id="{E1B9E250-87A8-4F9D-B196-F117E05AA500}" type="VALUE">
                      <a:rPr lang="en-US" altLang="ja-JP"/>
                      <a:pPr/>
                      <a:t>[値]</a:t>
                    </a:fld>
                    <a:endParaRPr lang="en-US" altLang="ja-JP"/>
                  </a:p>
                  <a:p>
                    <a:r>
                      <a:rPr lang="en-US" altLang="ja-JP" sz="650"/>
                      <a:t>(32.6)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09C2-4499-8752-C8977E9DEE85}"/>
                </c:ext>
              </c:extLst>
            </c:dLbl>
            <c:dLbl>
              <c:idx val="5"/>
              <c:tx>
                <c:rich>
                  <a:bodyPr wrap="square" lIns="38100" tIns="19050" rIns="38100" bIns="19050" anchor="ctr">
                    <a:noAutofit/>
                  </a:bodyPr>
                  <a:lstStyle/>
                  <a:p>
                    <a:pPr>
                      <a:defRPr/>
                    </a:pPr>
                    <a:r>
                      <a:rPr lang="en-US" altLang="ja-JP"/>
                      <a:t>5,894</a:t>
                    </a:r>
                  </a:p>
                  <a:p>
                    <a:pPr>
                      <a:defRPr/>
                    </a:pPr>
                    <a:r>
                      <a:rPr lang="en-US" altLang="ja-JP" sz="650"/>
                      <a:t>(29.3)</a:t>
                    </a:r>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0E-09C2-4499-8752-C8977E9DEE85}"/>
                </c:ext>
              </c:extLst>
            </c:dLbl>
            <c:dLbl>
              <c:idx val="6"/>
              <c:tx>
                <c:rich>
                  <a:bodyPr/>
                  <a:lstStyle/>
                  <a:p>
                    <a:fld id="{44136E58-E51F-401F-AA99-C17F5521B7D1}" type="VALUE">
                      <a:rPr lang="en-US" altLang="ja-JP"/>
                      <a:pPr/>
                      <a:t>[値]</a:t>
                    </a:fld>
                    <a:endParaRPr lang="en-US" altLang="ja-JP"/>
                  </a:p>
                  <a:p>
                    <a:r>
                      <a:rPr lang="en-US" altLang="ja-JP" sz="650"/>
                      <a:t>(32.6)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09C2-4499-8752-C8977E9DEE85}"/>
                </c:ext>
              </c:extLst>
            </c:dLbl>
            <c:dLbl>
              <c:idx val="7"/>
              <c:tx>
                <c:rich>
                  <a:bodyPr/>
                  <a:lstStyle/>
                  <a:p>
                    <a:fld id="{1AFBA10A-883D-48E3-989A-B2735C84B865}" type="VALUE">
                      <a:rPr lang="en-US" altLang="ja-JP"/>
                      <a:pPr/>
                      <a:t>[値]</a:t>
                    </a:fld>
                    <a:endParaRPr lang="en-US" altLang="ja-JP"/>
                  </a:p>
                  <a:p>
                    <a:r>
                      <a:rPr lang="en-US" altLang="ja-JP" sz="650"/>
                      <a:t>(29.3)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09C2-4499-8752-C8977E9DEE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頁４データ!$C$48:$N$48</c:f>
              <c:strCache>
                <c:ptCount val="6"/>
                <c:pt idx="0">
                  <c:v>H８決算</c:v>
                </c:pt>
                <c:pt idx="1">
                  <c:v>H28決算</c:v>
                </c:pt>
                <c:pt idx="2">
                  <c:v>H29決算</c:v>
                </c:pt>
                <c:pt idx="3">
                  <c:v>H30決算</c:v>
                </c:pt>
                <c:pt idx="4">
                  <c:v>R元決算</c:v>
                </c:pt>
                <c:pt idx="5">
                  <c:v>R２決算</c:v>
                </c:pt>
              </c:strCache>
            </c:strRef>
          </c:cat>
          <c:val>
            <c:numRef>
              <c:f>頁４データ!$C$43:$N$43</c:f>
              <c:numCache>
                <c:formatCode>#,##0;"△ "#,##0</c:formatCode>
                <c:ptCount val="6"/>
                <c:pt idx="0">
                  <c:v>217325</c:v>
                </c:pt>
                <c:pt idx="1">
                  <c:v>541680</c:v>
                </c:pt>
                <c:pt idx="2">
                  <c:v>552538</c:v>
                </c:pt>
                <c:pt idx="3">
                  <c:v>553538</c:v>
                </c:pt>
                <c:pt idx="4">
                  <c:v>572052</c:v>
                </c:pt>
                <c:pt idx="5">
                  <c:v>589363</c:v>
                </c:pt>
              </c:numCache>
            </c:numRef>
          </c:val>
          <c:extLst>
            <c:ext xmlns:c16="http://schemas.microsoft.com/office/drawing/2014/chart" uri="{C3380CC4-5D6E-409C-BE32-E72D297353CC}">
              <c16:uniqueId val="{00000011-09C2-4499-8752-C8977E9DEE85}"/>
            </c:ext>
          </c:extLst>
        </c:ser>
        <c:ser>
          <c:idx val="2"/>
          <c:order val="2"/>
          <c:tx>
            <c:v>公債費</c:v>
          </c:tx>
          <c:spPr>
            <a:solidFill>
              <a:srgbClr val="FFFF00"/>
            </a:solidFill>
            <a:ln w="12700">
              <a:solidFill>
                <a:srgbClr val="000000"/>
              </a:solidFill>
              <a:prstDash val="solid"/>
            </a:ln>
          </c:spPr>
          <c:invertIfNegative val="0"/>
          <c:dLbls>
            <c:dLbl>
              <c:idx val="0"/>
              <c:tx>
                <c:rich>
                  <a:bodyPr/>
                  <a:lstStyle/>
                  <a:p>
                    <a:fld id="{62985294-11E3-4D1C-8E14-ECBD1C02013F}" type="VALUE">
                      <a:rPr lang="en-US" altLang="ja-JP"/>
                      <a:pPr/>
                      <a:t>[値]</a:t>
                    </a:fld>
                    <a:endParaRPr lang="en-US" altLang="ja-JP"/>
                  </a:p>
                  <a:p>
                    <a:r>
                      <a:rPr lang="en-US" altLang="ja-JP" sz="650"/>
                      <a:t>(7.9)</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09C2-4499-8752-C8977E9DEE85}"/>
                </c:ext>
              </c:extLst>
            </c:dLbl>
            <c:dLbl>
              <c:idx val="1"/>
              <c:tx>
                <c:rich>
                  <a:bodyPr/>
                  <a:lstStyle/>
                  <a:p>
                    <a:fld id="{1CCF28F3-7BA4-41A0-A18C-4808AB3DE1C6}" type="VALUE">
                      <a:rPr lang="en-US" altLang="ja-JP"/>
                      <a:pPr/>
                      <a:t>[値]</a:t>
                    </a:fld>
                    <a:endParaRPr lang="en-US" altLang="ja-JP"/>
                  </a:p>
                  <a:p>
                    <a:r>
                      <a:rPr lang="en-US" altLang="ja-JP" sz="650"/>
                      <a:t>(16.9)</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09C2-4499-8752-C8977E9DEE85}"/>
                </c:ext>
              </c:extLst>
            </c:dLbl>
            <c:dLbl>
              <c:idx val="2"/>
              <c:tx>
                <c:rich>
                  <a:bodyPr/>
                  <a:lstStyle/>
                  <a:p>
                    <a:r>
                      <a:rPr lang="en-US" altLang="ja-JP" sz="830"/>
                      <a:t>2,630</a:t>
                    </a:r>
                    <a:br>
                      <a:rPr lang="en-US" altLang="ja-JP" sz="650"/>
                    </a:br>
                    <a:r>
                      <a:rPr lang="en-US" altLang="ja-JP" sz="650"/>
                      <a:t>(15.1)</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09C2-4499-8752-C8977E9DEE85}"/>
                </c:ext>
              </c:extLst>
            </c:dLbl>
            <c:dLbl>
              <c:idx val="3"/>
              <c:tx>
                <c:rich>
                  <a:bodyPr/>
                  <a:lstStyle/>
                  <a:p>
                    <a:fld id="{54921AB3-A59F-4BB3-A514-5547A28389BF}" type="VALUE">
                      <a:rPr lang="en-US" altLang="ja-JP"/>
                      <a:pPr/>
                      <a:t>[値]</a:t>
                    </a:fld>
                    <a:endParaRPr lang="en-US" altLang="ja-JP"/>
                  </a:p>
                  <a:p>
                    <a:r>
                      <a:rPr lang="en-US" altLang="ja-JP" sz="650"/>
                      <a:t>(16.6)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09C2-4499-8752-C8977E9DEE85}"/>
                </c:ext>
              </c:extLst>
            </c:dLbl>
            <c:dLbl>
              <c:idx val="4"/>
              <c:tx>
                <c:rich>
                  <a:bodyPr/>
                  <a:lstStyle/>
                  <a:p>
                    <a:r>
                      <a:rPr lang="en-US" altLang="ja-JP"/>
                      <a:t>2,251</a:t>
                    </a:r>
                  </a:p>
                  <a:p>
                    <a:r>
                      <a:rPr lang="en-US" altLang="ja-JP" sz="650"/>
                      <a:t>(12.8)</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09C2-4499-8752-C8977E9DEE85}"/>
                </c:ext>
              </c:extLst>
            </c:dLbl>
            <c:dLbl>
              <c:idx val="5"/>
              <c:tx>
                <c:rich>
                  <a:bodyPr/>
                  <a:lstStyle/>
                  <a:p>
                    <a:r>
                      <a:rPr lang="en-US" altLang="ja-JP" sz="830"/>
                      <a:t>1,955</a:t>
                    </a:r>
                    <a:br>
                      <a:rPr lang="en-US" altLang="ja-JP" sz="650"/>
                    </a:br>
                    <a:r>
                      <a:rPr lang="en-US" altLang="ja-JP" sz="650"/>
                      <a:t>(9.7)</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09C2-4499-8752-C8977E9DEE85}"/>
                </c:ext>
              </c:extLst>
            </c:dLbl>
            <c:dLbl>
              <c:idx val="6"/>
              <c:tx>
                <c:rich>
                  <a:bodyPr/>
                  <a:lstStyle/>
                  <a:p>
                    <a:fld id="{E02A656F-5DE2-4962-A3DD-AAE6EA06ED6F}" type="VALUE">
                      <a:rPr lang="en-US" altLang="ja-JP"/>
                      <a:pPr/>
                      <a:t>[値]</a:t>
                    </a:fld>
                    <a:endParaRPr lang="en-US" altLang="ja-JP"/>
                  </a:p>
                  <a:p>
                    <a:r>
                      <a:rPr lang="en-US" altLang="ja-JP" sz="650"/>
                      <a:t>(12.8)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8-09C2-4499-8752-C8977E9DEE85}"/>
                </c:ext>
              </c:extLst>
            </c:dLbl>
            <c:dLbl>
              <c:idx val="7"/>
              <c:tx>
                <c:rich>
                  <a:bodyPr/>
                  <a:lstStyle/>
                  <a:p>
                    <a:fld id="{A0A376BB-87F3-4ABB-B2FF-FA6B0E22E02D}" type="VALUE">
                      <a:rPr lang="en-US" altLang="ja-JP"/>
                      <a:pPr/>
                      <a:t>[値]</a:t>
                    </a:fld>
                    <a:endParaRPr lang="en-US" altLang="ja-JP"/>
                  </a:p>
                  <a:p>
                    <a:r>
                      <a:rPr lang="en-US" altLang="ja-JP" sz="650"/>
                      <a:t>(9.7)</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9-09C2-4499-8752-C8977E9DEE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頁４データ!$C$48:$N$48</c:f>
              <c:strCache>
                <c:ptCount val="6"/>
                <c:pt idx="0">
                  <c:v>H８決算</c:v>
                </c:pt>
                <c:pt idx="1">
                  <c:v>H28決算</c:v>
                </c:pt>
                <c:pt idx="2">
                  <c:v>H29決算</c:v>
                </c:pt>
                <c:pt idx="3">
                  <c:v>H30決算</c:v>
                </c:pt>
                <c:pt idx="4">
                  <c:v>R元決算</c:v>
                </c:pt>
                <c:pt idx="5">
                  <c:v>R２決算</c:v>
                </c:pt>
              </c:strCache>
            </c:strRef>
          </c:cat>
          <c:val>
            <c:numRef>
              <c:f>頁４データ!$C$42:$N$42</c:f>
              <c:numCache>
                <c:formatCode>#,##0;"△ "#,##0</c:formatCode>
                <c:ptCount val="6"/>
                <c:pt idx="0">
                  <c:v>145516</c:v>
                </c:pt>
                <c:pt idx="1">
                  <c:v>265961</c:v>
                </c:pt>
                <c:pt idx="2">
                  <c:v>262980</c:v>
                </c:pt>
                <c:pt idx="3">
                  <c:v>292271</c:v>
                </c:pt>
                <c:pt idx="4">
                  <c:v>225144</c:v>
                </c:pt>
                <c:pt idx="5">
                  <c:v>195501</c:v>
                </c:pt>
              </c:numCache>
            </c:numRef>
          </c:val>
          <c:extLst>
            <c:ext xmlns:c16="http://schemas.microsoft.com/office/drawing/2014/chart" uri="{C3380CC4-5D6E-409C-BE32-E72D297353CC}">
              <c16:uniqueId val="{0000001A-09C2-4499-8752-C8977E9DEE85}"/>
            </c:ext>
          </c:extLst>
        </c:ser>
        <c:ser>
          <c:idx val="0"/>
          <c:order val="3"/>
          <c:tx>
            <c:v>投資的経費</c:v>
          </c:tx>
          <c:spPr>
            <a:solidFill>
              <a:srgbClr val="00FF00"/>
            </a:solidFill>
            <a:ln w="12700">
              <a:solidFill>
                <a:srgbClr val="000000"/>
              </a:solidFill>
              <a:prstDash val="solid"/>
            </a:ln>
          </c:spPr>
          <c:invertIfNegative val="0"/>
          <c:dLbls>
            <c:dLbl>
              <c:idx val="0"/>
              <c:tx>
                <c:rich>
                  <a:bodyPr/>
                  <a:lstStyle/>
                  <a:p>
                    <a:fld id="{425D04FE-9480-4F5E-8B69-47C5E0E4AC3A}" type="VALUE">
                      <a:rPr lang="en-US" altLang="ja-JP"/>
                      <a:pPr/>
                      <a:t>[値]</a:t>
                    </a:fld>
                    <a:endParaRPr lang="en-US" altLang="ja-JP"/>
                  </a:p>
                  <a:p>
                    <a:r>
                      <a:rPr lang="en-US" altLang="ja-JP" sz="650"/>
                      <a:t>(26.6)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B-09C2-4499-8752-C8977E9DEE85}"/>
                </c:ext>
              </c:extLst>
            </c:dLbl>
            <c:dLbl>
              <c:idx val="1"/>
              <c:tx>
                <c:rich>
                  <a:bodyPr/>
                  <a:lstStyle/>
                  <a:p>
                    <a:fld id="{476BD570-808B-4ACA-93A3-F6CAC36DB9E0}" type="VALUE">
                      <a:rPr lang="en-US" altLang="ja-JP"/>
                      <a:pPr/>
                      <a:t>[値]</a:t>
                    </a:fld>
                    <a:endParaRPr lang="en-US" altLang="ja-JP"/>
                  </a:p>
                  <a:p>
                    <a:r>
                      <a:rPr lang="en-US" altLang="ja-JP" sz="650"/>
                      <a:t>(6.4)</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C-09C2-4499-8752-C8977E9DEE85}"/>
                </c:ext>
              </c:extLst>
            </c:dLbl>
            <c:dLbl>
              <c:idx val="2"/>
              <c:tx>
                <c:rich>
                  <a:bodyPr/>
                  <a:lstStyle/>
                  <a:p>
                    <a:fld id="{23D99510-6FC5-4CFF-8D07-01D08347F5D4}" type="VALUE">
                      <a:rPr lang="en-US" altLang="ja-JP"/>
                      <a:pPr/>
                      <a:t>[値]</a:t>
                    </a:fld>
                    <a:endParaRPr lang="en-US" altLang="ja-JP"/>
                  </a:p>
                  <a:p>
                    <a:r>
                      <a:rPr lang="en-US" altLang="ja-JP" sz="650"/>
                      <a:t>(6.7)</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D-09C2-4499-8752-C8977E9DEE85}"/>
                </c:ext>
              </c:extLst>
            </c:dLbl>
            <c:dLbl>
              <c:idx val="3"/>
              <c:tx>
                <c:rich>
                  <a:bodyPr/>
                  <a:lstStyle/>
                  <a:p>
                    <a:fld id="{8871A093-7F30-40FF-AD25-8EB831645B7A}" type="VALUE">
                      <a:rPr lang="en-US" altLang="ja-JP"/>
                      <a:pPr/>
                      <a:t>[値]</a:t>
                    </a:fld>
                    <a:endParaRPr lang="en-US" altLang="ja-JP"/>
                  </a:p>
                  <a:p>
                    <a:r>
                      <a:rPr lang="en-US" altLang="ja-JP" sz="650"/>
                      <a:t>(7.1)</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E-09C2-4499-8752-C8977E9DEE85}"/>
                </c:ext>
              </c:extLst>
            </c:dLbl>
            <c:dLbl>
              <c:idx val="4"/>
              <c:tx>
                <c:rich>
                  <a:bodyPr/>
                  <a:lstStyle/>
                  <a:p>
                    <a:r>
                      <a:rPr lang="en-US" altLang="ja-JP"/>
                      <a:t>1,573</a:t>
                    </a:r>
                  </a:p>
                  <a:p>
                    <a:r>
                      <a:rPr lang="en-US" altLang="ja-JP" sz="650"/>
                      <a:t>(9.0)</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09C2-4499-8752-C8977E9DEE85}"/>
                </c:ext>
              </c:extLst>
            </c:dLbl>
            <c:dLbl>
              <c:idx val="5"/>
              <c:tx>
                <c:rich>
                  <a:bodyPr/>
                  <a:lstStyle/>
                  <a:p>
                    <a:fld id="{83DF3102-C2A2-4FDD-BB8B-97287F99B7A0}" type="VALUE">
                      <a:rPr lang="en-US" altLang="ja-JP"/>
                      <a:pPr/>
                      <a:t>[値]</a:t>
                    </a:fld>
                    <a:endParaRPr lang="en-US" altLang="ja-JP"/>
                  </a:p>
                  <a:p>
                    <a:r>
                      <a:rPr lang="en-US" altLang="ja-JP" sz="650"/>
                      <a:t>(8.8)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0-09C2-4499-8752-C8977E9DEE85}"/>
                </c:ext>
              </c:extLst>
            </c:dLbl>
            <c:dLbl>
              <c:idx val="6"/>
              <c:tx>
                <c:rich>
                  <a:bodyPr/>
                  <a:lstStyle/>
                  <a:p>
                    <a:fld id="{216D7904-7F4E-4272-BAE8-7307A0C28773}" type="VALUE">
                      <a:rPr lang="en-US" altLang="ja-JP"/>
                      <a:pPr/>
                      <a:t>[値]</a:t>
                    </a:fld>
                    <a:endParaRPr lang="en-US" altLang="ja-JP"/>
                  </a:p>
                  <a:p>
                    <a:r>
                      <a:rPr lang="en-US" altLang="ja-JP" sz="650"/>
                      <a:t>(9.0)</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1-09C2-4499-8752-C8977E9DEE85}"/>
                </c:ext>
              </c:extLst>
            </c:dLbl>
            <c:dLbl>
              <c:idx val="7"/>
              <c:tx>
                <c:rich>
                  <a:bodyPr/>
                  <a:lstStyle/>
                  <a:p>
                    <a:fld id="{F3888839-E5B0-4F1E-978B-F2B5B7B31B14}" type="VALUE">
                      <a:rPr lang="en-US" altLang="ja-JP"/>
                      <a:pPr/>
                      <a:t>[値]</a:t>
                    </a:fld>
                    <a:endParaRPr lang="en-US" altLang="ja-JP"/>
                  </a:p>
                  <a:p>
                    <a:r>
                      <a:rPr lang="en-US" altLang="ja-JP" sz="650"/>
                      <a:t>(8.8)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2-09C2-4499-8752-C8977E9DEE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頁４データ!$C$48:$N$48</c:f>
              <c:strCache>
                <c:ptCount val="6"/>
                <c:pt idx="0">
                  <c:v>H８決算</c:v>
                </c:pt>
                <c:pt idx="1">
                  <c:v>H28決算</c:v>
                </c:pt>
                <c:pt idx="2">
                  <c:v>H29決算</c:v>
                </c:pt>
                <c:pt idx="3">
                  <c:v>H30決算</c:v>
                </c:pt>
                <c:pt idx="4">
                  <c:v>R元決算</c:v>
                </c:pt>
                <c:pt idx="5">
                  <c:v>R２決算</c:v>
                </c:pt>
              </c:strCache>
            </c:strRef>
          </c:cat>
          <c:val>
            <c:numRef>
              <c:f>頁４データ!$C$40:$N$40</c:f>
              <c:numCache>
                <c:formatCode>#,##0;"△ "#,##0</c:formatCode>
                <c:ptCount val="6"/>
                <c:pt idx="0">
                  <c:v>490419</c:v>
                </c:pt>
                <c:pt idx="1">
                  <c:v>100112</c:v>
                </c:pt>
                <c:pt idx="2">
                  <c:v>115757</c:v>
                </c:pt>
                <c:pt idx="3">
                  <c:v>124704</c:v>
                </c:pt>
                <c:pt idx="4">
                  <c:v>157306</c:v>
                </c:pt>
                <c:pt idx="5">
                  <c:v>177781</c:v>
                </c:pt>
              </c:numCache>
            </c:numRef>
          </c:val>
          <c:extLst>
            <c:ext xmlns:c16="http://schemas.microsoft.com/office/drawing/2014/chart" uri="{C3380CC4-5D6E-409C-BE32-E72D297353CC}">
              <c16:uniqueId val="{00000023-09C2-4499-8752-C8977E9DEE85}"/>
            </c:ext>
          </c:extLst>
        </c:ser>
        <c:ser>
          <c:idx val="1"/>
          <c:order val="4"/>
          <c:tx>
            <c:v>その他</c:v>
          </c:tx>
          <c:spPr>
            <a:solidFill>
              <a:srgbClr val="FF9900"/>
            </a:solidFill>
            <a:ln w="12700">
              <a:solidFill>
                <a:srgbClr val="000000"/>
              </a:solidFill>
              <a:prstDash val="solid"/>
            </a:ln>
          </c:spPr>
          <c:invertIfNegative val="0"/>
          <c:dLbls>
            <c:dLbl>
              <c:idx val="0"/>
              <c:tx>
                <c:rich>
                  <a:bodyPr/>
                  <a:lstStyle/>
                  <a:p>
                    <a:fld id="{B4FA9C7C-EF64-46E3-BCE6-1C097AEBE5DF}" type="VALUE">
                      <a:rPr lang="en-US" altLang="ja-JP"/>
                      <a:pPr/>
                      <a:t>[値]</a:t>
                    </a:fld>
                    <a:endParaRPr lang="en-US" altLang="ja-JP"/>
                  </a:p>
                  <a:p>
                    <a:r>
                      <a:rPr lang="en-US" altLang="ja-JP" sz="650"/>
                      <a:t>(35.6)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4-09C2-4499-8752-C8977E9DEE85}"/>
                </c:ext>
              </c:extLst>
            </c:dLbl>
            <c:dLbl>
              <c:idx val="1"/>
              <c:tx>
                <c:rich>
                  <a:bodyPr/>
                  <a:lstStyle/>
                  <a:p>
                    <a:fld id="{21036389-3015-4797-B1C9-B103C7F6BEB6}" type="VALUE">
                      <a:rPr lang="en-US" altLang="ja-JP"/>
                      <a:pPr/>
                      <a:t>[値]</a:t>
                    </a:fld>
                    <a:endParaRPr lang="en-US" altLang="ja-JP"/>
                  </a:p>
                  <a:p>
                    <a:r>
                      <a:rPr lang="en-US" altLang="ja-JP" sz="650"/>
                      <a:t>(29.8)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09C2-4499-8752-C8977E9DEE85}"/>
                </c:ext>
              </c:extLst>
            </c:dLbl>
            <c:dLbl>
              <c:idx val="2"/>
              <c:tx>
                <c:rich>
                  <a:bodyPr/>
                  <a:lstStyle/>
                  <a:p>
                    <a:fld id="{5F26E05B-C194-4979-A76B-1721FFAA0492}" type="VALUE">
                      <a:rPr lang="en-US" altLang="ja-JP"/>
                      <a:pPr/>
                      <a:t>[値]</a:t>
                    </a:fld>
                    <a:endParaRPr lang="en-US" altLang="ja-JP"/>
                  </a:p>
                  <a:p>
                    <a:r>
                      <a:rPr lang="en-US" altLang="ja-JP" sz="650"/>
                      <a:t>(29.2)</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6-09C2-4499-8752-C8977E9DEE85}"/>
                </c:ext>
              </c:extLst>
            </c:dLbl>
            <c:dLbl>
              <c:idx val="3"/>
              <c:tx>
                <c:rich>
                  <a:bodyPr/>
                  <a:lstStyle/>
                  <a:p>
                    <a:fld id="{6A13F071-6F43-4CAC-8658-23CB2D814513}" type="VALUE">
                      <a:rPr lang="en-US" altLang="ja-JP"/>
                      <a:pPr/>
                      <a:t>[値]</a:t>
                    </a:fld>
                    <a:endParaRPr lang="en-US" altLang="ja-JP"/>
                  </a:p>
                  <a:p>
                    <a:r>
                      <a:rPr lang="en-US" altLang="ja-JP" sz="650"/>
                      <a:t>(27.6)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7-09C2-4499-8752-C8977E9DEE85}"/>
                </c:ext>
              </c:extLst>
            </c:dLbl>
            <c:dLbl>
              <c:idx val="4"/>
              <c:tx>
                <c:rich>
                  <a:bodyPr/>
                  <a:lstStyle/>
                  <a:p>
                    <a:fld id="{C8687222-571C-4C3C-8BAE-481C6D1CA4B3}" type="VALUE">
                      <a:rPr lang="en-US" altLang="ja-JP"/>
                      <a:pPr/>
                      <a:t>[値]</a:t>
                    </a:fld>
                    <a:endParaRPr lang="en-US" altLang="ja-JP"/>
                  </a:p>
                  <a:p>
                    <a:r>
                      <a:rPr lang="en-US" altLang="ja-JP" sz="650"/>
                      <a:t>(28.3</a:t>
                    </a:r>
                    <a:r>
                      <a:rPr lang="ja-JP" altLang="en-US" sz="650"/>
                      <a:t>）</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8-09C2-4499-8752-C8977E9DEE85}"/>
                </c:ext>
              </c:extLst>
            </c:dLbl>
            <c:dLbl>
              <c:idx val="5"/>
              <c:tx>
                <c:rich>
                  <a:bodyPr/>
                  <a:lstStyle/>
                  <a:p>
                    <a:fld id="{F9AE1164-4F1D-4A74-B4A6-E68E5F5811FB}" type="VALUE">
                      <a:rPr lang="en-US" altLang="ja-JP"/>
                      <a:pPr/>
                      <a:t>[値]</a:t>
                    </a:fld>
                    <a:endParaRPr lang="en-US" altLang="ja-JP"/>
                  </a:p>
                  <a:p>
                    <a:r>
                      <a:rPr lang="en-US" altLang="ja-JP" sz="650"/>
                      <a:t>(37.0)</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9-09C2-4499-8752-C8977E9DEE85}"/>
                </c:ext>
              </c:extLst>
            </c:dLbl>
            <c:dLbl>
              <c:idx val="6"/>
              <c:tx>
                <c:rich>
                  <a:bodyPr/>
                  <a:lstStyle/>
                  <a:p>
                    <a:fld id="{98832D6F-19AA-4844-A646-911341FD50AD}" type="VALUE">
                      <a:rPr lang="en-US" altLang="ja-JP"/>
                      <a:pPr/>
                      <a:t>[値]</a:t>
                    </a:fld>
                    <a:endParaRPr lang="en-US" altLang="ja-JP"/>
                  </a:p>
                  <a:p>
                    <a:r>
                      <a:rPr lang="en-US" altLang="ja-JP" sz="650"/>
                      <a:t>(28.3)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A-09C2-4499-8752-C8977E9DEE85}"/>
                </c:ext>
              </c:extLst>
            </c:dLbl>
            <c:dLbl>
              <c:idx val="7"/>
              <c:tx>
                <c:rich>
                  <a:bodyPr/>
                  <a:lstStyle/>
                  <a:p>
                    <a:fld id="{6E05717D-7EFD-40B0-8DA0-6DAF1D1F7575}" type="VALUE">
                      <a:rPr lang="en-US" altLang="ja-JP"/>
                      <a:pPr/>
                      <a:t>[値]</a:t>
                    </a:fld>
                    <a:endParaRPr lang="en-US" altLang="ja-JP"/>
                  </a:p>
                  <a:p>
                    <a:r>
                      <a:rPr lang="en-US" altLang="ja-JP" sz="650"/>
                      <a:t>(37.0)</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B-09C2-4499-8752-C8977E9DEE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頁４データ!$C$48:$N$48</c:f>
              <c:strCache>
                <c:ptCount val="6"/>
                <c:pt idx="0">
                  <c:v>H８決算</c:v>
                </c:pt>
                <c:pt idx="1">
                  <c:v>H28決算</c:v>
                </c:pt>
                <c:pt idx="2">
                  <c:v>H29決算</c:v>
                </c:pt>
                <c:pt idx="3">
                  <c:v>H30決算</c:v>
                </c:pt>
                <c:pt idx="4">
                  <c:v>R元決算</c:v>
                </c:pt>
                <c:pt idx="5">
                  <c:v>R２決算</c:v>
                </c:pt>
              </c:strCache>
            </c:strRef>
          </c:cat>
          <c:val>
            <c:numRef>
              <c:f>頁４データ!$C$41:$N$41</c:f>
              <c:numCache>
                <c:formatCode>#,##0;"△ "#,##0</c:formatCode>
                <c:ptCount val="6"/>
                <c:pt idx="0">
                  <c:v>657571</c:v>
                </c:pt>
                <c:pt idx="1">
                  <c:v>468576</c:v>
                </c:pt>
                <c:pt idx="2">
                  <c:v>508666</c:v>
                </c:pt>
                <c:pt idx="3">
                  <c:v>485989</c:v>
                </c:pt>
                <c:pt idx="4">
                  <c:v>497800</c:v>
                </c:pt>
                <c:pt idx="5">
                  <c:v>746213</c:v>
                </c:pt>
              </c:numCache>
            </c:numRef>
          </c:val>
          <c:extLst>
            <c:ext xmlns:c16="http://schemas.microsoft.com/office/drawing/2014/chart" uri="{C3380CC4-5D6E-409C-BE32-E72D297353CC}">
              <c16:uniqueId val="{0000002C-09C2-4499-8752-C8977E9DEE85}"/>
            </c:ext>
          </c:extLst>
        </c:ser>
        <c:dLbls>
          <c:dLblPos val="ctr"/>
          <c:showLegendKey val="0"/>
          <c:showVal val="1"/>
          <c:showCatName val="0"/>
          <c:showSerName val="0"/>
          <c:showPercent val="0"/>
          <c:showBubbleSize val="0"/>
        </c:dLbls>
        <c:gapWidth val="120"/>
        <c:overlap val="100"/>
        <c:serLines>
          <c:spPr>
            <a:ln w="3175">
              <a:solidFill>
                <a:srgbClr val="000000"/>
              </a:solidFill>
              <a:prstDash val="sysDash"/>
            </a:ln>
          </c:spPr>
        </c:serLines>
        <c:axId val="399928888"/>
        <c:axId val="399556016"/>
      </c:barChart>
      <c:catAx>
        <c:axId val="3999288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399556016"/>
        <c:crosses val="autoZero"/>
        <c:auto val="1"/>
        <c:lblAlgn val="ctr"/>
        <c:lblOffset val="100"/>
        <c:tickLblSkip val="1"/>
        <c:tickMarkSkip val="1"/>
        <c:noMultiLvlLbl val="0"/>
      </c:catAx>
      <c:valAx>
        <c:axId val="399556016"/>
        <c:scaling>
          <c:orientation val="minMax"/>
          <c:max val="2200000"/>
          <c:min val="0"/>
        </c:scaling>
        <c:delete val="0"/>
        <c:axPos val="l"/>
        <c:majorGridlines>
          <c:spPr>
            <a:ln w="3175">
              <a:solidFill>
                <a:srgbClr val="000000"/>
              </a:solidFill>
              <a:prstDash val="solid"/>
            </a:ln>
          </c:spPr>
        </c:majorGridlines>
        <c:numFmt formatCode="#,##0;&quot;△ &quot;#,##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399928888"/>
        <c:crosses val="autoZero"/>
        <c:crossBetween val="between"/>
        <c:dispUnits>
          <c:builtInUnit val="hundreds"/>
        </c:dispUnits>
      </c:valAx>
      <c:spPr>
        <a:noFill/>
        <a:ln w="25400">
          <a:solidFill>
            <a:srgbClr val="000000"/>
          </a:solidFill>
          <a:prstDash val="solid"/>
        </a:ln>
      </c:spPr>
    </c:plotArea>
    <c:legend>
      <c:legendPos val="r"/>
      <c:legendEntry>
        <c:idx val="4"/>
        <c:txPr>
          <a:bodyPr/>
          <a:lstStyle/>
          <a:p>
            <a:pPr>
              <a:defRPr sz="740" baseline="0">
                <a:solidFill>
                  <a:schemeClr val="tx1"/>
                </a:solidFill>
              </a:defRPr>
            </a:pPr>
            <a:endParaRPr lang="ja-JP"/>
          </a:p>
        </c:txPr>
      </c:legendEntry>
      <c:layout>
        <c:manualLayout>
          <c:xMode val="edge"/>
          <c:yMode val="edge"/>
          <c:x val="0.906310754067015"/>
          <c:y val="0.23471161197950063"/>
          <c:w val="9.1796206325274743E-2"/>
          <c:h val="0.58097518096032752"/>
        </c:manualLayout>
      </c:layout>
      <c:overlay val="0"/>
      <c:spPr>
        <a:noFill/>
        <a:ln w="25400">
          <a:noFill/>
        </a:ln>
      </c:spPr>
      <c:txPr>
        <a:bodyPr/>
        <a:lstStyle/>
        <a:p>
          <a:pPr>
            <a:defRPr sz="740" baseline="0"/>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歳入内訳の推移（普通会計）</a:t>
            </a:r>
          </a:p>
        </c:rich>
      </c:tx>
      <c:layout>
        <c:manualLayout>
          <c:xMode val="edge"/>
          <c:yMode val="edge"/>
          <c:x val="0.36067906405316358"/>
          <c:y val="1.9962018570366981E-2"/>
        </c:manualLayout>
      </c:layout>
      <c:overlay val="0"/>
      <c:spPr>
        <a:noFill/>
        <a:ln w="25400">
          <a:noFill/>
        </a:ln>
      </c:spPr>
    </c:title>
    <c:autoTitleDeleted val="0"/>
    <c:plotArea>
      <c:layout>
        <c:manualLayout>
          <c:layoutTarget val="inner"/>
          <c:xMode val="edge"/>
          <c:yMode val="edge"/>
          <c:x val="8.5792595074551864E-2"/>
          <c:y val="8.112262897547777E-2"/>
          <c:w val="0.77369165487980429"/>
          <c:h val="0.73882667907693611"/>
        </c:manualLayout>
      </c:layout>
      <c:barChart>
        <c:barDir val="col"/>
        <c:grouping val="stacked"/>
        <c:varyColors val="0"/>
        <c:ser>
          <c:idx val="0"/>
          <c:order val="0"/>
          <c:tx>
            <c:v>地方税</c:v>
          </c:tx>
          <c:spPr>
            <a:solidFill>
              <a:srgbClr val="FF8080"/>
            </a:solidFill>
            <a:ln w="12700">
              <a:solidFill>
                <a:srgbClr val="000000"/>
              </a:solidFill>
              <a:prstDash val="solid"/>
            </a:ln>
          </c:spPr>
          <c:invertIfNegative val="0"/>
          <c:dLbls>
            <c:dLbl>
              <c:idx val="0"/>
              <c:tx>
                <c:rich>
                  <a:bodyPr/>
                  <a:lstStyle/>
                  <a:p>
                    <a:fld id="{2D2EE0EC-1D4E-4031-8949-1FF45A373154}" type="VALUE">
                      <a:rPr lang="en-US" altLang="ja-JP"/>
                      <a:pPr/>
                      <a:t>[値]</a:t>
                    </a:fld>
                    <a:endParaRPr lang="en-US" altLang="ja-JP"/>
                  </a:p>
                  <a:p>
                    <a:r>
                      <a:rPr lang="en-US" altLang="ja-JP" sz="600"/>
                      <a:t>(41.9)</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BDFA-44B3-9A12-5E19D447F9EC}"/>
                </c:ext>
              </c:extLst>
            </c:dLbl>
            <c:dLbl>
              <c:idx val="1"/>
              <c:tx>
                <c:rich>
                  <a:bodyPr/>
                  <a:lstStyle/>
                  <a:p>
                    <a:fld id="{B7123A3D-10D6-4D81-A9E2-72FF5480F96A}" type="VALUE">
                      <a:rPr lang="en-US" altLang="ja-JP"/>
                      <a:pPr/>
                      <a:t>[値]</a:t>
                    </a:fld>
                    <a:endParaRPr lang="en-US" altLang="ja-JP"/>
                  </a:p>
                  <a:p>
                    <a:r>
                      <a:rPr lang="en-US" altLang="ja-JP" sz="600"/>
                      <a:t>(41.9)</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DFA-44B3-9A12-5E19D447F9EC}"/>
                </c:ext>
              </c:extLst>
            </c:dLbl>
            <c:dLbl>
              <c:idx val="2"/>
              <c:tx>
                <c:rich>
                  <a:bodyPr/>
                  <a:lstStyle/>
                  <a:p>
                    <a:fld id="{DAEF1E06-AB20-4EBD-9E56-5F59F3B5DE69}" type="VALUE">
                      <a:rPr lang="en-US" altLang="ja-JP"/>
                      <a:pPr/>
                      <a:t>[値]</a:t>
                    </a:fld>
                    <a:endParaRPr lang="en-US" altLang="ja-JP"/>
                  </a:p>
                  <a:p>
                    <a:r>
                      <a:rPr lang="en-US" altLang="ja-JP" sz="600"/>
                      <a:t>(38.8)</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DFA-44B3-9A12-5E19D447F9EC}"/>
                </c:ext>
              </c:extLst>
            </c:dLbl>
            <c:dLbl>
              <c:idx val="3"/>
              <c:tx>
                <c:rich>
                  <a:bodyPr/>
                  <a:lstStyle/>
                  <a:p>
                    <a:fld id="{B3DABA0C-E074-4277-ACEC-1CA5DF677231}" type="VALUE">
                      <a:rPr lang="en-US" altLang="ja-JP"/>
                      <a:pPr/>
                      <a:t>[値]</a:t>
                    </a:fld>
                    <a:endParaRPr lang="en-US" altLang="ja-JP"/>
                  </a:p>
                  <a:p>
                    <a:r>
                      <a:rPr lang="en-US" altLang="ja-JP" sz="600"/>
                      <a:t>(41.9)</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DFA-44B3-9A12-5E19D447F9EC}"/>
                </c:ext>
              </c:extLst>
            </c:dLbl>
            <c:dLbl>
              <c:idx val="4"/>
              <c:layout>
                <c:manualLayout>
                  <c:x val="7.2370119175304399E-4"/>
                  <c:y val="3.8155186907082501E-3"/>
                </c:manualLayout>
              </c:layout>
              <c:tx>
                <c:rich>
                  <a:bodyPr/>
                  <a:lstStyle/>
                  <a:p>
                    <a:fld id="{A194363C-49F1-439E-814E-0C2DE2CE24EE}" type="VALUE">
                      <a:rPr lang="en-US" altLang="en-US" sz="830"/>
                      <a:pPr/>
                      <a:t>[値]</a:t>
                    </a:fld>
                    <a:endParaRPr lang="en-US" altLang="en-US" sz="830"/>
                  </a:p>
                  <a:p>
                    <a:r>
                      <a:rPr lang="en-US" altLang="en-US" sz="600"/>
                      <a:t>(</a:t>
                    </a:r>
                    <a:r>
                      <a:rPr lang="en-US" altLang="ja-JP" sz="600"/>
                      <a:t>44.0</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BDFA-44B3-9A12-5E19D447F9EC}"/>
                </c:ext>
              </c:extLst>
            </c:dLbl>
            <c:dLbl>
              <c:idx val="5"/>
              <c:layout>
                <c:manualLayout>
                  <c:x val="2.1528365433309644E-3"/>
                  <c:y val="1.0306263116095651E-5"/>
                </c:manualLayout>
              </c:layout>
              <c:tx>
                <c:rich>
                  <a:bodyPr/>
                  <a:lstStyle/>
                  <a:p>
                    <a:fld id="{ED0FD2D9-A000-48E1-8DE8-3BC9B61712FB}" type="VALUE">
                      <a:rPr lang="en-US" altLang="en-US" sz="830"/>
                      <a:pPr/>
                      <a:t>[値]</a:t>
                    </a:fld>
                    <a:endParaRPr lang="en-US" altLang="en-US" sz="830"/>
                  </a:p>
                  <a:p>
                    <a:r>
                      <a:rPr lang="en-US" altLang="en-US" sz="600"/>
                      <a:t>(</a:t>
                    </a:r>
                    <a:r>
                      <a:rPr lang="en-US" altLang="ja-JP" sz="600"/>
                      <a:t>36.4</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BDFA-44B3-9A12-5E19D447F9EC}"/>
                </c:ext>
              </c:extLst>
            </c:dLbl>
            <c:dLbl>
              <c:idx val="6"/>
              <c:layout>
                <c:manualLayout>
                  <c:x val="-4.1093396215500648E-4"/>
                  <c:y val="-7.6225322128258277E-3"/>
                </c:manualLayout>
              </c:layout>
              <c:tx>
                <c:rich>
                  <a:bodyPr/>
                  <a:lstStyle/>
                  <a:p>
                    <a:fld id="{8900D56D-B1EB-4362-8A54-9CC1FEE343C4}" type="VALUE">
                      <a:rPr lang="en-US" altLang="ja-JP" sz="830"/>
                      <a:pPr/>
                      <a:t>[値]</a:t>
                    </a:fld>
                    <a:endParaRPr lang="en-US" altLang="en-US" sz="830"/>
                  </a:p>
                  <a:p>
                    <a:r>
                      <a:rPr lang="en-US" altLang="en-US" sz="600"/>
                      <a:t>(</a:t>
                    </a:r>
                    <a:r>
                      <a:rPr lang="en-US" altLang="ja-JP" sz="600"/>
                      <a:t>44.0</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BDFA-44B3-9A12-5E19D447F9EC}"/>
                </c:ext>
              </c:extLst>
            </c:dLbl>
            <c:dLbl>
              <c:idx val="7"/>
              <c:layout>
                <c:manualLayout>
                  <c:x val="1.3205727471922977E-3"/>
                  <c:y val="-1.6521640200749997E-2"/>
                </c:manualLayout>
              </c:layout>
              <c:tx>
                <c:rich>
                  <a:bodyPr/>
                  <a:lstStyle/>
                  <a:p>
                    <a:fld id="{A9134E15-E0E1-4371-9340-39376DF14AC5}" type="VALUE">
                      <a:rPr lang="en-US" altLang="ja-JP" sz="830"/>
                      <a:pPr/>
                      <a:t>[値]</a:t>
                    </a:fld>
                    <a:endParaRPr lang="en-US" altLang="en-US" sz="830"/>
                  </a:p>
                  <a:p>
                    <a:r>
                      <a:rPr lang="en-US" altLang="en-US" sz="600"/>
                      <a:t>(</a:t>
                    </a:r>
                    <a:r>
                      <a:rPr lang="en-US" altLang="ja-JP" sz="600"/>
                      <a:t>36.4</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6"/>
                <c:pt idx="0">
                  <c:v>H８決算</c:v>
                </c:pt>
                <c:pt idx="1">
                  <c:v>H28決算</c:v>
                </c:pt>
                <c:pt idx="2">
                  <c:v>H29決算</c:v>
                </c:pt>
                <c:pt idx="3">
                  <c:v>H30決算</c:v>
                </c:pt>
                <c:pt idx="4">
                  <c:v>R元決算</c:v>
                </c:pt>
                <c:pt idx="5">
                  <c:v>R２決算</c:v>
                </c:pt>
              </c:strCache>
            </c:strRef>
          </c:cat>
          <c:val>
            <c:numRef>
              <c:f>頁６データ!$B$49:$I$49</c:f>
              <c:numCache>
                <c:formatCode>#,##0;"△ "#,##0</c:formatCode>
                <c:ptCount val="6"/>
                <c:pt idx="0">
                  <c:v>777637</c:v>
                </c:pt>
                <c:pt idx="1">
                  <c:v>659473</c:v>
                </c:pt>
                <c:pt idx="2">
                  <c:v>675404</c:v>
                </c:pt>
                <c:pt idx="3">
                  <c:v>737441</c:v>
                </c:pt>
                <c:pt idx="4">
                  <c:v>776114</c:v>
                </c:pt>
                <c:pt idx="5">
                  <c:v>744663</c:v>
                </c:pt>
              </c:numCache>
            </c:numRef>
          </c:val>
          <c:extLst>
            <c:ext xmlns:c16="http://schemas.microsoft.com/office/drawing/2014/chart" uri="{C3380CC4-5D6E-409C-BE32-E72D297353CC}">
              <c16:uniqueId val="{00000008-BDFA-44B3-9A12-5E19D447F9EC}"/>
            </c:ext>
          </c:extLst>
        </c:ser>
        <c:ser>
          <c:idx val="2"/>
          <c:order val="1"/>
          <c:tx>
            <c:v>譲与税・交付金</c:v>
          </c:tx>
          <c:spPr>
            <a:solidFill>
              <a:srgbClr val="FFFF00"/>
            </a:solidFill>
            <a:ln w="12700">
              <a:solidFill>
                <a:srgbClr val="000000"/>
              </a:solidFill>
              <a:prstDash val="solid"/>
            </a:ln>
          </c:spPr>
          <c:invertIfNegative val="0"/>
          <c:dLbls>
            <c:dLbl>
              <c:idx val="0"/>
              <c:tx>
                <c:rich>
                  <a:bodyPr/>
                  <a:lstStyle/>
                  <a:p>
                    <a:fld id="{3FAEBC26-89E8-4AEA-AEAB-ECDFC5882729}" type="VALUE">
                      <a:rPr lang="en-US" altLang="ja-JP"/>
                      <a:pPr/>
                      <a:t>[値]</a:t>
                    </a:fld>
                    <a:endParaRPr lang="en-US" altLang="ja-JP"/>
                  </a:p>
                  <a:p>
                    <a:r>
                      <a:rPr lang="en-US" altLang="ja-JP" sz="600"/>
                      <a:t>(3.9)</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BDFA-44B3-9A12-5E19D447F9EC}"/>
                </c:ext>
              </c:extLst>
            </c:dLbl>
            <c:dLbl>
              <c:idx val="1"/>
              <c:tx>
                <c:rich>
                  <a:bodyPr/>
                  <a:lstStyle/>
                  <a:p>
                    <a:fld id="{547E7926-99C0-41B5-BDA5-86B28CB4EE03}" type="VALUE">
                      <a:rPr lang="en-US" altLang="ja-JP"/>
                      <a:pPr/>
                      <a:t>[値]</a:t>
                    </a:fld>
                    <a:endParaRPr lang="en-US" altLang="ja-JP"/>
                  </a:p>
                  <a:p>
                    <a:r>
                      <a:rPr lang="en-US" altLang="ja-JP" sz="600"/>
                      <a:t>(5.5)</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BDFA-44B3-9A12-5E19D447F9EC}"/>
                </c:ext>
              </c:extLst>
            </c:dLbl>
            <c:dLbl>
              <c:idx val="2"/>
              <c:tx>
                <c:rich>
                  <a:bodyPr/>
                  <a:lstStyle/>
                  <a:p>
                    <a:fld id="{6B77F3E6-C47F-4F01-8FDD-5D7801F9AE72}" type="VALUE">
                      <a:rPr lang="en-US" altLang="ja-JP"/>
                      <a:pPr/>
                      <a:t>[値]</a:t>
                    </a:fld>
                    <a:endParaRPr lang="en-US" altLang="ja-JP"/>
                  </a:p>
                  <a:p>
                    <a:r>
                      <a:rPr lang="en-US" altLang="ja-JP" sz="600"/>
                      <a:t>(7.9)</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BDFA-44B3-9A12-5E19D447F9EC}"/>
                </c:ext>
              </c:extLst>
            </c:dLbl>
            <c:dLbl>
              <c:idx val="3"/>
              <c:tx>
                <c:rich>
                  <a:bodyPr/>
                  <a:lstStyle/>
                  <a:p>
                    <a:fld id="{EBC93248-F142-4E9D-8396-B57B45019DF4}" type="VALUE">
                      <a:rPr lang="en-US" altLang="ja-JP"/>
                      <a:pPr/>
                      <a:t>[値]</a:t>
                    </a:fld>
                    <a:endParaRPr lang="en-US" altLang="ja-JP"/>
                  </a:p>
                  <a:p>
                    <a:r>
                      <a:rPr lang="en-US" altLang="ja-JP" sz="600"/>
                      <a:t>(5.4)</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BDFA-44B3-9A12-5E19D447F9EC}"/>
                </c:ext>
              </c:extLst>
            </c:dLbl>
            <c:dLbl>
              <c:idx val="4"/>
              <c:layout>
                <c:manualLayout>
                  <c:x val="2.609809366442898E-3"/>
                  <c:y val="3.3520370328955772E-5"/>
                </c:manualLayout>
              </c:layout>
              <c:tx>
                <c:rich>
                  <a:bodyPr/>
                  <a:lstStyle/>
                  <a:p>
                    <a:fld id="{042DF875-E0A4-47E8-B31C-F6EBA7903958}" type="VALUE">
                      <a:rPr lang="en-US" altLang="en-US" sz="830"/>
                      <a:pPr/>
                      <a:t>[値]</a:t>
                    </a:fld>
                    <a:endParaRPr lang="en-US" altLang="en-US" sz="830"/>
                  </a:p>
                  <a:p>
                    <a:r>
                      <a:rPr lang="en-US" altLang="en-US" sz="600"/>
                      <a:t>(</a:t>
                    </a:r>
                    <a:r>
                      <a:rPr lang="en-US" altLang="ja-JP" sz="600"/>
                      <a:t>5.0</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6-BDFA-44B3-9A12-5E19D447F9EC}"/>
                </c:ext>
              </c:extLst>
            </c:dLbl>
            <c:dLbl>
              <c:idx val="5"/>
              <c:layout>
                <c:manualLayout>
                  <c:x val="2.6895605546161001E-4"/>
                  <c:y val="-1.3708330552476739E-5"/>
                </c:manualLayout>
              </c:layout>
              <c:tx>
                <c:rich>
                  <a:bodyPr/>
                  <a:lstStyle/>
                  <a:p>
                    <a:fld id="{DEDC7EC6-90B1-4247-86C2-2184240F784A}" type="VALUE">
                      <a:rPr lang="en-US" altLang="en-US" sz="830"/>
                      <a:pPr/>
                      <a:t>[値]</a:t>
                    </a:fld>
                    <a:endParaRPr lang="en-US" altLang="en-US" sz="830"/>
                  </a:p>
                  <a:p>
                    <a:r>
                      <a:rPr lang="en-US" altLang="en-US" sz="600"/>
                      <a:t>(</a:t>
                    </a:r>
                    <a:r>
                      <a:rPr lang="en-US" altLang="ja-JP" sz="600"/>
                      <a:t>5.2</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BDFA-44B3-9A12-5E19D447F9EC}"/>
                </c:ext>
              </c:extLst>
            </c:dLbl>
            <c:dLbl>
              <c:idx val="6"/>
              <c:layout>
                <c:manualLayout>
                  <c:x val="-4.0900330024376834E-4"/>
                  <c:y val="4.9940348749926019E-4"/>
                </c:manualLayout>
              </c:layout>
              <c:tx>
                <c:rich>
                  <a:bodyPr/>
                  <a:lstStyle/>
                  <a:p>
                    <a:fld id="{8C25ADFE-0CEA-4BB1-B92D-CF87565353C9}" type="VALUE">
                      <a:rPr lang="en-US" altLang="en-US" sz="830"/>
                      <a:pPr/>
                      <a:t>[値]</a:t>
                    </a:fld>
                    <a:endParaRPr lang="en-US" altLang="en-US" sz="830"/>
                  </a:p>
                  <a:p>
                    <a:r>
                      <a:rPr lang="en-US" altLang="en-US" sz="600"/>
                      <a:t>(</a:t>
                    </a:r>
                    <a:r>
                      <a:rPr lang="en-US" altLang="ja-JP" sz="600"/>
                      <a:t>5.0</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8-BDFA-44B3-9A12-5E19D447F9EC}"/>
                </c:ext>
              </c:extLst>
            </c:dLbl>
            <c:dLbl>
              <c:idx val="7"/>
              <c:layout>
                <c:manualLayout>
                  <c:x val="1.3190507642377425E-3"/>
                  <c:y val="-1.2735245511005721E-3"/>
                </c:manualLayout>
              </c:layout>
              <c:tx>
                <c:rich>
                  <a:bodyPr/>
                  <a:lstStyle/>
                  <a:p>
                    <a:fld id="{1EB36ABE-D961-4004-865A-F01715EF01BF}" type="VALUE">
                      <a:rPr lang="en-US" altLang="en-US" sz="830"/>
                      <a:pPr/>
                      <a:t>[値]</a:t>
                    </a:fld>
                    <a:endParaRPr lang="en-US" altLang="en-US" sz="830"/>
                  </a:p>
                  <a:p>
                    <a:r>
                      <a:rPr lang="en-US" altLang="en-US" sz="600"/>
                      <a:t>(</a:t>
                    </a:r>
                    <a:r>
                      <a:rPr lang="en-US" altLang="ja-JP" sz="600"/>
                      <a:t>5.2</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9-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6"/>
                <c:pt idx="0">
                  <c:v>H８決算</c:v>
                </c:pt>
                <c:pt idx="1">
                  <c:v>H28決算</c:v>
                </c:pt>
                <c:pt idx="2">
                  <c:v>H29決算</c:v>
                </c:pt>
                <c:pt idx="3">
                  <c:v>H30決算</c:v>
                </c:pt>
                <c:pt idx="4">
                  <c:v>R元決算</c:v>
                </c:pt>
                <c:pt idx="5">
                  <c:v>R２決算</c:v>
                </c:pt>
              </c:strCache>
            </c:strRef>
          </c:cat>
          <c:val>
            <c:numRef>
              <c:f>頁６データ!$B$51:$I$51</c:f>
              <c:numCache>
                <c:formatCode>#,##0;"△ "#,##0</c:formatCode>
                <c:ptCount val="6"/>
                <c:pt idx="0">
                  <c:v>72801</c:v>
                </c:pt>
                <c:pt idx="1">
                  <c:v>86249</c:v>
                </c:pt>
                <c:pt idx="2">
                  <c:v>137989</c:v>
                </c:pt>
                <c:pt idx="3">
                  <c:v>95356</c:v>
                </c:pt>
                <c:pt idx="4">
                  <c:v>88300</c:v>
                </c:pt>
                <c:pt idx="5">
                  <c:v>106086</c:v>
                </c:pt>
              </c:numCache>
            </c:numRef>
          </c:val>
          <c:extLst>
            <c:ext xmlns:c16="http://schemas.microsoft.com/office/drawing/2014/chart" uri="{C3380CC4-5D6E-409C-BE32-E72D297353CC}">
              <c16:uniqueId val="{0000001A-BDFA-44B3-9A12-5E19D447F9EC}"/>
            </c:ext>
          </c:extLst>
        </c:ser>
        <c:ser>
          <c:idx val="1"/>
          <c:order val="2"/>
          <c:tx>
            <c:v>地方交付税</c:v>
          </c:tx>
          <c:spPr>
            <a:solidFill>
              <a:srgbClr val="00CCFF"/>
            </a:solidFill>
            <a:ln w="12700">
              <a:solidFill>
                <a:srgbClr val="000000"/>
              </a:solidFill>
              <a:prstDash val="solid"/>
            </a:ln>
          </c:spPr>
          <c:invertIfNegative val="0"/>
          <c:dLbls>
            <c:dLbl>
              <c:idx val="0"/>
              <c:layout>
                <c:manualLayout>
                  <c:x val="-4.5139766556242723E-2"/>
                  <c:y val="-2.1534386446643624E-2"/>
                </c:manualLayout>
              </c:layout>
              <c:tx>
                <c:rich>
                  <a:bodyPr/>
                  <a:lstStyle/>
                  <a:p>
                    <a:fld id="{33C13226-C956-4624-854B-70667F6B788C}" type="VALUE">
                      <a:rPr lang="en-US" altLang="ja-JP" sz="830"/>
                      <a:pPr/>
                      <a:t>[値]</a:t>
                    </a:fld>
                    <a:endParaRPr lang="en-US" altLang="ja-JP" sz="830"/>
                  </a:p>
                  <a:p>
                    <a:r>
                      <a:rPr lang="en-US" altLang="en-US" sz="600"/>
                      <a:t>(0.7)</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BDFA-44B3-9A12-5E19D447F9EC}"/>
                </c:ext>
              </c:extLst>
            </c:dLbl>
            <c:dLbl>
              <c:idx val="1"/>
              <c:layout>
                <c:manualLayout>
                  <c:x val="5.2922413232340836E-2"/>
                  <c:y val="-3.0410580509775791E-2"/>
                </c:manualLayout>
              </c:layout>
              <c:tx>
                <c:rich>
                  <a:bodyPr/>
                  <a:lstStyle/>
                  <a:p>
                    <a:r>
                      <a:rPr lang="en-US" altLang="ja-JP" sz="830"/>
                      <a:t>329</a:t>
                    </a:r>
                    <a:endParaRPr lang="en-US" altLang="en-US" sz="830"/>
                  </a:p>
                  <a:p>
                    <a:r>
                      <a:rPr lang="en-US" altLang="en-US" sz="600"/>
                      <a:t>(</a:t>
                    </a:r>
                    <a:r>
                      <a:rPr lang="en-US" altLang="ja-JP" sz="600"/>
                      <a:t>2.1</a:t>
                    </a:r>
                    <a:r>
                      <a:rPr lang="en-US" altLang="en-US" sz="600"/>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BDFA-44B3-9A12-5E19D447F9EC}"/>
                </c:ext>
              </c:extLst>
            </c:dLbl>
            <c:dLbl>
              <c:idx val="2"/>
              <c:layout>
                <c:manualLayout>
                  <c:x val="-4.715285287970105E-2"/>
                  <c:y val="-3.0498834141507794E-2"/>
                </c:manualLayout>
              </c:layout>
              <c:tx>
                <c:rich>
                  <a:bodyPr/>
                  <a:lstStyle/>
                  <a:p>
                    <a:fld id="{8A0313F3-9032-42CF-B8BB-47EAEF3E1A3A}" type="VALUE">
                      <a:rPr lang="en-US" altLang="ja-JP" sz="830"/>
                      <a:pPr/>
                      <a:t>[値]</a:t>
                    </a:fld>
                    <a:endParaRPr lang="en-US" altLang="ja-JP" sz="830"/>
                  </a:p>
                  <a:p>
                    <a:r>
                      <a:rPr lang="en-US" sz="600"/>
                      <a:t>(</a:t>
                    </a:r>
                    <a:r>
                      <a:rPr lang="en-US" altLang="ja-JP" sz="600"/>
                      <a:t>3.0</a:t>
                    </a:r>
                    <a:r>
                      <a:rPr 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BDFA-44B3-9A12-5E19D447F9EC}"/>
                </c:ext>
              </c:extLst>
            </c:dLbl>
            <c:dLbl>
              <c:idx val="3"/>
              <c:layout>
                <c:manualLayout>
                  <c:x val="-4.9158731046614577E-2"/>
                  <c:y val="-2.5333113966127759E-2"/>
                </c:manualLayout>
              </c:layout>
              <c:tx>
                <c:rich>
                  <a:bodyPr/>
                  <a:lstStyle/>
                  <a:p>
                    <a:fld id="{FBEEA526-690B-4B06-8A58-50DA864245E3}" type="VALUE">
                      <a:rPr lang="en-US" altLang="en-US" sz="830"/>
                      <a:pPr/>
                      <a:t>[値]</a:t>
                    </a:fld>
                    <a:endParaRPr lang="en-US" altLang="en-US" sz="830"/>
                  </a:p>
                  <a:p>
                    <a:r>
                      <a:rPr lang="en-US" altLang="en-US" sz="600"/>
                      <a:t>(</a:t>
                    </a:r>
                    <a:r>
                      <a:rPr lang="en-US" altLang="ja-JP" sz="600"/>
                      <a:t>2.5</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BDFA-44B3-9A12-5E19D447F9EC}"/>
                </c:ext>
              </c:extLst>
            </c:dLbl>
            <c:dLbl>
              <c:idx val="4"/>
              <c:layout>
                <c:manualLayout>
                  <c:x val="-4.6549587307202003E-2"/>
                  <c:y val="-2.1519543039186032E-2"/>
                </c:manualLayout>
              </c:layout>
              <c:tx>
                <c:rich>
                  <a:bodyPr/>
                  <a:lstStyle/>
                  <a:p>
                    <a:fld id="{80E72C14-4BB1-4AEF-B9A2-F9ECEEE33DB3}" type="VALUE">
                      <a:rPr lang="en-US" altLang="en-US" sz="830"/>
                      <a:pPr/>
                      <a:t>[値]</a:t>
                    </a:fld>
                    <a:endParaRPr lang="en-US" altLang="en-US" sz="830"/>
                  </a:p>
                  <a:p>
                    <a:r>
                      <a:rPr lang="en-US" altLang="en-US" sz="600"/>
                      <a:t>(</a:t>
                    </a:r>
                    <a:r>
                      <a:rPr lang="en-US" altLang="ja-JP" sz="600"/>
                      <a:t>2.5</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BDFA-44B3-9A12-5E19D447F9EC}"/>
                </c:ext>
              </c:extLst>
            </c:dLbl>
            <c:dLbl>
              <c:idx val="5"/>
              <c:layout>
                <c:manualLayout>
                  <c:x val="-5.0789328845484968E-2"/>
                  <c:y val="-2.6608770149619924E-2"/>
                </c:manualLayout>
              </c:layout>
              <c:tx>
                <c:rich>
                  <a:bodyPr/>
                  <a:lstStyle/>
                  <a:p>
                    <a:fld id="{FA53BE6B-CAE7-46C2-ACB9-2CB3E04DDD44}" type="VALUE">
                      <a:rPr lang="en-US" altLang="en-US" sz="830"/>
                      <a:pPr/>
                      <a:t>[値]</a:t>
                    </a:fld>
                    <a:endParaRPr lang="en-US" altLang="en-US" sz="830"/>
                  </a:p>
                  <a:p>
                    <a:r>
                      <a:rPr lang="en-US" altLang="en-US" sz="600"/>
                      <a:t>(</a:t>
                    </a:r>
                    <a:r>
                      <a:rPr lang="en-US" altLang="ja-JP" sz="600"/>
                      <a:t>1.7</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BDFA-44B3-9A12-5E19D447F9EC}"/>
                </c:ext>
              </c:extLst>
            </c:dLbl>
            <c:dLbl>
              <c:idx val="6"/>
              <c:layout>
                <c:manualLayout>
                  <c:x val="-4.7700221921881912E-2"/>
                  <c:y val="-2.0241522493701449E-2"/>
                </c:manualLayout>
              </c:layout>
              <c:tx>
                <c:rich>
                  <a:bodyPr/>
                  <a:lstStyle/>
                  <a:p>
                    <a:fld id="{7594A32D-444F-42A4-A95B-D664F04B9CF1}" type="VALUE">
                      <a:rPr lang="en-US" altLang="en-US" sz="830"/>
                      <a:pPr/>
                      <a:t>[値]</a:t>
                    </a:fld>
                    <a:endParaRPr lang="en-US" altLang="en-US" sz="830"/>
                  </a:p>
                  <a:p>
                    <a:r>
                      <a:rPr lang="en-US" altLang="en-US" sz="600"/>
                      <a:t>(</a:t>
                    </a:r>
                    <a:r>
                      <a:rPr lang="en-US" altLang="ja-JP" sz="600"/>
                      <a:t>2.5</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BDFA-44B3-9A12-5E19D447F9EC}"/>
                </c:ext>
              </c:extLst>
            </c:dLbl>
            <c:dLbl>
              <c:idx val="7"/>
              <c:layout>
                <c:manualLayout>
                  <c:x val="-4.7843105369197919E-2"/>
                  <c:y val="-2.1536035561476426E-2"/>
                </c:manualLayout>
              </c:layout>
              <c:tx>
                <c:rich>
                  <a:bodyPr/>
                  <a:lstStyle/>
                  <a:p>
                    <a:fld id="{89591C30-2CB9-48D5-8B96-1ABAE279377F}" type="VALUE">
                      <a:rPr lang="en-US" altLang="en-US" sz="830"/>
                      <a:pPr/>
                      <a:t>[値]</a:t>
                    </a:fld>
                    <a:endParaRPr lang="en-US" altLang="en-US" sz="830"/>
                  </a:p>
                  <a:p>
                    <a:r>
                      <a:rPr lang="en-US" altLang="en-US" sz="600"/>
                      <a:t>(</a:t>
                    </a:r>
                    <a:r>
                      <a:rPr lang="en-US" altLang="ja-JP" sz="600"/>
                      <a:t>1.7</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6"/>
                <c:pt idx="0">
                  <c:v>H８決算</c:v>
                </c:pt>
                <c:pt idx="1">
                  <c:v>H28決算</c:v>
                </c:pt>
                <c:pt idx="2">
                  <c:v>H29決算</c:v>
                </c:pt>
                <c:pt idx="3">
                  <c:v>H30決算</c:v>
                </c:pt>
                <c:pt idx="4">
                  <c:v>R元決算</c:v>
                </c:pt>
                <c:pt idx="5">
                  <c:v>R２決算</c:v>
                </c:pt>
              </c:strCache>
            </c:strRef>
          </c:cat>
          <c:val>
            <c:numRef>
              <c:f>頁６データ!$B$50:$I$50</c:f>
              <c:numCache>
                <c:formatCode>#,##0;"△ "#,##0</c:formatCode>
                <c:ptCount val="6"/>
                <c:pt idx="0">
                  <c:v>12844</c:v>
                </c:pt>
                <c:pt idx="1">
                  <c:v>32905</c:v>
                </c:pt>
                <c:pt idx="2">
                  <c:v>52770</c:v>
                </c:pt>
                <c:pt idx="3">
                  <c:v>43642</c:v>
                </c:pt>
                <c:pt idx="4">
                  <c:v>44514</c:v>
                </c:pt>
                <c:pt idx="5">
                  <c:v>33867</c:v>
                </c:pt>
              </c:numCache>
            </c:numRef>
          </c:val>
          <c:extLst>
            <c:ext xmlns:c16="http://schemas.microsoft.com/office/drawing/2014/chart" uri="{C3380CC4-5D6E-409C-BE32-E72D297353CC}">
              <c16:uniqueId val="{00000011-BDFA-44B3-9A12-5E19D447F9EC}"/>
            </c:ext>
          </c:extLst>
        </c:ser>
        <c:ser>
          <c:idx val="3"/>
          <c:order val="3"/>
          <c:tx>
            <c:v>国庫支出金</c:v>
          </c:tx>
          <c:spPr>
            <a:solidFill>
              <a:srgbClr val="00FF00"/>
            </a:solidFill>
            <a:ln w="12700">
              <a:solidFill>
                <a:srgbClr val="000000"/>
              </a:solidFill>
              <a:prstDash val="solid"/>
            </a:ln>
          </c:spPr>
          <c:invertIfNegative val="0"/>
          <c:dLbls>
            <c:dLbl>
              <c:idx val="0"/>
              <c:tx>
                <c:rich>
                  <a:bodyPr/>
                  <a:lstStyle/>
                  <a:p>
                    <a:fld id="{82514D5C-E357-48EE-8525-A70D3FCE498E}" type="VALUE">
                      <a:rPr lang="en-US" altLang="ja-JP"/>
                      <a:pPr/>
                      <a:t>[値]</a:t>
                    </a:fld>
                    <a:endParaRPr lang="en-US" altLang="ja-JP"/>
                  </a:p>
                  <a:p>
                    <a:r>
                      <a:rPr lang="en-US" altLang="ja-JP" sz="600"/>
                      <a:t>(11.8)</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4-BDFA-44B3-9A12-5E19D447F9EC}"/>
                </c:ext>
              </c:extLst>
            </c:dLbl>
            <c:dLbl>
              <c:idx val="1"/>
              <c:tx>
                <c:rich>
                  <a:bodyPr/>
                  <a:lstStyle/>
                  <a:p>
                    <a:fld id="{74BFC249-0BF0-4BE1-87A2-88B8C04E2403}" type="VALUE">
                      <a:rPr lang="en-US" altLang="ja-JP"/>
                      <a:pPr/>
                      <a:t>[値]</a:t>
                    </a:fld>
                    <a:endParaRPr lang="en-US" altLang="ja-JP"/>
                  </a:p>
                  <a:p>
                    <a:r>
                      <a:rPr lang="en-US" altLang="ja-JP" sz="600"/>
                      <a:t>(23.3)</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BDFA-44B3-9A12-5E19D447F9EC}"/>
                </c:ext>
              </c:extLst>
            </c:dLbl>
            <c:dLbl>
              <c:idx val="2"/>
              <c:tx>
                <c:rich>
                  <a:bodyPr/>
                  <a:lstStyle/>
                  <a:p>
                    <a:fld id="{83D604BC-98E7-4316-B817-666F36E5CF68}" type="VALUE">
                      <a:rPr lang="en-US" altLang="ja-JP"/>
                      <a:pPr/>
                      <a:t>[値]</a:t>
                    </a:fld>
                    <a:endParaRPr lang="en-US" altLang="ja-JP"/>
                  </a:p>
                  <a:p>
                    <a:r>
                      <a:rPr lang="en-US" altLang="ja-JP" sz="600"/>
                      <a:t>(23.2)</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6-BDFA-44B3-9A12-5E19D447F9EC}"/>
                </c:ext>
              </c:extLst>
            </c:dLbl>
            <c:dLbl>
              <c:idx val="3"/>
              <c:tx>
                <c:rich>
                  <a:bodyPr/>
                  <a:lstStyle/>
                  <a:p>
                    <a:r>
                      <a:rPr lang="en-US" altLang="ja-JP"/>
                      <a:t>3,967</a:t>
                    </a:r>
                  </a:p>
                  <a:p>
                    <a:r>
                      <a:rPr lang="en-US" altLang="ja-JP" sz="600"/>
                      <a:t>(22.5)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BDFA-44B3-9A12-5E19D447F9EC}"/>
                </c:ext>
              </c:extLst>
            </c:dLbl>
            <c:dLbl>
              <c:idx val="4"/>
              <c:layout>
                <c:manualLayout>
                  <c:x val="7.2370119175304399E-4"/>
                  <c:y val="2.5935761162058182E-3"/>
                </c:manualLayout>
              </c:layout>
              <c:tx>
                <c:rich>
                  <a:bodyPr/>
                  <a:lstStyle/>
                  <a:p>
                    <a:fld id="{E5D6E017-1F58-49A1-A593-D14A17CC364C}" type="VALUE">
                      <a:rPr lang="en-US" altLang="ja-JP" sz="830"/>
                      <a:pPr/>
                      <a:t>[値]</a:t>
                    </a:fld>
                    <a:endParaRPr lang="en-US" altLang="ja-JP" sz="830"/>
                  </a:p>
                  <a:p>
                    <a:r>
                      <a:rPr lang="en-US" altLang="ja-JP" sz="600"/>
                      <a:t>(23.9)</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8-BDFA-44B3-9A12-5E19D447F9EC}"/>
                </c:ext>
              </c:extLst>
            </c:dLbl>
            <c:dLbl>
              <c:idx val="5"/>
              <c:layout>
                <c:manualLayout>
                  <c:x val="2.1543216678779641E-3"/>
                  <c:y val="-1.9619923027223642E-3"/>
                </c:manualLayout>
              </c:layout>
              <c:tx>
                <c:rich>
                  <a:bodyPr/>
                  <a:lstStyle/>
                  <a:p>
                    <a:fld id="{7A77949C-5C87-42EC-9E13-583B158451F2}" type="VALUE">
                      <a:rPr lang="en-US" altLang="en-US" sz="830"/>
                      <a:pPr/>
                      <a:t>[値]</a:t>
                    </a:fld>
                    <a:endParaRPr lang="en-US" altLang="en-US" sz="830"/>
                  </a:p>
                  <a:p>
                    <a:r>
                      <a:rPr lang="en-US" altLang="en-US" sz="600"/>
                      <a:t>(</a:t>
                    </a:r>
                    <a:r>
                      <a:rPr lang="en-US" altLang="ja-JP" sz="600"/>
                      <a:t>37.7</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9-BDFA-44B3-9A12-5E19D447F9EC}"/>
                </c:ext>
              </c:extLst>
            </c:dLbl>
            <c:dLbl>
              <c:idx val="6"/>
              <c:layout>
                <c:manualLayout>
                  <c:x val="-4.1093396215500648E-4"/>
                  <c:y val="-1.2967880581028625E-3"/>
                </c:manualLayout>
              </c:layout>
              <c:tx>
                <c:rich>
                  <a:bodyPr/>
                  <a:lstStyle/>
                  <a:p>
                    <a:fld id="{A2D13AA7-C4DF-41EE-8E5D-D0B7DD14F395}" type="VALUE">
                      <a:rPr lang="en-US" altLang="en-US" sz="830"/>
                      <a:pPr/>
                      <a:t>[値]</a:t>
                    </a:fld>
                    <a:endParaRPr lang="en-US" altLang="en-US" sz="830"/>
                  </a:p>
                  <a:p>
                    <a:r>
                      <a:rPr lang="en-US" altLang="en-US" sz="600"/>
                      <a:t>(</a:t>
                    </a:r>
                    <a:r>
                      <a:rPr lang="en-US" altLang="ja-JP" sz="600"/>
                      <a:t>23.9</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A-BDFA-44B3-9A12-5E19D447F9EC}"/>
                </c:ext>
              </c:extLst>
            </c:dLbl>
            <c:dLbl>
              <c:idx val="7"/>
              <c:layout>
                <c:manualLayout>
                  <c:x val="-5.6537106668306885E-4"/>
                  <c:y val="2.5649255839018188E-3"/>
                </c:manualLayout>
              </c:layout>
              <c:tx>
                <c:rich>
                  <a:bodyPr/>
                  <a:lstStyle/>
                  <a:p>
                    <a:fld id="{5B437439-F49B-418E-8F77-3BBF7E9755C3}" type="VALUE">
                      <a:rPr lang="en-US" altLang="en-US" sz="830"/>
                      <a:pPr/>
                      <a:t>[値]</a:t>
                    </a:fld>
                    <a:endParaRPr lang="en-US" altLang="en-US" sz="830"/>
                  </a:p>
                  <a:p>
                    <a:r>
                      <a:rPr lang="en-US" altLang="en-US" sz="600"/>
                      <a:t>(</a:t>
                    </a:r>
                    <a:r>
                      <a:rPr lang="en-US" altLang="ja-JP" sz="600"/>
                      <a:t>37.7</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B-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6"/>
                <c:pt idx="0">
                  <c:v>H８決算</c:v>
                </c:pt>
                <c:pt idx="1">
                  <c:v>H28決算</c:v>
                </c:pt>
                <c:pt idx="2">
                  <c:v>H29決算</c:v>
                </c:pt>
                <c:pt idx="3">
                  <c:v>H30決算</c:v>
                </c:pt>
                <c:pt idx="4">
                  <c:v>R元決算</c:v>
                </c:pt>
                <c:pt idx="5">
                  <c:v>R２決算</c:v>
                </c:pt>
              </c:strCache>
            </c:strRef>
          </c:cat>
          <c:val>
            <c:numRef>
              <c:f>頁６データ!$B$52:$I$52</c:f>
              <c:numCache>
                <c:formatCode>#,##0;"△ "#,##0</c:formatCode>
                <c:ptCount val="6"/>
                <c:pt idx="0">
                  <c:v>219549</c:v>
                </c:pt>
                <c:pt idx="1">
                  <c:v>366554</c:v>
                </c:pt>
                <c:pt idx="2">
                  <c:v>403887</c:v>
                </c:pt>
                <c:pt idx="3">
                  <c:v>396685</c:v>
                </c:pt>
                <c:pt idx="4">
                  <c:v>421185</c:v>
                </c:pt>
                <c:pt idx="5">
                  <c:v>770142</c:v>
                </c:pt>
              </c:numCache>
            </c:numRef>
          </c:val>
          <c:extLst>
            <c:ext xmlns:c16="http://schemas.microsoft.com/office/drawing/2014/chart" uri="{C3380CC4-5D6E-409C-BE32-E72D297353CC}">
              <c16:uniqueId val="{0000002C-BDFA-44B3-9A12-5E19D447F9EC}"/>
            </c:ext>
          </c:extLst>
        </c:ser>
        <c:ser>
          <c:idx val="4"/>
          <c:order val="4"/>
          <c:tx>
            <c:v>地方債</c:v>
          </c:tx>
          <c:spPr>
            <a:solidFill>
              <a:srgbClr val="FF9900"/>
            </a:solidFill>
            <a:ln w="12700">
              <a:solidFill>
                <a:srgbClr val="000000"/>
              </a:solidFill>
              <a:prstDash val="solid"/>
            </a:ln>
          </c:spPr>
          <c:invertIfNegative val="0"/>
          <c:dLbls>
            <c:dLbl>
              <c:idx val="0"/>
              <c:tx>
                <c:rich>
                  <a:bodyPr/>
                  <a:lstStyle/>
                  <a:p>
                    <a:fld id="{DD95751E-4ACF-4998-B061-F46352EF9ECF}" type="VALUE">
                      <a:rPr lang="en-US" altLang="ja-JP"/>
                      <a:pPr/>
                      <a:t>[値]</a:t>
                    </a:fld>
                    <a:endParaRPr lang="en-US" altLang="ja-JP"/>
                  </a:p>
                  <a:p>
                    <a:r>
                      <a:rPr lang="en-US" altLang="ja-JP" sz="600"/>
                      <a:t>(15.4)</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B-BDFA-44B3-9A12-5E19D447F9EC}"/>
                </c:ext>
              </c:extLst>
            </c:dLbl>
            <c:dLbl>
              <c:idx val="1"/>
              <c:tx>
                <c:rich>
                  <a:bodyPr/>
                  <a:lstStyle/>
                  <a:p>
                    <a:fld id="{B5D7DB8E-D5BC-44CF-B278-1B536CA3528A}" type="VALUE">
                      <a:rPr lang="en-US" altLang="ja-JP"/>
                      <a:pPr/>
                      <a:t>[値]</a:t>
                    </a:fld>
                    <a:endParaRPr lang="en-US" altLang="ja-JP"/>
                  </a:p>
                  <a:p>
                    <a:r>
                      <a:rPr lang="en-US" altLang="ja-JP" sz="600"/>
                      <a:t>(5.8)</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C-BDFA-44B3-9A12-5E19D447F9EC}"/>
                </c:ext>
              </c:extLst>
            </c:dLbl>
            <c:dLbl>
              <c:idx val="2"/>
              <c:tx>
                <c:rich>
                  <a:bodyPr/>
                  <a:lstStyle/>
                  <a:p>
                    <a:fld id="{2B67A21A-FD2E-42BC-B0C2-B969677F20A4}" type="VALUE">
                      <a:rPr lang="en-US" altLang="ja-JP"/>
                      <a:pPr/>
                      <a:t>[値]</a:t>
                    </a:fld>
                    <a:endParaRPr lang="en-US" altLang="ja-JP"/>
                  </a:p>
                  <a:p>
                    <a:r>
                      <a:rPr lang="en-US" altLang="ja-JP" sz="600"/>
                      <a:t>(6.8)</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D-BDFA-44B3-9A12-5E19D447F9EC}"/>
                </c:ext>
              </c:extLst>
            </c:dLbl>
            <c:dLbl>
              <c:idx val="3"/>
              <c:tx>
                <c:rich>
                  <a:bodyPr/>
                  <a:lstStyle/>
                  <a:p>
                    <a:fld id="{C94760B8-F681-4EA5-B5DF-BCD7A904A8E6}" type="VALUE">
                      <a:rPr lang="en-US" altLang="ja-JP"/>
                      <a:pPr/>
                      <a:t>[値]</a:t>
                    </a:fld>
                    <a:endParaRPr lang="en-US" altLang="ja-JP"/>
                  </a:p>
                  <a:p>
                    <a:r>
                      <a:rPr lang="en-US" altLang="ja-JP" sz="600"/>
                      <a:t>(5.9)</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E-BDFA-44B3-9A12-5E19D447F9EC}"/>
                </c:ext>
              </c:extLst>
            </c:dLbl>
            <c:dLbl>
              <c:idx val="4"/>
              <c:layout>
                <c:manualLayout>
                  <c:x val="7.1924581811204434E-4"/>
                  <c:y val="2.5631576308922E-3"/>
                </c:manualLayout>
              </c:layout>
              <c:tx>
                <c:rich>
                  <a:bodyPr/>
                  <a:lstStyle/>
                  <a:p>
                    <a:fld id="{3C59649E-7533-48AC-B2D1-90FDB69E19CA}" type="VALUE">
                      <a:rPr lang="en-US" altLang="en-US" sz="830"/>
                      <a:pPr/>
                      <a:t>[値]</a:t>
                    </a:fld>
                    <a:endParaRPr lang="en-US" altLang="en-US" sz="830"/>
                  </a:p>
                  <a:p>
                    <a:r>
                      <a:rPr lang="en-US" altLang="en-US" sz="600"/>
                      <a:t>(</a:t>
                    </a:r>
                    <a:r>
                      <a:rPr lang="en-US" altLang="ja-JP" sz="600"/>
                      <a:t>5.7</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F-BDFA-44B3-9A12-5E19D447F9EC}"/>
                </c:ext>
              </c:extLst>
            </c:dLbl>
            <c:dLbl>
              <c:idx val="5"/>
              <c:layout>
                <c:manualLayout>
                  <c:x val="2.6375811954711044E-4"/>
                  <c:y val="-2.8717451595334485E-5"/>
                </c:manualLayout>
              </c:layout>
              <c:tx>
                <c:rich>
                  <a:bodyPr/>
                  <a:lstStyle/>
                  <a:p>
                    <a:fld id="{649EDD80-69D6-4581-87D7-87D0E133508B}" type="VALUE">
                      <a:rPr lang="en-US" altLang="en-US" sz="830"/>
                      <a:pPr/>
                      <a:t>[値]</a:t>
                    </a:fld>
                    <a:endParaRPr lang="en-US" altLang="en-US" sz="830"/>
                  </a:p>
                  <a:p>
                    <a:r>
                      <a:rPr lang="en-US" altLang="en-US" sz="600"/>
                      <a:t>(</a:t>
                    </a:r>
                    <a:r>
                      <a:rPr lang="en-US" altLang="ja-JP" sz="600"/>
                      <a:t>5.3</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0-BDFA-44B3-9A12-5E19D447F9EC}"/>
                </c:ext>
              </c:extLst>
            </c:dLbl>
            <c:dLbl>
              <c:idx val="6"/>
              <c:layout>
                <c:manualLayout>
                  <c:x val="-4.0425090169336872E-4"/>
                  <c:y val="1.2653689647198602E-3"/>
                </c:manualLayout>
              </c:layout>
              <c:tx>
                <c:rich>
                  <a:bodyPr/>
                  <a:lstStyle/>
                  <a:p>
                    <a:fld id="{4B6567C4-4D5A-4418-B64B-9860E0081C5C}" type="VALUE">
                      <a:rPr lang="en-US" altLang="en-US" sz="830"/>
                      <a:pPr/>
                      <a:t>[値]</a:t>
                    </a:fld>
                    <a:endParaRPr lang="en-US" altLang="en-US" sz="830"/>
                  </a:p>
                  <a:p>
                    <a:r>
                      <a:rPr lang="en-US" altLang="en-US" sz="600"/>
                      <a:t>(</a:t>
                    </a:r>
                    <a:r>
                      <a:rPr lang="en-US" altLang="ja-JP" sz="600"/>
                      <a:t>5.7</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1-BDFA-44B3-9A12-5E19D447F9EC}"/>
                </c:ext>
              </c:extLst>
            </c:dLbl>
            <c:dLbl>
              <c:idx val="7"/>
              <c:layout>
                <c:manualLayout>
                  <c:x val="-5.6774532838042553E-4"/>
                  <c:y val="6.9908028997051476E-7"/>
                </c:manualLayout>
              </c:layout>
              <c:tx>
                <c:rich>
                  <a:bodyPr/>
                  <a:lstStyle/>
                  <a:p>
                    <a:fld id="{11370641-367B-4B48-889D-9DC38708BCCB}" type="VALUE">
                      <a:rPr lang="en-US" altLang="en-US" sz="830"/>
                      <a:pPr/>
                      <a:t>[値]</a:t>
                    </a:fld>
                    <a:endParaRPr lang="en-US" altLang="en-US" sz="830"/>
                  </a:p>
                  <a:p>
                    <a:r>
                      <a:rPr lang="en-US" altLang="en-US" sz="600"/>
                      <a:t>(</a:t>
                    </a:r>
                    <a:r>
                      <a:rPr lang="en-US" altLang="ja-JP" sz="600"/>
                      <a:t>5.3</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2-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6"/>
                <c:pt idx="0">
                  <c:v>H８決算</c:v>
                </c:pt>
                <c:pt idx="1">
                  <c:v>H28決算</c:v>
                </c:pt>
                <c:pt idx="2">
                  <c:v>H29決算</c:v>
                </c:pt>
                <c:pt idx="3">
                  <c:v>H30決算</c:v>
                </c:pt>
                <c:pt idx="4">
                  <c:v>R元決算</c:v>
                </c:pt>
                <c:pt idx="5">
                  <c:v>R２決算</c:v>
                </c:pt>
              </c:strCache>
            </c:strRef>
          </c:cat>
          <c:val>
            <c:numRef>
              <c:f>頁６データ!$B$53:$I$53</c:f>
              <c:numCache>
                <c:formatCode>#,##0;"△ "#,##0</c:formatCode>
                <c:ptCount val="6"/>
                <c:pt idx="0">
                  <c:v>285869</c:v>
                </c:pt>
                <c:pt idx="1">
                  <c:v>91432</c:v>
                </c:pt>
                <c:pt idx="2">
                  <c:v>117973</c:v>
                </c:pt>
                <c:pt idx="3">
                  <c:v>103599</c:v>
                </c:pt>
                <c:pt idx="4">
                  <c:v>100265</c:v>
                </c:pt>
                <c:pt idx="5">
                  <c:v>108576</c:v>
                </c:pt>
              </c:numCache>
            </c:numRef>
          </c:val>
          <c:extLst>
            <c:ext xmlns:c16="http://schemas.microsoft.com/office/drawing/2014/chart" uri="{C3380CC4-5D6E-409C-BE32-E72D297353CC}">
              <c16:uniqueId val="{00000023-BDFA-44B3-9A12-5E19D447F9EC}"/>
            </c:ext>
          </c:extLst>
        </c:ser>
        <c:ser>
          <c:idx val="6"/>
          <c:order val="5"/>
          <c:tx>
            <c:v>その他</c:v>
          </c:tx>
          <c:spPr>
            <a:solidFill>
              <a:srgbClr val="CC99FF"/>
            </a:solidFill>
            <a:ln w="12700">
              <a:solidFill>
                <a:srgbClr val="000000"/>
              </a:solidFill>
              <a:prstDash val="solid"/>
            </a:ln>
          </c:spPr>
          <c:invertIfNegative val="0"/>
          <c:dLbls>
            <c:dLbl>
              <c:idx val="0"/>
              <c:tx>
                <c:rich>
                  <a:bodyPr/>
                  <a:lstStyle/>
                  <a:p>
                    <a:fld id="{16917DB7-C5E8-4B57-ACAB-DD8E89AB997C}" type="VALUE">
                      <a:rPr lang="en-US" altLang="ja-JP"/>
                      <a:pPr/>
                      <a:t>[値]</a:t>
                    </a:fld>
                    <a:endParaRPr lang="en-US" altLang="ja-JP" sz="830"/>
                  </a:p>
                  <a:p>
                    <a:r>
                      <a:rPr lang="en-US" altLang="ja-JP" sz="600"/>
                      <a:t>(26.3)</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D-BDFA-44B3-9A12-5E19D447F9EC}"/>
                </c:ext>
              </c:extLst>
            </c:dLbl>
            <c:dLbl>
              <c:idx val="1"/>
              <c:tx>
                <c:rich>
                  <a:bodyPr/>
                  <a:lstStyle/>
                  <a:p>
                    <a:fld id="{E6E3A73A-D688-4720-8E40-3ACED6813943}" type="VALUE">
                      <a:rPr lang="en-US" altLang="ja-JP"/>
                      <a:pPr/>
                      <a:t>[値]</a:t>
                    </a:fld>
                    <a:endParaRPr lang="en-US" altLang="ja-JP"/>
                  </a:p>
                  <a:p>
                    <a:r>
                      <a:rPr lang="en-US" altLang="ja-JP" sz="600"/>
                      <a:t>(21.4)</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E-BDFA-44B3-9A12-5E19D447F9EC}"/>
                </c:ext>
              </c:extLst>
            </c:dLbl>
            <c:dLbl>
              <c:idx val="2"/>
              <c:tx>
                <c:rich>
                  <a:bodyPr/>
                  <a:lstStyle/>
                  <a:p>
                    <a:fld id="{ECF2CB23-1D12-4E37-8B68-62E7E6792FA1}" type="VALUE">
                      <a:rPr lang="en-US" altLang="ja-JP" sz="830"/>
                      <a:pPr/>
                      <a:t>[値]</a:t>
                    </a:fld>
                    <a:endParaRPr lang="en-US" altLang="ja-JP" sz="830"/>
                  </a:p>
                  <a:p>
                    <a:r>
                      <a:rPr lang="en-US" altLang="ja-JP" sz="600"/>
                      <a:t>(20.3)</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F-BDFA-44B3-9A12-5E19D447F9EC}"/>
                </c:ext>
              </c:extLst>
            </c:dLbl>
            <c:dLbl>
              <c:idx val="3"/>
              <c:tx>
                <c:rich>
                  <a:bodyPr/>
                  <a:lstStyle/>
                  <a:p>
                    <a:fld id="{D4D9B258-1052-4A22-B561-AC1B528E852C}" type="VALUE">
                      <a:rPr lang="en-US" altLang="ja-JP"/>
                      <a:pPr/>
                      <a:t>[値]</a:t>
                    </a:fld>
                    <a:endParaRPr lang="en-US" altLang="ja-JP"/>
                  </a:p>
                  <a:p>
                    <a:r>
                      <a:rPr lang="en-US" altLang="ja-JP" sz="600"/>
                      <a:t>(21.8)</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0-BDFA-44B3-9A12-5E19D447F9EC}"/>
                </c:ext>
              </c:extLst>
            </c:dLbl>
            <c:dLbl>
              <c:idx val="4"/>
              <c:layout>
                <c:manualLayout>
                  <c:x val="-1.16389210748381E-3"/>
                  <c:y val="1.1393223662019456E-2"/>
                </c:manualLayout>
              </c:layout>
              <c:tx>
                <c:rich>
                  <a:bodyPr wrap="square" lIns="38100" tIns="19050" rIns="38100" bIns="19050" anchor="ctr">
                    <a:noAutofit/>
                  </a:bodyPr>
                  <a:lstStyle/>
                  <a:p>
                    <a:pPr>
                      <a:defRPr/>
                    </a:pPr>
                    <a:fld id="{053F42F3-2849-4CA1-8A72-1A216CB50D5C}" type="VALUE">
                      <a:rPr lang="en-US" altLang="en-US" sz="830"/>
                      <a:pPr>
                        <a:defRPr/>
                      </a:pPr>
                      <a:t>[値]</a:t>
                    </a:fld>
                    <a:endParaRPr lang="en-US" altLang="en-US" sz="830"/>
                  </a:p>
                  <a:p>
                    <a:pPr>
                      <a:defRPr/>
                    </a:pPr>
                    <a:r>
                      <a:rPr lang="en-US" altLang="en-US" sz="600"/>
                      <a:t>(</a:t>
                    </a:r>
                    <a:r>
                      <a:rPr lang="en-US" altLang="ja-JP" sz="600"/>
                      <a:t>18.9</a:t>
                    </a:r>
                    <a:r>
                      <a:rPr lang="en-US" altLang="en-US" sz="600"/>
                      <a:t>)</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5.8884297213817244E-2"/>
                      <c:h val="2.897360726113259E-2"/>
                    </c:manualLayout>
                  </c15:layout>
                  <c15:dlblFieldTable/>
                  <c15:showDataLabelsRange val="0"/>
                </c:ext>
                <c:ext xmlns:c16="http://schemas.microsoft.com/office/drawing/2014/chart" uri="{C3380CC4-5D6E-409C-BE32-E72D297353CC}">
                  <c16:uniqueId val="{00000031-BDFA-44B3-9A12-5E19D447F9EC}"/>
                </c:ext>
              </c:extLst>
            </c:dLbl>
            <c:dLbl>
              <c:idx val="5"/>
              <c:layout>
                <c:manualLayout>
                  <c:x val="2.1483811696901027E-3"/>
                  <c:y val="2.5597555634559121E-3"/>
                </c:manualLayout>
              </c:layout>
              <c:tx>
                <c:rich>
                  <a:bodyPr/>
                  <a:lstStyle/>
                  <a:p>
                    <a:fld id="{F5868ECF-847F-4836-91F2-B87AA55A57C0}" type="VALUE">
                      <a:rPr lang="en-US" altLang="en-US" sz="830"/>
                      <a:pPr/>
                      <a:t>[値]</a:t>
                    </a:fld>
                    <a:endParaRPr lang="en-US" altLang="en-US" sz="830"/>
                  </a:p>
                  <a:p>
                    <a:r>
                      <a:rPr lang="en-US" altLang="en-US" sz="600"/>
                      <a:t>(</a:t>
                    </a:r>
                    <a:r>
                      <a:rPr lang="en-US" altLang="ja-JP" sz="600"/>
                      <a:t>13.7</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2-BDFA-44B3-9A12-5E19D447F9EC}"/>
                </c:ext>
              </c:extLst>
            </c:dLbl>
            <c:dLbl>
              <c:idx val="6"/>
              <c:layout>
                <c:manualLayout>
                  <c:x val="-4.0870627533436837E-4"/>
                  <c:y val="2.5426451654670542E-3"/>
                </c:manualLayout>
              </c:layout>
              <c:tx>
                <c:rich>
                  <a:bodyPr/>
                  <a:lstStyle/>
                  <a:p>
                    <a:fld id="{6BEE412C-F6CE-441E-9046-9DDAC6553435}" type="VALUE">
                      <a:rPr lang="en-US" altLang="ja-JP" sz="830"/>
                      <a:pPr/>
                      <a:t>[値]</a:t>
                    </a:fld>
                    <a:endParaRPr lang="en-US" altLang="ja-JP" sz="830"/>
                  </a:p>
                  <a:p>
                    <a:r>
                      <a:rPr lang="en-US" altLang="en-US" sz="600"/>
                      <a:t>(</a:t>
                    </a:r>
                    <a:r>
                      <a:rPr lang="en-US" altLang="ja-JP" sz="600"/>
                      <a:t>18.9</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3-BDFA-44B3-9A12-5E19D447F9EC}"/>
                </c:ext>
              </c:extLst>
            </c:dLbl>
            <c:dLbl>
              <c:idx val="7"/>
              <c:layout>
                <c:manualLayout>
                  <c:x val="-5.6106771735660982E-4"/>
                  <c:y val="-3.8108863978549819E-3"/>
                </c:manualLayout>
              </c:layout>
              <c:tx>
                <c:rich>
                  <a:bodyPr/>
                  <a:lstStyle/>
                  <a:p>
                    <a:fld id="{0E2AD15A-737D-4CD5-A09D-8801C5637599}" type="VALUE">
                      <a:rPr lang="en-US" altLang="en-US" sz="830"/>
                      <a:pPr/>
                      <a:t>[値]</a:t>
                    </a:fld>
                    <a:endParaRPr lang="en-US" altLang="en-US" sz="830"/>
                  </a:p>
                  <a:p>
                    <a:r>
                      <a:rPr lang="en-US" altLang="en-US" sz="600"/>
                      <a:t>(</a:t>
                    </a:r>
                    <a:r>
                      <a:rPr lang="en-US" altLang="ja-JP" sz="600"/>
                      <a:t>13.7</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4-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6"/>
                <c:pt idx="0">
                  <c:v>H８決算</c:v>
                </c:pt>
                <c:pt idx="1">
                  <c:v>H28決算</c:v>
                </c:pt>
                <c:pt idx="2">
                  <c:v>H29決算</c:v>
                </c:pt>
                <c:pt idx="3">
                  <c:v>H30決算</c:v>
                </c:pt>
                <c:pt idx="4">
                  <c:v>R元決算</c:v>
                </c:pt>
                <c:pt idx="5">
                  <c:v>R２決算</c:v>
                </c:pt>
              </c:strCache>
            </c:strRef>
          </c:cat>
          <c:val>
            <c:numRef>
              <c:f>頁６データ!$B$56:$I$56</c:f>
              <c:numCache>
                <c:formatCode>#,##0;"△ "#,##0</c:formatCode>
                <c:ptCount val="6"/>
                <c:pt idx="0">
                  <c:v>489083</c:v>
                </c:pt>
                <c:pt idx="1">
                  <c:v>338225</c:v>
                </c:pt>
                <c:pt idx="2">
                  <c:v>354794</c:v>
                </c:pt>
                <c:pt idx="3">
                  <c:v>384415</c:v>
                </c:pt>
                <c:pt idx="4">
                  <c:v>333836</c:v>
                </c:pt>
                <c:pt idx="5">
                  <c:v>279351</c:v>
                </c:pt>
              </c:numCache>
            </c:numRef>
          </c:val>
          <c:extLst>
            <c:ext xmlns:c16="http://schemas.microsoft.com/office/drawing/2014/chart" uri="{C3380CC4-5D6E-409C-BE32-E72D297353CC}">
              <c16:uniqueId val="{00000035-BDFA-44B3-9A12-5E19D447F9EC}"/>
            </c:ext>
          </c:extLst>
        </c:ser>
        <c:dLbls>
          <c:showLegendKey val="0"/>
          <c:showVal val="1"/>
          <c:showCatName val="0"/>
          <c:showSerName val="0"/>
          <c:showPercent val="0"/>
          <c:showBubbleSize val="0"/>
        </c:dLbls>
        <c:gapWidth val="120"/>
        <c:overlap val="100"/>
        <c:serLines>
          <c:spPr>
            <a:ln w="3175">
              <a:solidFill>
                <a:srgbClr val="000000"/>
              </a:solidFill>
              <a:prstDash val="sysDash"/>
            </a:ln>
          </c:spPr>
        </c:serLines>
        <c:axId val="400498360"/>
        <c:axId val="399532056"/>
      </c:barChart>
      <c:catAx>
        <c:axId val="4004983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399532056"/>
        <c:crosses val="autoZero"/>
        <c:auto val="1"/>
        <c:lblAlgn val="ctr"/>
        <c:lblOffset val="100"/>
        <c:tickLblSkip val="1"/>
        <c:tickMarkSkip val="1"/>
        <c:noMultiLvlLbl val="0"/>
      </c:catAx>
      <c:valAx>
        <c:axId val="399532056"/>
        <c:scaling>
          <c:orientation val="minMax"/>
          <c:max val="2200000"/>
          <c:min val="0"/>
        </c:scaling>
        <c:delete val="0"/>
        <c:axPos val="l"/>
        <c:majorGridlines>
          <c:spPr>
            <a:ln w="3175">
              <a:solidFill>
                <a:srgbClr val="000000"/>
              </a:solidFill>
              <a:prstDash val="solid"/>
            </a:ln>
          </c:spPr>
        </c:majorGridlines>
        <c:numFmt formatCode="#,##0;&quot;△ &quot;#,##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400498360"/>
        <c:crosses val="autoZero"/>
        <c:crossBetween val="between"/>
        <c:dispUnits>
          <c:builtInUnit val="hundreds"/>
        </c:dispUnits>
      </c:valAx>
      <c:spPr>
        <a:noFill/>
        <a:ln w="25400">
          <a:solidFill>
            <a:schemeClr val="tx1"/>
          </a:solidFill>
        </a:ln>
      </c:spPr>
    </c:plotArea>
    <c:legend>
      <c:legendPos val="r"/>
      <c:layout>
        <c:manualLayout>
          <c:xMode val="edge"/>
          <c:yMode val="edge"/>
          <c:x val="0.87752173334387773"/>
          <c:y val="0.12813076506593057"/>
          <c:w val="0.10734751773049638"/>
          <c:h val="0.58286690822012532"/>
        </c:manualLayout>
      </c:layout>
      <c:overlay val="0"/>
      <c:spPr>
        <a:noFill/>
        <a:ln w="25400">
          <a:noFill/>
        </a:ln>
      </c:spPr>
      <c:txPr>
        <a:bodyPr/>
        <a:lstStyle/>
        <a:p>
          <a:pPr>
            <a:defRPr sz="740" baseline="0"/>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98219584569729E-2"/>
          <c:y val="0.16816866134296798"/>
          <c:w val="0.6765556672842391"/>
          <c:h val="0.59159332651008389"/>
        </c:manualLayout>
      </c:layout>
      <c:barChart>
        <c:barDir val="col"/>
        <c:grouping val="stacked"/>
        <c:varyColors val="0"/>
        <c:ser>
          <c:idx val="2"/>
          <c:order val="0"/>
          <c:tx>
            <c:strRef>
              <c:f>'頁9グラフ用 '!$A$5</c:f>
              <c:strCache>
                <c:ptCount val="1"/>
                <c:pt idx="0">
                  <c:v>固定資産税・都市計画税</c:v>
                </c:pt>
              </c:strCache>
            </c:strRef>
          </c:tx>
          <c:spPr>
            <a:pattFill prst="pct20">
              <a:fgClr>
                <a:srgbClr val="993300"/>
              </a:fgClr>
              <a:bgClr>
                <a:srgbClr val="FFFFFF"/>
              </a:bgClr>
            </a:pattFill>
            <a:ln w="12700">
              <a:solidFill>
                <a:srgbClr val="000000"/>
              </a:solidFill>
              <a:prstDash val="solid"/>
            </a:ln>
          </c:spPr>
          <c:invertIfNegative val="0"/>
          <c:dLbls>
            <c:spPr>
              <a:solidFill>
                <a:srgbClr val="FFFFFF"/>
              </a:solidFill>
              <a:ln w="25400">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'頁9グラフ用 '!$B$2:$J$2</c:f>
              <c:strCache>
                <c:ptCount val="9"/>
                <c:pt idx="0">
                  <c:v>H8年度</c:v>
                </c:pt>
                <c:pt idx="1">
                  <c:v>H20年度</c:v>
                </c:pt>
                <c:pt idx="2">
                  <c:v>H21年度</c:v>
                </c:pt>
                <c:pt idx="3">
                  <c:v>H22年度</c:v>
                </c:pt>
                <c:pt idx="5">
                  <c:v>H29年度</c:v>
                </c:pt>
                <c:pt idx="6">
                  <c:v>H30年度</c:v>
                </c:pt>
                <c:pt idx="7">
                  <c:v>R元年度</c:v>
                </c:pt>
                <c:pt idx="8">
                  <c:v>R２年度
（見込）</c:v>
                </c:pt>
              </c:strCache>
            </c:strRef>
          </c:cat>
          <c:val>
            <c:numRef>
              <c:f>'頁9グラフ用 '!$B$5:$J$5</c:f>
              <c:numCache>
                <c:formatCode>#,##0;"▲ "#,##0</c:formatCode>
                <c:ptCount val="9"/>
                <c:pt idx="0">
                  <c:v>4296</c:v>
                </c:pt>
                <c:pt idx="1">
                  <c:v>3242</c:v>
                </c:pt>
                <c:pt idx="2" formatCode="#,##0_);[Red]\(#,##0\)">
                  <c:v>3302</c:v>
                </c:pt>
                <c:pt idx="3" formatCode="#,##0_);[Red]\(#,##0\)">
                  <c:v>3363</c:v>
                </c:pt>
                <c:pt idx="5">
                  <c:v>3346</c:v>
                </c:pt>
                <c:pt idx="6">
                  <c:v>3408</c:v>
                </c:pt>
                <c:pt idx="7">
                  <c:v>3552</c:v>
                </c:pt>
                <c:pt idx="8">
                  <c:v>3591</c:v>
                </c:pt>
              </c:numCache>
            </c:numRef>
          </c:val>
          <c:extLst>
            <c:ext xmlns:c16="http://schemas.microsoft.com/office/drawing/2014/chart" uri="{C3380CC4-5D6E-409C-BE32-E72D297353CC}">
              <c16:uniqueId val="{00000000-FA90-47EC-8109-731F8152B1AE}"/>
            </c:ext>
          </c:extLst>
        </c:ser>
        <c:ser>
          <c:idx val="1"/>
          <c:order val="1"/>
          <c:tx>
            <c:strRef>
              <c:f>'頁9グラフ用 '!$A$4</c:f>
              <c:strCache>
                <c:ptCount val="1"/>
                <c:pt idx="0">
                  <c:v>法人市民税</c:v>
                </c:pt>
              </c:strCache>
            </c:strRef>
          </c:tx>
          <c:spPr>
            <a:pattFill prst="ltUpDiag">
              <a:fgClr>
                <a:srgbClr val="800080"/>
              </a:fgClr>
              <a:bgClr>
                <a:srgbClr val="FFFFFF"/>
              </a:bgClr>
            </a:pattFill>
            <a:ln w="12700">
              <a:solidFill>
                <a:srgbClr val="000000"/>
              </a:solidFill>
              <a:prstDash val="solid"/>
            </a:ln>
          </c:spPr>
          <c:invertIfNegative val="0"/>
          <c:dLbls>
            <c:dLbl>
              <c:idx val="2"/>
              <c:layout>
                <c:manualLayout>
                  <c:x val="1.2651713013605431E-7"/>
                  <c:y val="-2.6350461133069856E-3"/>
                </c:manualLayout>
              </c:layout>
              <c:showLegendKey val="0"/>
              <c:showVal val="1"/>
              <c:showCatName val="0"/>
              <c:showSerName val="0"/>
              <c:showPercent val="0"/>
              <c:showBubbleSize val="0"/>
              <c:extLst>
                <c:ext xmlns:c15="http://schemas.microsoft.com/office/drawing/2012/chart" uri="{CE6537A1-D6FC-4f65-9D91-7224C49458BB}">
                  <c15:layout>
                    <c:manualLayout>
                      <c:w val="4.9646966599983702E-2"/>
                      <c:h val="6.3399209486166008E-2"/>
                    </c:manualLayout>
                  </c15:layout>
                </c:ext>
                <c:ext xmlns:c16="http://schemas.microsoft.com/office/drawing/2014/chart" uri="{C3380CC4-5D6E-409C-BE32-E72D297353CC}">
                  <c16:uniqueId val="{00000001-FA90-47EC-8109-731F8152B1AE}"/>
                </c:ext>
              </c:extLst>
            </c:dLbl>
            <c:spPr>
              <a:solidFill>
                <a:srgbClr val="FFFFFF"/>
              </a:solidFill>
              <a:ln w="25400">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'頁9グラフ用 '!$B$2:$J$2</c:f>
              <c:strCache>
                <c:ptCount val="9"/>
                <c:pt idx="0">
                  <c:v>H8年度</c:v>
                </c:pt>
                <c:pt idx="1">
                  <c:v>H20年度</c:v>
                </c:pt>
                <c:pt idx="2">
                  <c:v>H21年度</c:v>
                </c:pt>
                <c:pt idx="3">
                  <c:v>H22年度</c:v>
                </c:pt>
                <c:pt idx="5">
                  <c:v>H29年度</c:v>
                </c:pt>
                <c:pt idx="6">
                  <c:v>H30年度</c:v>
                </c:pt>
                <c:pt idx="7">
                  <c:v>R元年度</c:v>
                </c:pt>
                <c:pt idx="8">
                  <c:v>R２年度
（見込）</c:v>
                </c:pt>
              </c:strCache>
            </c:strRef>
          </c:cat>
          <c:val>
            <c:numRef>
              <c:f>'頁9グラフ用 '!$B$4:$J$4</c:f>
              <c:numCache>
                <c:formatCode>#,##0;"▲ "#,##0</c:formatCode>
                <c:ptCount val="9"/>
                <c:pt idx="0">
                  <c:v>1643</c:v>
                </c:pt>
                <c:pt idx="1">
                  <c:v>1544</c:v>
                </c:pt>
                <c:pt idx="2" formatCode="#,##0_);[Red]\(#,##0\)">
                  <c:v>1034</c:v>
                </c:pt>
                <c:pt idx="3" formatCode="#,##0_);[Red]\(#,##0\)">
                  <c:v>1081</c:v>
                </c:pt>
                <c:pt idx="5">
                  <c:v>1311</c:v>
                </c:pt>
                <c:pt idx="6">
                  <c:v>1388</c:v>
                </c:pt>
                <c:pt idx="7">
                  <c:v>1499</c:v>
                </c:pt>
                <c:pt idx="8">
                  <c:v>1094</c:v>
                </c:pt>
              </c:numCache>
            </c:numRef>
          </c:val>
          <c:extLst>
            <c:ext xmlns:c16="http://schemas.microsoft.com/office/drawing/2014/chart" uri="{C3380CC4-5D6E-409C-BE32-E72D297353CC}">
              <c16:uniqueId val="{00000002-FA90-47EC-8109-731F8152B1AE}"/>
            </c:ext>
          </c:extLst>
        </c:ser>
        <c:ser>
          <c:idx val="0"/>
          <c:order val="2"/>
          <c:tx>
            <c:strRef>
              <c:f>'頁9グラフ用 '!$A$3</c:f>
              <c:strCache>
                <c:ptCount val="1"/>
                <c:pt idx="0">
                  <c:v>個人市民税</c:v>
                </c:pt>
              </c:strCache>
            </c:strRef>
          </c:tx>
          <c:spPr>
            <a:pattFill prst="smGrid">
              <a:fgClr>
                <a:srgbClr val="3366FF"/>
              </a:fgClr>
              <a:bgClr>
                <a:srgbClr val="FFFFFF"/>
              </a:bgClr>
            </a:pattFill>
            <a:ln w="12700">
              <a:solidFill>
                <a:srgbClr val="000000"/>
              </a:solidFill>
              <a:prstDash val="solid"/>
            </a:ln>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90-47EC-8109-731F8152B1AE}"/>
                </c:ext>
              </c:extLst>
            </c:dLbl>
            <c:spPr>
              <a:solidFill>
                <a:srgbClr val="FFFFFF"/>
              </a:solidFill>
              <a:ln w="25400">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'頁9グラフ用 '!$B$2:$J$2</c:f>
              <c:strCache>
                <c:ptCount val="9"/>
                <c:pt idx="0">
                  <c:v>H8年度</c:v>
                </c:pt>
                <c:pt idx="1">
                  <c:v>H20年度</c:v>
                </c:pt>
                <c:pt idx="2">
                  <c:v>H21年度</c:v>
                </c:pt>
                <c:pt idx="3">
                  <c:v>H22年度</c:v>
                </c:pt>
                <c:pt idx="5">
                  <c:v>H29年度</c:v>
                </c:pt>
                <c:pt idx="6">
                  <c:v>H30年度</c:v>
                </c:pt>
                <c:pt idx="7">
                  <c:v>R元年度</c:v>
                </c:pt>
                <c:pt idx="8">
                  <c:v>R２年度
（見込）</c:v>
                </c:pt>
              </c:strCache>
            </c:strRef>
          </c:cat>
          <c:val>
            <c:numRef>
              <c:f>'頁9グラフ用 '!$B$3:$J$3</c:f>
              <c:numCache>
                <c:formatCode>#,##0;"▲ "#,##0</c:formatCode>
                <c:ptCount val="9"/>
                <c:pt idx="0">
                  <c:v>1294</c:v>
                </c:pt>
                <c:pt idx="1">
                  <c:v>1400</c:v>
                </c:pt>
                <c:pt idx="2" formatCode="#,##0_);[Red]\(#,##0\)">
                  <c:v>1389</c:v>
                </c:pt>
                <c:pt idx="3" formatCode="#,##0_);[Red]\(#,##0\)">
                  <c:v>1306</c:v>
                </c:pt>
                <c:pt idx="5">
                  <c:v>1505</c:v>
                </c:pt>
                <c:pt idx="6">
                  <c:v>1993</c:v>
                </c:pt>
                <c:pt idx="7">
                  <c:v>2120</c:v>
                </c:pt>
                <c:pt idx="8">
                  <c:v>2199</c:v>
                </c:pt>
              </c:numCache>
            </c:numRef>
          </c:val>
          <c:extLst>
            <c:ext xmlns:c16="http://schemas.microsoft.com/office/drawing/2014/chart" uri="{C3380CC4-5D6E-409C-BE32-E72D297353CC}">
              <c16:uniqueId val="{00000004-FA90-47EC-8109-731F8152B1AE}"/>
            </c:ext>
          </c:extLst>
        </c:ser>
        <c:ser>
          <c:idx val="3"/>
          <c:order val="3"/>
          <c:tx>
            <c:strRef>
              <c:f>'頁9グラフ用 '!$A$6</c:f>
              <c:strCache>
                <c:ptCount val="1"/>
                <c:pt idx="0">
                  <c:v>その他の税</c:v>
                </c:pt>
              </c:strCache>
            </c:strRef>
          </c:tx>
          <c:spPr>
            <a:solidFill>
              <a:srgbClr val="CCFFFF"/>
            </a:solidFill>
            <a:ln w="12700">
              <a:solidFill>
                <a:srgbClr val="000000"/>
              </a:solidFill>
              <a:prstDash val="solid"/>
            </a:ln>
          </c:spPr>
          <c:invertIfNegative val="0"/>
          <c:dLbls>
            <c:spPr>
              <a:noFill/>
              <a:ln w="25400">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'頁9グラフ用 '!$B$2:$J$2</c:f>
              <c:strCache>
                <c:ptCount val="9"/>
                <c:pt idx="0">
                  <c:v>H8年度</c:v>
                </c:pt>
                <c:pt idx="1">
                  <c:v>H20年度</c:v>
                </c:pt>
                <c:pt idx="2">
                  <c:v>H21年度</c:v>
                </c:pt>
                <c:pt idx="3">
                  <c:v>H22年度</c:v>
                </c:pt>
                <c:pt idx="5">
                  <c:v>H29年度</c:v>
                </c:pt>
                <c:pt idx="6">
                  <c:v>H30年度</c:v>
                </c:pt>
                <c:pt idx="7">
                  <c:v>R元年度</c:v>
                </c:pt>
                <c:pt idx="8">
                  <c:v>R２年度
（見込）</c:v>
                </c:pt>
              </c:strCache>
            </c:strRef>
          </c:cat>
          <c:val>
            <c:numRef>
              <c:f>'頁9グラフ用 '!$B$6:$J$6</c:f>
              <c:numCache>
                <c:formatCode>#,##0;"▲ "#,##0</c:formatCode>
                <c:ptCount val="9"/>
                <c:pt idx="0">
                  <c:v>543</c:v>
                </c:pt>
                <c:pt idx="1">
                  <c:v>522</c:v>
                </c:pt>
                <c:pt idx="2" formatCode="#,##0_);[Red]\(#,##0\)">
                  <c:v>511</c:v>
                </c:pt>
                <c:pt idx="3" formatCode="#,##0_);[Red]\(#,##0\)">
                  <c:v>510</c:v>
                </c:pt>
                <c:pt idx="5">
                  <c:v>592</c:v>
                </c:pt>
                <c:pt idx="6">
                  <c:v>585</c:v>
                </c:pt>
                <c:pt idx="7">
                  <c:v>590</c:v>
                </c:pt>
                <c:pt idx="8">
                  <c:v>562</c:v>
                </c:pt>
              </c:numCache>
            </c:numRef>
          </c:val>
          <c:extLst>
            <c:ext xmlns:c16="http://schemas.microsoft.com/office/drawing/2014/chart" uri="{C3380CC4-5D6E-409C-BE32-E72D297353CC}">
              <c16:uniqueId val="{00000005-FA90-47EC-8109-731F8152B1AE}"/>
            </c:ext>
          </c:extLst>
        </c:ser>
        <c:ser>
          <c:idx val="4"/>
          <c:order val="4"/>
          <c:tx>
            <c:strRef>
              <c:f>'頁9グラフ用 '!$A$7</c:f>
              <c:strCache>
                <c:ptCount val="1"/>
                <c:pt idx="0">
                  <c:v>市税総計</c:v>
                </c:pt>
              </c:strCache>
            </c:strRef>
          </c:tx>
          <c:spPr>
            <a:noFill/>
            <a:ln w="25400">
              <a:noFill/>
            </a:ln>
          </c:spPr>
          <c:invertIfNegative val="0"/>
          <c:dLbls>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'頁9グラフ用 '!$B$2:$J$2</c:f>
              <c:strCache>
                <c:ptCount val="9"/>
                <c:pt idx="0">
                  <c:v>H8年度</c:v>
                </c:pt>
                <c:pt idx="1">
                  <c:v>H20年度</c:v>
                </c:pt>
                <c:pt idx="2">
                  <c:v>H21年度</c:v>
                </c:pt>
                <c:pt idx="3">
                  <c:v>H22年度</c:v>
                </c:pt>
                <c:pt idx="5">
                  <c:v>H29年度</c:v>
                </c:pt>
                <c:pt idx="6">
                  <c:v>H30年度</c:v>
                </c:pt>
                <c:pt idx="7">
                  <c:v>R元年度</c:v>
                </c:pt>
                <c:pt idx="8">
                  <c:v>R２年度
（見込）</c:v>
                </c:pt>
              </c:strCache>
            </c:strRef>
          </c:cat>
          <c:val>
            <c:numRef>
              <c:f>'頁9グラフ用 '!$B$7:$J$7</c:f>
              <c:numCache>
                <c:formatCode>#,##0;"▲ "#,##0</c:formatCode>
                <c:ptCount val="9"/>
                <c:pt idx="0">
                  <c:v>7776</c:v>
                </c:pt>
                <c:pt idx="1">
                  <c:v>6708</c:v>
                </c:pt>
                <c:pt idx="2">
                  <c:v>6236</c:v>
                </c:pt>
                <c:pt idx="3">
                  <c:v>6260</c:v>
                </c:pt>
                <c:pt idx="5">
                  <c:v>6754</c:v>
                </c:pt>
                <c:pt idx="6">
                  <c:v>7374</c:v>
                </c:pt>
                <c:pt idx="7">
                  <c:v>7761</c:v>
                </c:pt>
                <c:pt idx="8">
                  <c:v>7447</c:v>
                </c:pt>
              </c:numCache>
            </c:numRef>
          </c:val>
          <c:extLst>
            <c:ext xmlns:c16="http://schemas.microsoft.com/office/drawing/2014/chart" uri="{C3380CC4-5D6E-409C-BE32-E72D297353CC}">
              <c16:uniqueId val="{00000006-FA90-47EC-8109-731F8152B1AE}"/>
            </c:ext>
          </c:extLst>
        </c:ser>
        <c:dLbls>
          <c:showLegendKey val="0"/>
          <c:showVal val="1"/>
          <c:showCatName val="0"/>
          <c:showSerName val="0"/>
          <c:showPercent val="0"/>
          <c:showBubbleSize val="0"/>
        </c:dLbls>
        <c:gapWidth val="29"/>
        <c:overlap val="100"/>
        <c:axId val="427682208"/>
        <c:axId val="427682600"/>
      </c:barChart>
      <c:catAx>
        <c:axId val="42768220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427682600"/>
        <c:crosses val="autoZero"/>
        <c:auto val="1"/>
        <c:lblAlgn val="ctr"/>
        <c:lblOffset val="100"/>
        <c:tickLblSkip val="1"/>
        <c:tickMarkSkip val="1"/>
        <c:noMultiLvlLbl val="0"/>
      </c:catAx>
      <c:valAx>
        <c:axId val="427682600"/>
        <c:scaling>
          <c:orientation val="minMax"/>
          <c:max val="8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億円</a:t>
                </a:r>
                <a:r>
                  <a:rPr lang="en-US" altLang="ja-JP" sz="800" b="0" i="0" u="none" strike="noStrike" baseline="0">
                    <a:solidFill>
                      <a:srgbClr val="000000"/>
                    </a:solidFill>
                    <a:latin typeface="ＭＳ Ｐゴシック"/>
                    <a:ea typeface="ＭＳ Ｐゴシック"/>
                  </a:rPr>
                  <a:t>)</a:t>
                </a:r>
              </a:p>
            </c:rich>
          </c:tx>
          <c:layout>
            <c:manualLayout>
              <c:xMode val="edge"/>
              <c:yMode val="edge"/>
              <c:x val="2.94800469495968E-2"/>
              <c:y val="6.9359638595361456E-2"/>
            </c:manualLayout>
          </c:layout>
          <c:overlay val="0"/>
          <c:spPr>
            <a:noFill/>
            <a:ln w="25400">
              <a:noFill/>
            </a:ln>
          </c:spPr>
        </c:title>
        <c:numFmt formatCode="#,##0;&quot;▲ &quot;#,##0" sourceLinked="1"/>
        <c:majorTickMark val="in"/>
        <c:minorTickMark val="none"/>
        <c:tickLblPos val="nextTo"/>
        <c:spPr>
          <a:ln w="12700">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427682208"/>
        <c:crosses val="autoZero"/>
        <c:crossBetween val="between"/>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HG創英角ﾎﾟｯﾌﾟ体" pitchFamily="49" charset="-128"/>
                <a:ea typeface="HG創英角ﾎﾟｯﾌﾟ体" pitchFamily="49" charset="-128"/>
                <a:cs typeface="ＭＳ Ｐゴシック"/>
              </a:defRPr>
            </a:pPr>
            <a:r>
              <a:rPr lang="ja-JP" altLang="en-US" sz="1400" baseline="0">
                <a:latin typeface="メイリオ" panose="020B0604030504040204" pitchFamily="50" charset="-128"/>
                <a:ea typeface="メイリオ" panose="020B0604030504040204" pitchFamily="50" charset="-128"/>
              </a:rPr>
              <a:t>①収納率及び未収金の推移（平成</a:t>
            </a:r>
            <a:r>
              <a:rPr lang="en-US" altLang="ja-JP" sz="1400" baseline="0">
                <a:latin typeface="メイリオ" panose="020B0604030504040204" pitchFamily="50" charset="-128"/>
                <a:ea typeface="メイリオ" panose="020B0604030504040204" pitchFamily="50" charset="-128"/>
              </a:rPr>
              <a:t>28</a:t>
            </a:r>
            <a:r>
              <a:rPr lang="ja-JP" altLang="en-US" sz="1400" baseline="0">
                <a:latin typeface="メイリオ" panose="020B0604030504040204" pitchFamily="50" charset="-128"/>
                <a:ea typeface="メイリオ" panose="020B0604030504040204" pitchFamily="50" charset="-128"/>
              </a:rPr>
              <a:t>～令和</a:t>
            </a:r>
            <a:r>
              <a:rPr lang="en-US" altLang="ja-JP" sz="1400" baseline="0">
                <a:latin typeface="メイリオ" panose="020B0604030504040204" pitchFamily="50" charset="-128"/>
                <a:ea typeface="メイリオ" panose="020B0604030504040204" pitchFamily="50" charset="-128"/>
              </a:rPr>
              <a:t>2</a:t>
            </a:r>
            <a:r>
              <a:rPr lang="ja-JP" altLang="en-US" sz="1400" baseline="0">
                <a:latin typeface="メイリオ" panose="020B0604030504040204" pitchFamily="50" charset="-128"/>
                <a:ea typeface="メイリオ" panose="020B0604030504040204" pitchFamily="50" charset="-128"/>
              </a:rPr>
              <a:t>年度）</a:t>
            </a:r>
          </a:p>
        </c:rich>
      </c:tx>
      <c:layout>
        <c:manualLayout>
          <c:xMode val="edge"/>
          <c:yMode val="edge"/>
          <c:x val="4.593642272906517E-3"/>
          <c:y val="1.2386647545345492E-2"/>
        </c:manualLayout>
      </c:layout>
      <c:overlay val="0"/>
      <c:spPr>
        <a:noFill/>
        <a:ln w="3175">
          <a:solidFill>
            <a:srgbClr val="000000"/>
          </a:solidFill>
          <a:prstDash val="solid"/>
        </a:ln>
      </c:spPr>
    </c:title>
    <c:autoTitleDeleted val="0"/>
    <c:plotArea>
      <c:layout>
        <c:manualLayout>
          <c:layoutTarget val="inner"/>
          <c:xMode val="edge"/>
          <c:yMode val="edge"/>
          <c:x val="7.5573648856128994E-2"/>
          <c:y val="0.20731724952809552"/>
          <c:w val="0.89338849183494617"/>
          <c:h val="0.71080199838203562"/>
        </c:manualLayout>
      </c:layout>
      <c:barChart>
        <c:barDir val="col"/>
        <c:grouping val="stacked"/>
        <c:varyColors val="0"/>
        <c:ser>
          <c:idx val="4"/>
          <c:order val="0"/>
          <c:tx>
            <c:strRef>
              <c:f>'10税ＢＤ'!$A$6:$B$6</c:f>
              <c:strCache>
                <c:ptCount val="2"/>
                <c:pt idx="0">
                  <c:v>滞納繰越分の未収金</c:v>
                </c:pt>
              </c:strCache>
            </c:strRef>
          </c:tx>
          <c:spPr>
            <a:solidFill>
              <a:srgbClr val="FFC000"/>
            </a:solidFill>
            <a:ln w="12700">
              <a:solidFill>
                <a:srgbClr val="000000"/>
              </a:solidFill>
              <a:prstDash val="solid"/>
            </a:ln>
          </c:spPr>
          <c:invertIfNegative val="0"/>
          <c:dLbls>
            <c:dLbl>
              <c:idx val="0"/>
              <c:layout>
                <c:manualLayout>
                  <c:x val="-1.9744880503552815E-17"/>
                  <c:y val="-2.06185567010309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16-4727-B459-F74E746A8BC8}"/>
                </c:ext>
              </c:extLst>
            </c:dLbl>
            <c:dLbl>
              <c:idx val="1"/>
              <c:layout>
                <c:manualLayout>
                  <c:x val="0"/>
                  <c:y val="-2.06185567010310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16-4727-B459-F74E746A8BC8}"/>
                </c:ext>
              </c:extLst>
            </c:dLbl>
            <c:dLbl>
              <c:idx val="2"/>
              <c:layout>
                <c:manualLayout>
                  <c:x val="0"/>
                  <c:y val="-2.06185567010310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16-4727-B459-F74E746A8BC8}"/>
                </c:ext>
              </c:extLst>
            </c:dLbl>
            <c:dLbl>
              <c:idx val="3"/>
              <c:layout>
                <c:manualLayout>
                  <c:x val="0"/>
                  <c:y val="-2.06185567010309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A16-4727-B459-F74E746A8BC8}"/>
                </c:ext>
              </c:extLst>
            </c:dLbl>
            <c:dLbl>
              <c:idx val="4"/>
              <c:layout>
                <c:manualLayout>
                  <c:x val="-1.5795904402842252E-16"/>
                  <c:y val="-2.74914089347079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A16-4727-B459-F74E746A8BC8}"/>
                </c:ext>
              </c:extLst>
            </c:dLbl>
            <c:dLbl>
              <c:idx val="5"/>
              <c:tx>
                <c:rich>
                  <a:bodyPr/>
                  <a:lstStyle/>
                  <a:p>
                    <a:fld id="{DC44CE79-233A-4F40-95EF-4B3B41189965}"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9A16-4727-B459-F74E746A8BC8}"/>
                </c:ext>
              </c:extLst>
            </c:dLbl>
            <c:spPr>
              <a:noFill/>
              <a:ln w="25400">
                <a:noFill/>
              </a:ln>
            </c:spPr>
            <c:txPr>
              <a:bodyPr/>
              <a:lstStyle/>
              <a:p>
                <a:pPr>
                  <a:defRPr sz="105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'10税ＢＤ'!$C$3:$P$3</c:f>
              <c:strCache>
                <c:ptCount val="6"/>
                <c:pt idx="0">
                  <c:v>28年度</c:v>
                </c:pt>
                <c:pt idx="1">
                  <c:v>29年度</c:v>
                </c:pt>
                <c:pt idx="2">
                  <c:v>30年度</c:v>
                </c:pt>
                <c:pt idx="3">
                  <c:v>元年度</c:v>
                </c:pt>
                <c:pt idx="4">
                  <c:v>２年度（見込）</c:v>
                </c:pt>
                <c:pt idx="5">
                  <c:v>２年度（見込）</c:v>
                </c:pt>
              </c:strCache>
            </c:strRef>
          </c:cat>
          <c:val>
            <c:numRef>
              <c:f>'10税ＢＤ'!$C$6:$P$6</c:f>
              <c:numCache>
                <c:formatCode>General</c:formatCode>
                <c:ptCount val="6"/>
                <c:pt idx="0">
                  <c:v>79</c:v>
                </c:pt>
                <c:pt idx="1">
                  <c:v>63</c:v>
                </c:pt>
                <c:pt idx="2">
                  <c:v>52</c:v>
                </c:pt>
                <c:pt idx="3">
                  <c:v>49</c:v>
                </c:pt>
                <c:pt idx="4">
                  <c:v>54</c:v>
                </c:pt>
                <c:pt idx="5">
                  <c:v>53</c:v>
                </c:pt>
              </c:numCache>
            </c:numRef>
          </c:val>
          <c:extLst>
            <c:ext xmlns:c16="http://schemas.microsoft.com/office/drawing/2014/chart" uri="{C3380CC4-5D6E-409C-BE32-E72D297353CC}">
              <c16:uniqueId val="{00000005-9A16-4727-B459-F74E746A8BC8}"/>
            </c:ext>
          </c:extLst>
        </c:ser>
        <c:ser>
          <c:idx val="0"/>
          <c:order val="1"/>
          <c:tx>
            <c:strRef>
              <c:f>'10税ＢＤ'!$A$5:$B$5</c:f>
              <c:strCache>
                <c:ptCount val="2"/>
                <c:pt idx="0">
                  <c:v>現年課税分の未収金</c:v>
                </c:pt>
              </c:strCache>
            </c:strRef>
          </c:tx>
          <c:spPr>
            <a:solidFill>
              <a:srgbClr val="FFFFFF"/>
            </a:solidFill>
            <a:ln w="12700">
              <a:solidFill>
                <a:srgbClr val="000000"/>
              </a:solidFill>
              <a:prstDash val="solid"/>
            </a:ln>
          </c:spPr>
          <c:invertIfNegative val="0"/>
          <c:dLbls>
            <c:dLbl>
              <c:idx val="5"/>
              <c:tx>
                <c:rich>
                  <a:bodyPr/>
                  <a:lstStyle/>
                  <a:p>
                    <a:fld id="{03BCA221-A28B-4318-AB7C-26061DD43463}"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9A16-4727-B459-F74E746A8BC8}"/>
                </c:ext>
              </c:extLst>
            </c:dLbl>
            <c:spPr>
              <a:noFill/>
              <a:ln w="25400">
                <a:noFill/>
              </a:ln>
            </c:spPr>
            <c:txPr>
              <a:bodyPr/>
              <a:lstStyle/>
              <a:p>
                <a:pPr>
                  <a:defRPr sz="105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'10税ＢＤ'!$C$3:$P$3</c:f>
              <c:strCache>
                <c:ptCount val="6"/>
                <c:pt idx="0">
                  <c:v>28年度</c:v>
                </c:pt>
                <c:pt idx="1">
                  <c:v>29年度</c:v>
                </c:pt>
                <c:pt idx="2">
                  <c:v>30年度</c:v>
                </c:pt>
                <c:pt idx="3">
                  <c:v>元年度</c:v>
                </c:pt>
                <c:pt idx="4">
                  <c:v>２年度（見込）</c:v>
                </c:pt>
                <c:pt idx="5">
                  <c:v>２年度（見込）</c:v>
                </c:pt>
              </c:strCache>
            </c:strRef>
          </c:cat>
          <c:val>
            <c:numRef>
              <c:f>'10税ＢＤ'!$C$5:$P$5</c:f>
              <c:numCache>
                <c:formatCode>General</c:formatCode>
                <c:ptCount val="6"/>
                <c:pt idx="0">
                  <c:v>40</c:v>
                </c:pt>
                <c:pt idx="1">
                  <c:v>38</c:v>
                </c:pt>
                <c:pt idx="2">
                  <c:v>44</c:v>
                </c:pt>
                <c:pt idx="3">
                  <c:v>52</c:v>
                </c:pt>
                <c:pt idx="4">
                  <c:v>145</c:v>
                </c:pt>
                <c:pt idx="5">
                  <c:v>45</c:v>
                </c:pt>
              </c:numCache>
            </c:numRef>
          </c:val>
          <c:extLst>
            <c:ext xmlns:c16="http://schemas.microsoft.com/office/drawing/2014/chart" uri="{C3380CC4-5D6E-409C-BE32-E72D297353CC}">
              <c16:uniqueId val="{00000006-9A16-4727-B459-F74E746A8BC8}"/>
            </c:ext>
          </c:extLst>
        </c:ser>
        <c:dLbls>
          <c:showLegendKey val="0"/>
          <c:showVal val="0"/>
          <c:showCatName val="0"/>
          <c:showSerName val="0"/>
          <c:showPercent val="0"/>
          <c:showBubbleSize val="0"/>
        </c:dLbls>
        <c:gapWidth val="100"/>
        <c:overlap val="100"/>
        <c:axId val="667923384"/>
        <c:axId val="667921816"/>
      </c:barChart>
      <c:lineChart>
        <c:grouping val="standard"/>
        <c:varyColors val="0"/>
        <c:ser>
          <c:idx val="1"/>
          <c:order val="4"/>
          <c:tx>
            <c:strRef>
              <c:f>'10税ＢＤ'!$A$4:$B$4</c:f>
              <c:strCache>
                <c:ptCount val="2"/>
                <c:pt idx="0">
                  <c:v>市税総額の未収金</c:v>
                </c:pt>
              </c:strCache>
            </c:strRef>
          </c:tx>
          <c:spPr>
            <a:ln w="28575">
              <a:noFill/>
            </a:ln>
          </c:spPr>
          <c:marker>
            <c:symbol val="none"/>
          </c:marker>
          <c:dLbls>
            <c:dLbl>
              <c:idx val="5"/>
              <c:tx>
                <c:rich>
                  <a:bodyPr/>
                  <a:lstStyle/>
                  <a:p>
                    <a:fld id="{4856E6EE-876E-4411-9F24-D93BB60EEF9B}" type="VALUE">
                      <a:rPr lang="en-US" altLang="ja-JP" sz="1100"/>
                      <a:pPr/>
                      <a:t>[値]</a:t>
                    </a:fld>
                    <a:endParaRPr lang="ja-JP" altLang="en-US"/>
                  </a:p>
                </c:rich>
              </c:tx>
              <c:dLblPos val="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9A16-4727-B459-F74E746A8BC8}"/>
                </c:ext>
              </c:extLst>
            </c:dLbl>
            <c:spPr>
              <a:noFill/>
              <a:ln w="3175">
                <a:noFill/>
                <a:prstDash val="solid"/>
              </a:ln>
            </c:spPr>
            <c:txPr>
              <a:bodyPr lIns="108000" rIns="108000"/>
              <a:lstStyle/>
              <a:p>
                <a:pPr algn="l">
                  <a:defRPr sz="11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'10税ＢＤ'!$C$3:$P$3</c:f>
              <c:strCache>
                <c:ptCount val="6"/>
                <c:pt idx="0">
                  <c:v>28年度</c:v>
                </c:pt>
                <c:pt idx="1">
                  <c:v>29年度</c:v>
                </c:pt>
                <c:pt idx="2">
                  <c:v>30年度</c:v>
                </c:pt>
                <c:pt idx="3">
                  <c:v>元年度</c:v>
                </c:pt>
                <c:pt idx="4">
                  <c:v>２年度（見込）</c:v>
                </c:pt>
                <c:pt idx="5">
                  <c:v>２年度（見込）</c:v>
                </c:pt>
              </c:strCache>
            </c:strRef>
          </c:cat>
          <c:val>
            <c:numRef>
              <c:f>'10税ＢＤ'!$C$4:$P$4</c:f>
              <c:numCache>
                <c:formatCode>General</c:formatCode>
                <c:ptCount val="6"/>
                <c:pt idx="0">
                  <c:v>119</c:v>
                </c:pt>
                <c:pt idx="1">
                  <c:v>101</c:v>
                </c:pt>
                <c:pt idx="2">
                  <c:v>96</c:v>
                </c:pt>
                <c:pt idx="3">
                  <c:v>101</c:v>
                </c:pt>
                <c:pt idx="4">
                  <c:v>199</c:v>
                </c:pt>
                <c:pt idx="5">
                  <c:v>98</c:v>
                </c:pt>
              </c:numCache>
            </c:numRef>
          </c:val>
          <c:smooth val="0"/>
          <c:extLst>
            <c:ext xmlns:c16="http://schemas.microsoft.com/office/drawing/2014/chart" uri="{C3380CC4-5D6E-409C-BE32-E72D297353CC}">
              <c16:uniqueId val="{00000007-9A16-4727-B459-F74E746A8BC8}"/>
            </c:ext>
          </c:extLst>
        </c:ser>
        <c:dLbls>
          <c:showLegendKey val="0"/>
          <c:showVal val="0"/>
          <c:showCatName val="0"/>
          <c:showSerName val="0"/>
          <c:showPercent val="0"/>
          <c:showBubbleSize val="0"/>
        </c:dLbls>
        <c:marker val="1"/>
        <c:smooth val="0"/>
        <c:axId val="667923384"/>
        <c:axId val="667921816"/>
      </c:lineChart>
      <c:lineChart>
        <c:grouping val="standard"/>
        <c:varyColors val="0"/>
        <c:ser>
          <c:idx val="2"/>
          <c:order val="2"/>
          <c:tx>
            <c:strRef>
              <c:f>'10税ＢＤ'!$A$7:$B$7</c:f>
              <c:strCache>
                <c:ptCount val="2"/>
                <c:pt idx="0">
                  <c:v>現年課税分の収納率</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8.6160473882606545E-3"/>
                  <c:y val="-4.12371134020618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A16-4727-B459-F74E746A8BC8}"/>
                </c:ext>
              </c:extLst>
            </c:dLbl>
            <c:dLbl>
              <c:idx val="1"/>
              <c:layout>
                <c:manualLayout>
                  <c:x val="-1.9386106623586429E-2"/>
                  <c:y val="-4.12371134020618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A16-4727-B459-F74E746A8BC8}"/>
                </c:ext>
              </c:extLst>
            </c:dLbl>
            <c:dLbl>
              <c:idx val="2"/>
              <c:layout>
                <c:manualLayout>
                  <c:x val="-3.4464189553042542E-2"/>
                  <c:y val="-3.43642611683849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A16-4727-B459-F74E746A8BC8}"/>
                </c:ext>
              </c:extLst>
            </c:dLbl>
            <c:dLbl>
              <c:idx val="3"/>
              <c:layout>
                <c:manualLayout>
                  <c:x val="-2.8002154011847143E-2"/>
                  <c:y val="-3.43642611683848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A16-4727-B459-F74E746A8BC8}"/>
                </c:ext>
              </c:extLst>
            </c:dLbl>
            <c:dLbl>
              <c:idx val="4"/>
              <c:layout>
                <c:manualLayout>
                  <c:x val="-5.1696284329563816E-2"/>
                  <c:y val="-3.2073310423825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A16-4727-B459-F74E746A8BC8}"/>
                </c:ext>
              </c:extLst>
            </c:dLbl>
            <c:dLbl>
              <c:idx val="5"/>
              <c:layout>
                <c:manualLayout>
                  <c:x val="-6.462035541195477E-3"/>
                  <c:y val="-2.97823596792668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A16-4727-B459-F74E746A8BC8}"/>
                </c:ext>
              </c:extLst>
            </c:dLbl>
            <c:spPr>
              <a:noFill/>
              <a:ln>
                <a:noFill/>
              </a:ln>
              <a:effectLst/>
            </c:spPr>
            <c:txPr>
              <a:bodyPr wrap="square" lIns="38100" tIns="19050" rIns="38100" bIns="19050" anchor="ctr" anchorCtr="0">
                <a:spAutoFit/>
              </a:bodyPr>
              <a:lstStyle/>
              <a:p>
                <a:pPr algn="l" rtl="0">
                  <a:defRPr lang="ja-JP" altLang="en-US" sz="1100" b="0" i="0" u="none" strike="noStrike" kern="1200"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strRef>
              <c:f>'10税ＢＤ'!$C$3:$P$3</c:f>
              <c:strCache>
                <c:ptCount val="6"/>
                <c:pt idx="0">
                  <c:v>28年度</c:v>
                </c:pt>
                <c:pt idx="1">
                  <c:v>29年度</c:v>
                </c:pt>
                <c:pt idx="2">
                  <c:v>30年度</c:v>
                </c:pt>
                <c:pt idx="3">
                  <c:v>元年度</c:v>
                </c:pt>
                <c:pt idx="4">
                  <c:v>２年度（見込）</c:v>
                </c:pt>
                <c:pt idx="5">
                  <c:v>２年度（見込）</c:v>
                </c:pt>
              </c:strCache>
            </c:strRef>
          </c:cat>
          <c:val>
            <c:numRef>
              <c:f>'10税ＢＤ'!$C$7:$P$7</c:f>
              <c:numCache>
                <c:formatCode>0.0%</c:formatCode>
                <c:ptCount val="6"/>
                <c:pt idx="0">
                  <c:v>0.99399999999999999</c:v>
                </c:pt>
                <c:pt idx="1">
                  <c:v>0.99399999999999999</c:v>
                </c:pt>
                <c:pt idx="2">
                  <c:v>0.99399999999999999</c:v>
                </c:pt>
                <c:pt idx="3">
                  <c:v>0.99299999999999999</c:v>
                </c:pt>
                <c:pt idx="4">
                  <c:v>0.98099999999999998</c:v>
                </c:pt>
              </c:numCache>
            </c:numRef>
          </c:val>
          <c:smooth val="0"/>
          <c:extLst>
            <c:ext xmlns:c16="http://schemas.microsoft.com/office/drawing/2014/chart" uri="{C3380CC4-5D6E-409C-BE32-E72D297353CC}">
              <c16:uniqueId val="{0000000E-9A16-4727-B459-F74E746A8BC8}"/>
            </c:ext>
          </c:extLst>
        </c:ser>
        <c:ser>
          <c:idx val="3"/>
          <c:order val="3"/>
          <c:tx>
            <c:strRef>
              <c:f>'10税ＢＤ'!$A$8:$B$8</c:f>
              <c:strCache>
                <c:ptCount val="2"/>
                <c:pt idx="0">
                  <c:v>市税総額の収納率</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spPr>
              <a:solidFill>
                <a:srgbClr val="FFFFFF"/>
              </a:solidFill>
              <a:ln w="25400">
                <a:noFill/>
              </a:ln>
            </c:spPr>
            <c:txPr>
              <a:bodyPr/>
              <a:lstStyle/>
              <a:p>
                <a:pPr algn="l">
                  <a:defRPr sz="11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'10税ＢＤ'!$C$3:$P$3</c:f>
              <c:strCache>
                <c:ptCount val="6"/>
                <c:pt idx="0">
                  <c:v>28年度</c:v>
                </c:pt>
                <c:pt idx="1">
                  <c:v>29年度</c:v>
                </c:pt>
                <c:pt idx="2">
                  <c:v>30年度</c:v>
                </c:pt>
                <c:pt idx="3">
                  <c:v>元年度</c:v>
                </c:pt>
                <c:pt idx="4">
                  <c:v>２年度（見込）</c:v>
                </c:pt>
                <c:pt idx="5">
                  <c:v>２年度（見込）</c:v>
                </c:pt>
              </c:strCache>
            </c:strRef>
          </c:cat>
          <c:val>
            <c:numRef>
              <c:f>'10税ＢＤ'!$C$8:$P$8</c:f>
              <c:numCache>
                <c:formatCode>0.0%</c:formatCode>
                <c:ptCount val="6"/>
                <c:pt idx="0">
                  <c:v>0.97899999999999998</c:v>
                </c:pt>
                <c:pt idx="1">
                  <c:v>0.98199999999999998</c:v>
                </c:pt>
                <c:pt idx="2">
                  <c:v>0.98499999999999999</c:v>
                </c:pt>
                <c:pt idx="3">
                  <c:v>0.98599999999999999</c:v>
                </c:pt>
                <c:pt idx="4">
                  <c:v>0.97299999999999998</c:v>
                </c:pt>
              </c:numCache>
            </c:numRef>
          </c:val>
          <c:smooth val="0"/>
          <c:extLst>
            <c:ext xmlns:c16="http://schemas.microsoft.com/office/drawing/2014/chart" uri="{C3380CC4-5D6E-409C-BE32-E72D297353CC}">
              <c16:uniqueId val="{0000000F-9A16-4727-B459-F74E746A8BC8}"/>
            </c:ext>
          </c:extLst>
        </c:ser>
        <c:dLbls>
          <c:showLegendKey val="0"/>
          <c:showVal val="0"/>
          <c:showCatName val="0"/>
          <c:showSerName val="0"/>
          <c:showPercent val="0"/>
          <c:showBubbleSize val="0"/>
        </c:dLbls>
        <c:marker val="1"/>
        <c:smooth val="0"/>
        <c:axId val="669590224"/>
        <c:axId val="669590616"/>
      </c:lineChart>
      <c:catAx>
        <c:axId val="667923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667921816"/>
        <c:crosses val="autoZero"/>
        <c:auto val="0"/>
        <c:lblAlgn val="ctr"/>
        <c:lblOffset val="100"/>
        <c:tickLblSkip val="1"/>
        <c:tickMarkSkip val="1"/>
        <c:noMultiLvlLbl val="0"/>
      </c:catAx>
      <c:valAx>
        <c:axId val="667921816"/>
        <c:scaling>
          <c:orientation val="minMax"/>
          <c:max val="300"/>
          <c:min val="0"/>
        </c:scaling>
        <c:delete val="0"/>
        <c:axPos val="l"/>
        <c:title>
          <c:tx>
            <c:rich>
              <a:bodyPr rot="0" vert="horz"/>
              <a:lstStyle/>
              <a:p>
                <a:pPr algn="ctr">
                  <a:defRPr sz="10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r>
                  <a:rPr lang="ja-JP" altLang="en-US">
                    <a:latin typeface="メイリオ" panose="020B0604030504040204" pitchFamily="50" charset="-128"/>
                    <a:ea typeface="メイリオ" panose="020B0604030504040204" pitchFamily="50" charset="-128"/>
                  </a:rPr>
                  <a:t>（億円）</a:t>
                </a:r>
              </a:p>
            </c:rich>
          </c:tx>
          <c:layout>
            <c:manualLayout>
              <c:xMode val="edge"/>
              <c:yMode val="edge"/>
              <c:x val="1.7993702204228568E-3"/>
              <c:y val="0.1410209619067886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667923384"/>
        <c:crosses val="autoZero"/>
        <c:crossBetween val="between"/>
        <c:majorUnit val="100"/>
      </c:valAx>
      <c:catAx>
        <c:axId val="669590224"/>
        <c:scaling>
          <c:orientation val="minMax"/>
        </c:scaling>
        <c:delete val="1"/>
        <c:axPos val="t"/>
        <c:numFmt formatCode="General" sourceLinked="1"/>
        <c:majorTickMark val="none"/>
        <c:minorTickMark val="none"/>
        <c:tickLblPos val="none"/>
        <c:crossAx val="669590616"/>
        <c:crosses val="max"/>
        <c:auto val="0"/>
        <c:lblAlgn val="ctr"/>
        <c:lblOffset val="100"/>
        <c:noMultiLvlLbl val="0"/>
      </c:catAx>
      <c:valAx>
        <c:axId val="669590616"/>
        <c:scaling>
          <c:orientation val="minMax"/>
          <c:max val="1"/>
          <c:min val="0.70000000000000062"/>
        </c:scaling>
        <c:delete val="0"/>
        <c:axPos val="r"/>
        <c:numFmt formatCode="0.0%" sourceLinked="1"/>
        <c:majorTickMark val="none"/>
        <c:minorTickMark val="none"/>
        <c:tickLblPos val="none"/>
        <c:spPr>
          <a:ln w="9525">
            <a:noFill/>
          </a:ln>
        </c:spPr>
        <c:crossAx val="669590224"/>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&amp;L&amp;"HGP創英角ﾎﾟｯﾌﾟ体,ﾍﾋﾞｰ"&amp;18○参考：市税の収納状況について(平成20～24年度決算)</c:oddHeader>
      <c:oddFooter>Page &amp;P</c:oddFooter>
    </c:headerFooter>
    <c:pageMargins b="0.98399999999999999" l="0.78700000000000003" r="0.78700000000000003" t="0.98399999999999999" header="0.5" footer="0.5"/>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r>
              <a:rPr lang="ja-JP" altLang="en-US" sz="1400" baseline="0">
                <a:latin typeface="メイリオ" panose="020B0604030504040204" pitchFamily="50" charset="-128"/>
                <a:ea typeface="メイリオ" panose="020B0604030504040204" pitchFamily="50" charset="-128"/>
              </a:rPr>
              <a:t>②課税年度別収納率の状況（平成</a:t>
            </a:r>
            <a:r>
              <a:rPr lang="en-US" altLang="ja-JP" sz="1400" baseline="0">
                <a:latin typeface="メイリオ" panose="020B0604030504040204" pitchFamily="50" charset="-128"/>
                <a:ea typeface="メイリオ" panose="020B0604030504040204" pitchFamily="50" charset="-128"/>
              </a:rPr>
              <a:t>28</a:t>
            </a:r>
            <a:r>
              <a:rPr lang="ja-JP" altLang="en-US" sz="1400" baseline="0">
                <a:latin typeface="メイリオ" panose="020B0604030504040204" pitchFamily="50" charset="-128"/>
                <a:ea typeface="メイリオ" panose="020B0604030504040204" pitchFamily="50" charset="-128"/>
              </a:rPr>
              <a:t>～令和</a:t>
            </a:r>
            <a:r>
              <a:rPr lang="en-US" altLang="ja-JP" sz="1400" baseline="0">
                <a:latin typeface="メイリオ" panose="020B0604030504040204" pitchFamily="50" charset="-128"/>
                <a:ea typeface="メイリオ" panose="020B0604030504040204" pitchFamily="50" charset="-128"/>
              </a:rPr>
              <a:t>2</a:t>
            </a:r>
            <a:r>
              <a:rPr lang="ja-JP" altLang="en-US" sz="1400" baseline="0">
                <a:latin typeface="メイリオ" panose="020B0604030504040204" pitchFamily="50" charset="-128"/>
                <a:ea typeface="メイリオ" panose="020B0604030504040204" pitchFamily="50" charset="-128"/>
              </a:rPr>
              <a:t>年度）</a:t>
            </a:r>
          </a:p>
        </c:rich>
      </c:tx>
      <c:layout>
        <c:manualLayout>
          <c:xMode val="edge"/>
          <c:yMode val="edge"/>
          <c:x val="3.6807226507854077E-2"/>
          <c:y val="5.1041830103340402E-2"/>
        </c:manualLayout>
      </c:layout>
      <c:overlay val="0"/>
      <c:spPr>
        <a:noFill/>
        <a:ln w="3175">
          <a:solidFill>
            <a:srgbClr val="000000"/>
          </a:solidFill>
          <a:prstDash val="solid"/>
        </a:ln>
      </c:spPr>
    </c:title>
    <c:autoTitleDeleted val="0"/>
    <c:plotArea>
      <c:layout>
        <c:manualLayout>
          <c:layoutTarget val="inner"/>
          <c:xMode val="edge"/>
          <c:yMode val="edge"/>
          <c:x val="0.11080709329613746"/>
          <c:y val="0.16982100921595328"/>
          <c:w val="0.75773889636609304"/>
          <c:h val="0.75066978469796553"/>
        </c:manualLayout>
      </c:layout>
      <c:barChart>
        <c:barDir val="col"/>
        <c:grouping val="stacked"/>
        <c:varyColors val="0"/>
        <c:ser>
          <c:idx val="0"/>
          <c:order val="0"/>
          <c:tx>
            <c:strRef>
              <c:f>'10税ＢＤ'!$B$11</c:f>
              <c:strCache>
                <c:ptCount val="1"/>
                <c:pt idx="0">
                  <c:v>課税年度</c:v>
                </c:pt>
              </c:strCache>
            </c:strRef>
          </c:tx>
          <c:spPr>
            <a:solidFill>
              <a:srgbClr val="9999FF"/>
            </a:solidFill>
            <a:ln w="12700">
              <a:solidFill>
                <a:srgbClr val="000000"/>
              </a:solidFill>
              <a:prstDash val="solid"/>
            </a:ln>
          </c:spPr>
          <c:invertIfNegative val="0"/>
          <c:dLbls>
            <c:dLbl>
              <c:idx val="5"/>
              <c:tx>
                <c:rich>
                  <a:bodyPr/>
                  <a:lstStyle/>
                  <a:p>
                    <a:fld id="{9E5EC689-597D-4F1E-9A70-11283099E158}"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289B-49AD-9023-402E83DD3096}"/>
                </c:ext>
              </c:extLst>
            </c:dLbl>
            <c:spPr>
              <a:solidFill>
                <a:srgbClr val="FFFFFF"/>
              </a:solidFill>
              <a:ln w="25400">
                <a:noFill/>
              </a:ln>
            </c:spPr>
            <c:txPr>
              <a:bodyPr lIns="72000" rIns="72000"/>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'10税ＢＤ'!$A$12:$A$39</c:f>
              <c:strCache>
                <c:ptCount val="6"/>
                <c:pt idx="0">
                  <c:v>28年度</c:v>
                </c:pt>
                <c:pt idx="1">
                  <c:v>29年度</c:v>
                </c:pt>
                <c:pt idx="2">
                  <c:v>30年度</c:v>
                </c:pt>
                <c:pt idx="3">
                  <c:v>元年度</c:v>
                </c:pt>
                <c:pt idx="4">
                  <c:v>２年度（見込）</c:v>
                </c:pt>
                <c:pt idx="5">
                  <c:v>２年度（見込）</c:v>
                </c:pt>
              </c:strCache>
            </c:strRef>
          </c:cat>
          <c:val>
            <c:numRef>
              <c:f>'10税ＢＤ'!$B$12:$B$39</c:f>
              <c:numCache>
                <c:formatCode>0.0%</c:formatCode>
                <c:ptCount val="6"/>
                <c:pt idx="0">
                  <c:v>0.99390000000000001</c:v>
                </c:pt>
                <c:pt idx="1">
                  <c:v>0.99429999999999996</c:v>
                </c:pt>
                <c:pt idx="2">
                  <c:v>0.99399999999999999</c:v>
                </c:pt>
                <c:pt idx="3">
                  <c:v>0.99299999999999999</c:v>
                </c:pt>
                <c:pt idx="4">
                  <c:v>0.98080000000000001</c:v>
                </c:pt>
                <c:pt idx="5">
                  <c:v>0.99390000000000001</c:v>
                </c:pt>
              </c:numCache>
            </c:numRef>
          </c:val>
          <c:extLst>
            <c:ext xmlns:c16="http://schemas.microsoft.com/office/drawing/2014/chart" uri="{C3380CC4-5D6E-409C-BE32-E72D297353CC}">
              <c16:uniqueId val="{00000001-289B-49AD-9023-402E83DD3096}"/>
            </c:ext>
          </c:extLst>
        </c:ser>
        <c:ser>
          <c:idx val="1"/>
          <c:order val="1"/>
          <c:tx>
            <c:strRef>
              <c:f>'10税ＢＤ'!$C$11</c:f>
              <c:strCache>
                <c:ptCount val="1"/>
                <c:pt idx="0">
                  <c:v>繰越 １年目</c:v>
                </c:pt>
              </c:strCache>
            </c:strRef>
          </c:tx>
          <c:spPr>
            <a:pattFill prst="pct80">
              <a:fgClr>
                <a:srgbClr val="FFFFFF"/>
              </a:fgClr>
              <a:bgClr>
                <a:srgbClr val="333333"/>
              </a:bgClr>
            </a:pattFill>
            <a:ln w="12700">
              <a:solidFill>
                <a:srgbClr val="000000"/>
              </a:solidFill>
              <a:prstDash val="solid"/>
            </a:ln>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2-289B-49AD-9023-402E83DD3096}"/>
                </c:ext>
              </c:extLst>
            </c:dLbl>
            <c:dLbl>
              <c:idx val="5"/>
              <c:delete val="1"/>
              <c:extLst>
                <c:ext xmlns:c15="http://schemas.microsoft.com/office/drawing/2012/chart" uri="{CE6537A1-D6FC-4f65-9D91-7224C49458BB}"/>
                <c:ext xmlns:c16="http://schemas.microsoft.com/office/drawing/2014/chart" uri="{C3380CC4-5D6E-409C-BE32-E72D297353CC}">
                  <c16:uniqueId val="{00000003-289B-49AD-9023-402E83DD3096}"/>
                </c:ext>
              </c:extLst>
            </c:dLbl>
            <c:spPr>
              <a:solidFill>
                <a:srgbClr val="FFFFFF"/>
              </a:solidFill>
              <a:ln w="25400">
                <a:noFill/>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'10税ＢＤ'!$A$12:$A$39</c:f>
              <c:strCache>
                <c:ptCount val="6"/>
                <c:pt idx="0">
                  <c:v>28年度</c:v>
                </c:pt>
                <c:pt idx="1">
                  <c:v>29年度</c:v>
                </c:pt>
                <c:pt idx="2">
                  <c:v>30年度</c:v>
                </c:pt>
                <c:pt idx="3">
                  <c:v>元年度</c:v>
                </c:pt>
                <c:pt idx="4">
                  <c:v>２年度（見込）</c:v>
                </c:pt>
                <c:pt idx="5">
                  <c:v>２年度（見込）</c:v>
                </c:pt>
              </c:strCache>
            </c:strRef>
          </c:cat>
          <c:val>
            <c:numRef>
              <c:f>'10税ＢＤ'!$C$12:$C$39</c:f>
              <c:numCache>
                <c:formatCode>0.0%</c:formatCode>
                <c:ptCount val="6"/>
                <c:pt idx="0">
                  <c:v>3.0000000000000001E-3</c:v>
                </c:pt>
                <c:pt idx="1">
                  <c:v>2.8E-3</c:v>
                </c:pt>
                <c:pt idx="2">
                  <c:v>2.8999999999999998E-3</c:v>
                </c:pt>
                <c:pt idx="3">
                  <c:v>3.5999999999999999E-3</c:v>
                </c:pt>
              </c:numCache>
            </c:numRef>
          </c:val>
          <c:extLst>
            <c:ext xmlns:c16="http://schemas.microsoft.com/office/drawing/2014/chart" uri="{C3380CC4-5D6E-409C-BE32-E72D297353CC}">
              <c16:uniqueId val="{00000004-289B-49AD-9023-402E83DD3096}"/>
            </c:ext>
          </c:extLst>
        </c:ser>
        <c:ser>
          <c:idx val="2"/>
          <c:order val="2"/>
          <c:tx>
            <c:strRef>
              <c:f>'10税ＢＤ'!$D$11</c:f>
              <c:strCache>
                <c:ptCount val="1"/>
                <c:pt idx="0">
                  <c:v>繰越 ２年目</c:v>
                </c:pt>
              </c:strCache>
            </c:strRef>
          </c:tx>
          <c:spPr>
            <a:solidFill>
              <a:srgbClr val="FFFFCC"/>
            </a:solidFill>
            <a:ln w="12700">
              <a:solidFill>
                <a:srgbClr val="000000"/>
              </a:solidFill>
              <a:prstDash val="solid"/>
            </a:ln>
          </c:spPr>
          <c:invertIfNegative val="0"/>
          <c:dLbls>
            <c:dLbl>
              <c:idx val="0"/>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9B-49AD-9023-402E83DD3096}"/>
                </c:ext>
              </c:extLst>
            </c:dLbl>
            <c:dLbl>
              <c:idx val="1"/>
              <c:layout>
                <c:manualLayout>
                  <c:x val="-3.2205751573886238E-17"/>
                  <c:y val="-2.546266881603998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89B-49AD-9023-402E83DD3096}"/>
                </c:ext>
              </c:extLst>
            </c:dLbl>
            <c:dLbl>
              <c:idx val="2"/>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89B-49AD-9023-402E83DD3096}"/>
                </c:ext>
              </c:extLst>
            </c:dLbl>
            <c:dLbl>
              <c:idx val="3"/>
              <c:delete val="1"/>
              <c:extLst>
                <c:ext xmlns:c15="http://schemas.microsoft.com/office/drawing/2012/chart" uri="{CE6537A1-D6FC-4f65-9D91-7224C49458BB}"/>
                <c:ext xmlns:c16="http://schemas.microsoft.com/office/drawing/2014/chart" uri="{C3380CC4-5D6E-409C-BE32-E72D297353CC}">
                  <c16:uniqueId val="{00000006-289B-49AD-9023-402E83DD3096}"/>
                </c:ext>
              </c:extLst>
            </c:dLbl>
            <c:dLbl>
              <c:idx val="4"/>
              <c:delete val="1"/>
              <c:extLst>
                <c:ext xmlns:c15="http://schemas.microsoft.com/office/drawing/2012/chart" uri="{CE6537A1-D6FC-4f65-9D91-7224C49458BB}"/>
                <c:ext xmlns:c16="http://schemas.microsoft.com/office/drawing/2014/chart" uri="{C3380CC4-5D6E-409C-BE32-E72D297353CC}">
                  <c16:uniqueId val="{00000007-289B-49AD-9023-402E83DD3096}"/>
                </c:ext>
              </c:extLst>
            </c:dLbl>
            <c:dLbl>
              <c:idx val="5"/>
              <c:delete val="1"/>
              <c:extLst>
                <c:ext xmlns:c15="http://schemas.microsoft.com/office/drawing/2012/chart" uri="{CE6537A1-D6FC-4f65-9D91-7224C49458BB}"/>
                <c:ext xmlns:c16="http://schemas.microsoft.com/office/drawing/2014/chart" uri="{C3380CC4-5D6E-409C-BE32-E72D297353CC}">
                  <c16:uniqueId val="{00000008-289B-49AD-9023-402E83DD3096}"/>
                </c:ext>
              </c:extLst>
            </c:dLbl>
            <c:spPr>
              <a:noFill/>
              <a:ln w="25400">
                <a:noFill/>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'10税ＢＤ'!$A$12:$A$39</c:f>
              <c:strCache>
                <c:ptCount val="6"/>
                <c:pt idx="0">
                  <c:v>28年度</c:v>
                </c:pt>
                <c:pt idx="1">
                  <c:v>29年度</c:v>
                </c:pt>
                <c:pt idx="2">
                  <c:v>30年度</c:v>
                </c:pt>
                <c:pt idx="3">
                  <c:v>元年度</c:v>
                </c:pt>
                <c:pt idx="4">
                  <c:v>２年度（見込）</c:v>
                </c:pt>
                <c:pt idx="5">
                  <c:v>２年度（見込）</c:v>
                </c:pt>
              </c:strCache>
            </c:strRef>
          </c:cat>
          <c:val>
            <c:numRef>
              <c:f>'10税ＢＤ'!$D$12:$D$39</c:f>
              <c:numCache>
                <c:formatCode>0.0%</c:formatCode>
                <c:ptCount val="6"/>
                <c:pt idx="0">
                  <c:v>8.0000000000000004E-4</c:v>
                </c:pt>
                <c:pt idx="1">
                  <c:v>1E-3</c:v>
                </c:pt>
                <c:pt idx="2">
                  <c:v>8.0000000000000004E-4</c:v>
                </c:pt>
              </c:numCache>
            </c:numRef>
          </c:val>
          <c:extLst>
            <c:ext xmlns:c16="http://schemas.microsoft.com/office/drawing/2014/chart" uri="{C3380CC4-5D6E-409C-BE32-E72D297353CC}">
              <c16:uniqueId val="{00000009-289B-49AD-9023-402E83DD3096}"/>
            </c:ext>
          </c:extLst>
        </c:ser>
        <c:ser>
          <c:idx val="3"/>
          <c:order val="3"/>
          <c:tx>
            <c:strRef>
              <c:f>'10税ＢＤ'!$E$11</c:f>
              <c:strCache>
                <c:ptCount val="1"/>
                <c:pt idx="0">
                  <c:v>繰越 ３年目</c:v>
                </c:pt>
              </c:strCache>
            </c:strRef>
          </c:tx>
          <c:spPr>
            <a:pattFill prst="pct60">
              <a:fgClr>
                <a:srgbClr val="FFFFFF"/>
              </a:fgClr>
              <a:bgClr>
                <a:srgbClr val="000000"/>
              </a:bgClr>
            </a:patt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289B-49AD-9023-402E83DD3096}"/>
                </c:ext>
              </c:extLst>
            </c:dLbl>
            <c:dLbl>
              <c:idx val="1"/>
              <c:layout>
                <c:manualLayout>
                  <c:x val="5.9727720163320251E-2"/>
                  <c:y val="5.01253132832077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89B-49AD-9023-402E83DD3096}"/>
                </c:ext>
              </c:extLst>
            </c:dLbl>
            <c:dLbl>
              <c:idx val="2"/>
              <c:delete val="1"/>
              <c:extLst>
                <c:ext xmlns:c15="http://schemas.microsoft.com/office/drawing/2012/chart" uri="{CE6537A1-D6FC-4f65-9D91-7224C49458BB}"/>
                <c:ext xmlns:c16="http://schemas.microsoft.com/office/drawing/2014/chart" uri="{C3380CC4-5D6E-409C-BE32-E72D297353CC}">
                  <c16:uniqueId val="{0000000C-289B-49AD-9023-402E83DD3096}"/>
                </c:ext>
              </c:extLst>
            </c:dLbl>
            <c:dLbl>
              <c:idx val="3"/>
              <c:delete val="1"/>
              <c:extLst>
                <c:ext xmlns:c15="http://schemas.microsoft.com/office/drawing/2012/chart" uri="{CE6537A1-D6FC-4f65-9D91-7224C49458BB}"/>
                <c:ext xmlns:c16="http://schemas.microsoft.com/office/drawing/2014/chart" uri="{C3380CC4-5D6E-409C-BE32-E72D297353CC}">
                  <c16:uniqueId val="{0000000D-289B-49AD-9023-402E83DD3096}"/>
                </c:ext>
              </c:extLst>
            </c:dLbl>
            <c:dLbl>
              <c:idx val="4"/>
              <c:delete val="1"/>
              <c:extLst>
                <c:ext xmlns:c15="http://schemas.microsoft.com/office/drawing/2012/chart" uri="{CE6537A1-D6FC-4f65-9D91-7224C49458BB}"/>
                <c:ext xmlns:c16="http://schemas.microsoft.com/office/drawing/2014/chart" uri="{C3380CC4-5D6E-409C-BE32-E72D297353CC}">
                  <c16:uniqueId val="{0000000E-289B-49AD-9023-402E83DD3096}"/>
                </c:ext>
              </c:extLst>
            </c:dLbl>
            <c:dLbl>
              <c:idx val="5"/>
              <c:delete val="1"/>
              <c:extLst>
                <c:ext xmlns:c15="http://schemas.microsoft.com/office/drawing/2012/chart" uri="{CE6537A1-D6FC-4f65-9D91-7224C49458BB}"/>
                <c:ext xmlns:c16="http://schemas.microsoft.com/office/drawing/2014/chart" uri="{C3380CC4-5D6E-409C-BE32-E72D297353CC}">
                  <c16:uniqueId val="{0000000F-289B-49AD-9023-402E83DD3096}"/>
                </c:ext>
              </c:extLst>
            </c:dLbl>
            <c:spPr>
              <a:noFill/>
              <a:ln>
                <a:noFill/>
              </a:ln>
              <a:effectLst/>
            </c:spPr>
            <c:txPr>
              <a:bodyPr wrap="square" lIns="38100" tIns="19050" rIns="38100" bIns="19050" anchor="ctr">
                <a:spAutoFit/>
              </a:bodyPr>
              <a:lstStyle/>
              <a:p>
                <a:pPr>
                  <a:defRPr sz="700">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'10税ＢＤ'!$A$12:$A$39</c:f>
              <c:strCache>
                <c:ptCount val="6"/>
                <c:pt idx="0">
                  <c:v>28年度</c:v>
                </c:pt>
                <c:pt idx="1">
                  <c:v>29年度</c:v>
                </c:pt>
                <c:pt idx="2">
                  <c:v>30年度</c:v>
                </c:pt>
                <c:pt idx="3">
                  <c:v>元年度</c:v>
                </c:pt>
                <c:pt idx="4">
                  <c:v>２年度（見込）</c:v>
                </c:pt>
                <c:pt idx="5">
                  <c:v>２年度（見込）</c:v>
                </c:pt>
              </c:strCache>
            </c:strRef>
          </c:cat>
          <c:val>
            <c:numRef>
              <c:f>'10税ＢＤ'!$E$12:$E$39</c:f>
              <c:numCache>
                <c:formatCode>0.00%</c:formatCode>
                <c:ptCount val="6"/>
                <c:pt idx="0">
                  <c:v>4.0000000000000002E-4</c:v>
                </c:pt>
                <c:pt idx="1">
                  <c:v>2.9999999999999997E-4</c:v>
                </c:pt>
              </c:numCache>
            </c:numRef>
          </c:val>
          <c:extLst>
            <c:ext xmlns:c16="http://schemas.microsoft.com/office/drawing/2014/chart" uri="{C3380CC4-5D6E-409C-BE32-E72D297353CC}">
              <c16:uniqueId val="{00000010-289B-49AD-9023-402E83DD3096}"/>
            </c:ext>
          </c:extLst>
        </c:ser>
        <c:ser>
          <c:idx val="4"/>
          <c:order val="4"/>
          <c:tx>
            <c:strRef>
              <c:f>'10税ＢＤ'!$F$11</c:f>
              <c:strCache>
                <c:ptCount val="1"/>
                <c:pt idx="0">
                  <c:v>繰越 ４年目</c:v>
                </c:pt>
              </c:strCache>
            </c:strRef>
          </c:tx>
          <c:spPr>
            <a:solidFill>
              <a:srgbClr val="66FFCC"/>
            </a:solidFill>
            <a:ln w="12700">
              <a:solidFill>
                <a:srgbClr val="000000"/>
              </a:solidFill>
              <a:prstDash val="solid"/>
            </a:ln>
          </c:spPr>
          <c:invertIfNegative val="0"/>
          <c:dLbls>
            <c:dLbl>
              <c:idx val="0"/>
              <c:layout>
                <c:manualLayout>
                  <c:x val="6.148448697650756E-2"/>
                  <c:y val="-5.0125313283208251E-3"/>
                </c:manualLayout>
              </c:layout>
              <c:spPr>
                <a:noFill/>
                <a:ln>
                  <a:noFill/>
                </a:ln>
                <a:effectLst/>
              </c:spPr>
              <c:txPr>
                <a:bodyPr wrap="square" lIns="38100" tIns="19050" rIns="38100" bIns="19050" anchor="ctr" anchorCtr="0">
                  <a:noAutofit/>
                </a:bodyPr>
                <a:lstStyle/>
                <a:p>
                  <a:pPr algn="ctr">
                    <a:defRPr lang="ja-JP" altLang="en-US" sz="700" b="0" i="0" u="none" strike="noStrike" kern="1200"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4093182989523156E-2"/>
                      <c:h val="2.6817042606516291E-2"/>
                    </c:manualLayout>
                  </c15:layout>
                </c:ext>
                <c:ext xmlns:c16="http://schemas.microsoft.com/office/drawing/2014/chart" uri="{C3380CC4-5D6E-409C-BE32-E72D297353CC}">
                  <c16:uniqueId val="{00000011-289B-49AD-9023-402E83DD3096}"/>
                </c:ext>
              </c:extLst>
            </c:dLbl>
            <c:dLbl>
              <c:idx val="1"/>
              <c:delete val="1"/>
              <c:extLst>
                <c:ext xmlns:c15="http://schemas.microsoft.com/office/drawing/2012/chart" uri="{CE6537A1-D6FC-4f65-9D91-7224C49458BB}"/>
                <c:ext xmlns:c16="http://schemas.microsoft.com/office/drawing/2014/chart" uri="{C3380CC4-5D6E-409C-BE32-E72D297353CC}">
                  <c16:uniqueId val="{00000012-289B-49AD-9023-402E83DD3096}"/>
                </c:ext>
              </c:extLst>
            </c:dLbl>
            <c:dLbl>
              <c:idx val="2"/>
              <c:delete val="1"/>
              <c:extLst>
                <c:ext xmlns:c15="http://schemas.microsoft.com/office/drawing/2012/chart" uri="{CE6537A1-D6FC-4f65-9D91-7224C49458BB}"/>
                <c:ext xmlns:c16="http://schemas.microsoft.com/office/drawing/2014/chart" uri="{C3380CC4-5D6E-409C-BE32-E72D297353CC}">
                  <c16:uniqueId val="{00000013-289B-49AD-9023-402E83DD3096}"/>
                </c:ext>
              </c:extLst>
            </c:dLbl>
            <c:dLbl>
              <c:idx val="3"/>
              <c:delete val="1"/>
              <c:extLst>
                <c:ext xmlns:c15="http://schemas.microsoft.com/office/drawing/2012/chart" uri="{CE6537A1-D6FC-4f65-9D91-7224C49458BB}"/>
                <c:ext xmlns:c16="http://schemas.microsoft.com/office/drawing/2014/chart" uri="{C3380CC4-5D6E-409C-BE32-E72D297353CC}">
                  <c16:uniqueId val="{00000014-289B-49AD-9023-402E83DD3096}"/>
                </c:ext>
              </c:extLst>
            </c:dLbl>
            <c:dLbl>
              <c:idx val="4"/>
              <c:delete val="1"/>
              <c:extLst>
                <c:ext xmlns:c15="http://schemas.microsoft.com/office/drawing/2012/chart" uri="{CE6537A1-D6FC-4f65-9D91-7224C49458BB}"/>
                <c:ext xmlns:c16="http://schemas.microsoft.com/office/drawing/2014/chart" uri="{C3380CC4-5D6E-409C-BE32-E72D297353CC}">
                  <c16:uniqueId val="{00000015-289B-49AD-9023-402E83DD3096}"/>
                </c:ext>
              </c:extLst>
            </c:dLbl>
            <c:dLbl>
              <c:idx val="5"/>
              <c:delete val="1"/>
              <c:extLst>
                <c:ext xmlns:c15="http://schemas.microsoft.com/office/drawing/2012/chart" uri="{CE6537A1-D6FC-4f65-9D91-7224C49458BB}"/>
                <c:ext xmlns:c16="http://schemas.microsoft.com/office/drawing/2014/chart" uri="{C3380CC4-5D6E-409C-BE32-E72D297353CC}">
                  <c16:uniqueId val="{00000016-289B-49AD-9023-402E83DD3096}"/>
                </c:ext>
              </c:extLst>
            </c:dLbl>
            <c:spPr>
              <a:noFill/>
              <a:ln>
                <a:noFill/>
              </a:ln>
              <a:effectLst/>
            </c:spPr>
            <c:txPr>
              <a:bodyPr wrap="square" lIns="38100" tIns="19050" rIns="38100" bIns="19050" anchor="ctr" anchorCtr="0">
                <a:spAutoFit/>
              </a:bodyPr>
              <a:lstStyle/>
              <a:p>
                <a:pPr algn="ctr">
                  <a:defRPr lang="ja-JP" altLang="en-US" sz="700" b="0" i="0" u="none" strike="noStrike" kern="1200"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'10税ＢＤ'!$A$12:$A$39</c:f>
              <c:strCache>
                <c:ptCount val="6"/>
                <c:pt idx="0">
                  <c:v>28年度</c:v>
                </c:pt>
                <c:pt idx="1">
                  <c:v>29年度</c:v>
                </c:pt>
                <c:pt idx="2">
                  <c:v>30年度</c:v>
                </c:pt>
                <c:pt idx="3">
                  <c:v>元年度</c:v>
                </c:pt>
                <c:pt idx="4">
                  <c:v>２年度（見込）</c:v>
                </c:pt>
                <c:pt idx="5">
                  <c:v>２年度（見込）</c:v>
                </c:pt>
              </c:strCache>
            </c:strRef>
          </c:cat>
          <c:val>
            <c:numRef>
              <c:f>'10税ＢＤ'!$F$12:$F$39</c:f>
              <c:numCache>
                <c:formatCode>0.0%</c:formatCode>
                <c:ptCount val="6"/>
                <c:pt idx="0" formatCode="0.00%">
                  <c:v>1E-4</c:v>
                </c:pt>
              </c:numCache>
            </c:numRef>
          </c:val>
          <c:extLst>
            <c:ext xmlns:c16="http://schemas.microsoft.com/office/drawing/2014/chart" uri="{C3380CC4-5D6E-409C-BE32-E72D297353CC}">
              <c16:uniqueId val="{00000017-289B-49AD-9023-402E83DD3096}"/>
            </c:ext>
          </c:extLst>
        </c:ser>
        <c:dLbls>
          <c:showLegendKey val="0"/>
          <c:showVal val="1"/>
          <c:showCatName val="0"/>
          <c:showSerName val="0"/>
          <c:showPercent val="0"/>
          <c:showBubbleSize val="0"/>
        </c:dLbls>
        <c:gapWidth val="100"/>
        <c:overlap val="100"/>
        <c:axId val="661884408"/>
        <c:axId val="661881272"/>
      </c:barChart>
      <c:lineChart>
        <c:grouping val="standard"/>
        <c:varyColors val="0"/>
        <c:ser>
          <c:idx val="5"/>
          <c:order val="5"/>
          <c:tx>
            <c:strRef>
              <c:f>'10税ＢＤ'!$G$11</c:f>
              <c:strCache>
                <c:ptCount val="1"/>
                <c:pt idx="0">
                  <c:v>合計</c:v>
                </c:pt>
              </c:strCache>
            </c:strRef>
          </c:tx>
          <c:spPr>
            <a:ln w="28575">
              <a:noFill/>
            </a:ln>
          </c:spPr>
          <c:marker>
            <c:symbol val="none"/>
          </c:marker>
          <c:dPt>
            <c:idx val="0"/>
            <c:bubble3D val="0"/>
            <c:extLst>
              <c:ext xmlns:c16="http://schemas.microsoft.com/office/drawing/2014/chart" uri="{C3380CC4-5D6E-409C-BE32-E72D297353CC}">
                <c16:uniqueId val="{00000018-289B-49AD-9023-402E83DD3096}"/>
              </c:ext>
            </c:extLst>
          </c:dPt>
          <c:dLbls>
            <c:dLbl>
              <c:idx val="0"/>
              <c:layout>
                <c:manualLayout>
                  <c:x val="-9.0978956422002488E-2"/>
                  <c:y val="-2.8009294890770232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0.1714009898922107"/>
                      <c:h val="4.6741854636591473E-2"/>
                    </c:manualLayout>
                  </c15:layout>
                </c:ext>
                <c:ext xmlns:c16="http://schemas.microsoft.com/office/drawing/2014/chart" uri="{C3380CC4-5D6E-409C-BE32-E72D297353CC}">
                  <c16:uniqueId val="{00000018-289B-49AD-9023-402E83DD3096}"/>
                </c:ext>
              </c:extLst>
            </c:dLbl>
            <c:dLbl>
              <c:idx val="1"/>
              <c:layout>
                <c:manualLayout>
                  <c:x val="-4.4418169288664773E-2"/>
                  <c:y val="-2.1303149606299213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7.3025921387918399E-2"/>
                      <c:h val="5.1754385964912282E-2"/>
                    </c:manualLayout>
                  </c15:layout>
                </c:ext>
                <c:ext xmlns:c16="http://schemas.microsoft.com/office/drawing/2014/chart" uri="{C3380CC4-5D6E-409C-BE32-E72D297353CC}">
                  <c16:uniqueId val="{00000019-289B-49AD-9023-402E83DD3096}"/>
                </c:ext>
              </c:extLst>
            </c:dLbl>
            <c:dLbl>
              <c:idx val="2"/>
              <c:layout>
                <c:manualLayout>
                  <c:x val="-3.9751993021898968E-2"/>
                  <c:y val="-4.1602580927384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89B-49AD-9023-402E83DD3096}"/>
                </c:ext>
              </c:extLst>
            </c:dLbl>
            <c:dLbl>
              <c:idx val="3"/>
              <c:layout>
                <c:manualLayout>
                  <c:x val="-4.383527764260594E-2"/>
                  <c:y val="-3.17502187226596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89B-49AD-9023-402E83DD3096}"/>
                </c:ext>
              </c:extLst>
            </c:dLbl>
            <c:dLbl>
              <c:idx val="4"/>
              <c:spPr>
                <a:solidFill>
                  <a:srgbClr val="FFFFFF"/>
                </a:solidFill>
                <a:ln w="3175">
                  <a:noFill/>
                  <a:prstDash val="solid"/>
                </a:ln>
              </c:spPr>
              <c:txPr>
                <a:bodyPr/>
                <a:lstStyle/>
                <a:p>
                  <a:pPr>
                    <a:defRPr sz="10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C-289B-49AD-9023-402E83DD3096}"/>
                </c:ext>
              </c:extLst>
            </c:dLbl>
            <c:dLbl>
              <c:idx val="5"/>
              <c:layout>
                <c:manualLayout>
                  <c:x val="-4.1159425983135149E-2"/>
                  <c:y val="-4.6365923009623798E-2"/>
                </c:manualLayout>
              </c:layout>
              <c:tx>
                <c:rich>
                  <a:bodyPr/>
                  <a:lstStyle/>
                  <a:p>
                    <a:fld id="{0DE6B50C-9EF0-4E2F-92E1-94A5AFAE6FF4}"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D-289B-49AD-9023-402E83DD3096}"/>
                </c:ext>
              </c:extLst>
            </c:dLbl>
            <c:spPr>
              <a:noFill/>
              <a:ln w="3175">
                <a:noFill/>
                <a:prstDash val="solid"/>
              </a:ln>
            </c:spPr>
            <c:txPr>
              <a:bodyPr/>
              <a:lstStyle/>
              <a:p>
                <a:pPr>
                  <a:defRPr sz="10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'10税ＢＤ'!$A$12:$A$39</c:f>
              <c:strCache>
                <c:ptCount val="6"/>
                <c:pt idx="0">
                  <c:v>28年度</c:v>
                </c:pt>
                <c:pt idx="1">
                  <c:v>29年度</c:v>
                </c:pt>
                <c:pt idx="2">
                  <c:v>30年度</c:v>
                </c:pt>
                <c:pt idx="3">
                  <c:v>元年度</c:v>
                </c:pt>
                <c:pt idx="4">
                  <c:v>２年度（見込）</c:v>
                </c:pt>
                <c:pt idx="5">
                  <c:v>２年度（見込）</c:v>
                </c:pt>
              </c:strCache>
            </c:strRef>
          </c:cat>
          <c:val>
            <c:numRef>
              <c:f>'10税ＢＤ'!$G$12:$G$39</c:f>
              <c:numCache>
                <c:formatCode>0.0%</c:formatCode>
                <c:ptCount val="6"/>
                <c:pt idx="0">
                  <c:v>0.99809999999999999</c:v>
                </c:pt>
                <c:pt idx="1">
                  <c:v>0.99839999999999995</c:v>
                </c:pt>
                <c:pt idx="2">
                  <c:v>0.99770000000000003</c:v>
                </c:pt>
                <c:pt idx="3">
                  <c:v>0.99660000000000004</c:v>
                </c:pt>
                <c:pt idx="4">
                  <c:v>0.98080000000000001</c:v>
                </c:pt>
                <c:pt idx="5">
                  <c:v>0.99390000000000001</c:v>
                </c:pt>
              </c:numCache>
            </c:numRef>
          </c:val>
          <c:smooth val="0"/>
          <c:extLst>
            <c:ext xmlns:c16="http://schemas.microsoft.com/office/drawing/2014/chart" uri="{C3380CC4-5D6E-409C-BE32-E72D297353CC}">
              <c16:uniqueId val="{0000001E-289B-49AD-9023-402E83DD3096}"/>
            </c:ext>
          </c:extLst>
        </c:ser>
        <c:dLbls>
          <c:showLegendKey val="0"/>
          <c:showVal val="1"/>
          <c:showCatName val="0"/>
          <c:showSerName val="0"/>
          <c:showPercent val="0"/>
          <c:showBubbleSize val="0"/>
        </c:dLbls>
        <c:marker val="1"/>
        <c:smooth val="0"/>
        <c:axId val="661884408"/>
        <c:axId val="661881272"/>
        <c:extLst>
          <c:ext xmlns:c15="http://schemas.microsoft.com/office/drawing/2012/chart" uri="{02D57815-91ED-43cb-92C2-25804820EDAC}">
            <c15:filteredLineSeries>
              <c15:ser>
                <c:idx val="6"/>
                <c:order val="6"/>
                <c:tx>
                  <c:strRef>
                    <c:extLst>
                      <c:ext uri="{02D57815-91ED-43cb-92C2-25804820EDAC}">
                        <c15:formulaRef>
                          <c15:sqref>'10税ＢＤ'!$H$11</c15:sqref>
                        </c15:formulaRef>
                      </c:ext>
                    </c:extLst>
                    <c:strCache>
                      <c:ptCount val="1"/>
                      <c:pt idx="0">
                        <c:v>合計</c:v>
                      </c:pt>
                    </c:strCache>
                  </c:strRef>
                </c:tx>
                <c:spPr>
                  <a:ln w="28575">
                    <a:noFill/>
                  </a:ln>
                </c:spPr>
                <c:marker>
                  <c:symbol val="none"/>
                </c:marker>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'10税ＢＤ'!$A$12:$A$39</c15:sqref>
                        </c15:formulaRef>
                      </c:ext>
                    </c:extLst>
                    <c:strCache>
                      <c:ptCount val="6"/>
                      <c:pt idx="0">
                        <c:v>28年度</c:v>
                      </c:pt>
                      <c:pt idx="1">
                        <c:v>29年度</c:v>
                      </c:pt>
                      <c:pt idx="2">
                        <c:v>30年度</c:v>
                      </c:pt>
                      <c:pt idx="3">
                        <c:v>元年度</c:v>
                      </c:pt>
                      <c:pt idx="4">
                        <c:v>２年度（見込）</c:v>
                      </c:pt>
                      <c:pt idx="5">
                        <c:v>２年度（見込）</c:v>
                      </c:pt>
                    </c:strCache>
                  </c:strRef>
                </c:cat>
                <c:val>
                  <c:numRef>
                    <c:extLst>
                      <c:ext uri="{02D57815-91ED-43cb-92C2-25804820EDAC}">
                        <c15:formulaRef>
                          <c15:sqref>'10税ＢＤ'!$H$12:$H$39</c15:sqref>
                        </c15:formulaRef>
                      </c:ext>
                    </c:extLst>
                    <c:numCache>
                      <c:formatCode>0.0%</c:formatCode>
                      <c:ptCount val="6"/>
                      <c:pt idx="0">
                        <c:v>0.99819999999999998</c:v>
                      </c:pt>
                      <c:pt idx="1">
                        <c:v>0.99839999999999995</c:v>
                      </c:pt>
                      <c:pt idx="2">
                        <c:v>0.99770000000000003</c:v>
                      </c:pt>
                      <c:pt idx="3">
                        <c:v>0.99660000000000004</c:v>
                      </c:pt>
                      <c:pt idx="4">
                        <c:v>0.98080000000000001</c:v>
                      </c:pt>
                      <c:pt idx="5">
                        <c:v>0.99390000000000001</c:v>
                      </c:pt>
                    </c:numCache>
                  </c:numRef>
                </c:val>
                <c:smooth val="0"/>
                <c:extLst>
                  <c:ext xmlns:c16="http://schemas.microsoft.com/office/drawing/2014/chart" uri="{C3380CC4-5D6E-409C-BE32-E72D297353CC}">
                    <c16:uniqueId val="{0000001F-289B-49AD-9023-402E83DD3096}"/>
                  </c:ext>
                </c:extLst>
              </c15:ser>
            </c15:filteredLineSeries>
          </c:ext>
        </c:extLst>
      </c:lineChart>
      <c:catAx>
        <c:axId val="661884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661881272"/>
        <c:crosses val="autoZero"/>
        <c:auto val="1"/>
        <c:lblAlgn val="ctr"/>
        <c:lblOffset val="100"/>
        <c:tickLblSkip val="1"/>
        <c:tickMarkSkip val="1"/>
        <c:noMultiLvlLbl val="0"/>
      </c:catAx>
      <c:valAx>
        <c:axId val="661881272"/>
        <c:scaling>
          <c:orientation val="minMax"/>
          <c:max val="0.999"/>
          <c:min val="0.97500000000000064"/>
        </c:scaling>
        <c:delete val="0"/>
        <c:axPos val="l"/>
        <c:majorGridlines>
          <c:spPr>
            <a:ln w="3175">
              <a:solidFill>
                <a:srgbClr val="000000"/>
              </a:solidFill>
              <a:prstDash val="dash"/>
            </a:ln>
          </c:spPr>
        </c:majorGridlines>
        <c:numFmt formatCode="0.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661884408"/>
        <c:crosses val="autoZero"/>
        <c:crossBetween val="between"/>
        <c:majorUnit val="5.0000000000000114E-3"/>
        <c:minorUnit val="2.0000000000000052E-4"/>
      </c:valAx>
      <c:spPr>
        <a:solidFill>
          <a:srgbClr val="FFFFFF"/>
        </a:solidFill>
        <a:ln w="25400">
          <a:noFill/>
        </a:ln>
      </c:spPr>
    </c:plotArea>
    <c:plotVisOnly val="1"/>
    <c:dispBlanksAs val="zero"/>
    <c:showDLblsOverMax val="0"/>
  </c:chart>
  <c:spPr>
    <a:noFill/>
    <a:ln w="9525">
      <a:noFill/>
    </a:ln>
  </c:spPr>
  <c:txPr>
    <a:bodyPr/>
    <a:lstStyle/>
    <a:p>
      <a:pPr>
        <a:defRPr sz="17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普通会計決算の推移（</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H8</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年度（市税収入のピーク）を</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100</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とした場合）</a:t>
            </a:r>
          </a:p>
        </c:rich>
      </c:tx>
      <c:layout>
        <c:manualLayout>
          <c:xMode val="edge"/>
          <c:yMode val="edge"/>
          <c:x val="0.2076069730586371"/>
          <c:y val="2.2415039768619298E-2"/>
        </c:manualLayout>
      </c:layout>
      <c:overlay val="0"/>
      <c:spPr>
        <a:noFill/>
        <a:ln w="25400">
          <a:noFill/>
        </a:ln>
      </c:spPr>
    </c:title>
    <c:autoTitleDeleted val="0"/>
    <c:plotArea>
      <c:layout>
        <c:manualLayout>
          <c:layoutTarget val="inner"/>
          <c:xMode val="edge"/>
          <c:yMode val="edge"/>
          <c:x val="7.5400282171935715E-2"/>
          <c:y val="0.10629067245119694"/>
          <c:w val="0.81894729375044351"/>
          <c:h val="0.84779464931311066"/>
        </c:manualLayout>
      </c:layout>
      <c:lineChart>
        <c:grouping val="standard"/>
        <c:varyColors val="0"/>
        <c:ser>
          <c:idx val="0"/>
          <c:order val="0"/>
          <c:spPr>
            <a:ln w="25400">
              <a:solidFill>
                <a:schemeClr val="accent2">
                  <a:lumMod val="75000"/>
                </a:schemeClr>
              </a:solidFill>
              <a:prstDash val="solid"/>
            </a:ln>
          </c:spPr>
          <c:marker>
            <c:symbol val="none"/>
          </c:marker>
          <c:cat>
            <c:strRef>
              <c:f>頁12データ!$C$13:$AA$13</c:f>
              <c:strCache>
                <c:ptCount val="25"/>
                <c:pt idx="0">
                  <c:v>Ｈ８</c:v>
                </c:pt>
                <c:pt idx="1">
                  <c:v>Ｈ９</c:v>
                </c:pt>
                <c:pt idx="2">
                  <c:v>Ｈ10</c:v>
                </c:pt>
                <c:pt idx="3">
                  <c:v>Ｈ11</c:v>
                </c:pt>
                <c:pt idx="4">
                  <c:v>Ｈ12</c:v>
                </c:pt>
                <c:pt idx="5">
                  <c:v>Ｈ13</c:v>
                </c:pt>
                <c:pt idx="6">
                  <c:v>Ｈ14</c:v>
                </c:pt>
                <c:pt idx="7">
                  <c:v>Ｈ15</c:v>
                </c:pt>
                <c:pt idx="8">
                  <c:v>Ｈ16</c:v>
                </c:pt>
                <c:pt idx="9">
                  <c:v>Ｈ17</c:v>
                </c:pt>
                <c:pt idx="10">
                  <c:v>Ｈ18</c:v>
                </c:pt>
                <c:pt idx="11">
                  <c:v>Ｈ19</c:v>
                </c:pt>
                <c:pt idx="12">
                  <c:v>Ｈ20</c:v>
                </c:pt>
                <c:pt idx="13">
                  <c:v>Ｈ21</c:v>
                </c:pt>
                <c:pt idx="14">
                  <c:v>Ｈ22</c:v>
                </c:pt>
                <c:pt idx="15">
                  <c:v>Ｈ23</c:v>
                </c:pt>
                <c:pt idx="16">
                  <c:v>Ｈ24</c:v>
                </c:pt>
                <c:pt idx="17">
                  <c:v>Ｈ25</c:v>
                </c:pt>
                <c:pt idx="18">
                  <c:v>Ｈ26</c:v>
                </c:pt>
                <c:pt idx="19">
                  <c:v>Ｈ27</c:v>
                </c:pt>
                <c:pt idx="20">
                  <c:v>Ｈ28</c:v>
                </c:pt>
                <c:pt idx="21">
                  <c:v>Ｈ29</c:v>
                </c:pt>
                <c:pt idx="22">
                  <c:v>Ｈ30</c:v>
                </c:pt>
                <c:pt idx="23">
                  <c:v>R元</c:v>
                </c:pt>
                <c:pt idx="24">
                  <c:v>R２</c:v>
                </c:pt>
              </c:strCache>
            </c:strRef>
          </c:cat>
          <c:val>
            <c:numRef>
              <c:f>頁12データ!$C$14:$AA$14</c:f>
              <c:numCache>
                <c:formatCode>#,##0.0;[Red]\-#,##0.0</c:formatCode>
                <c:ptCount val="25"/>
                <c:pt idx="0">
                  <c:v>100</c:v>
                </c:pt>
                <c:pt idx="1">
                  <c:v>99.684942974678421</c:v>
                </c:pt>
                <c:pt idx="2">
                  <c:v>94.987249835077293</c:v>
                </c:pt>
                <c:pt idx="3">
                  <c:v>91.682237342101786</c:v>
                </c:pt>
                <c:pt idx="4">
                  <c:v>88.283093525642428</c:v>
                </c:pt>
                <c:pt idx="5">
                  <c:v>85.579904248383244</c:v>
                </c:pt>
                <c:pt idx="6">
                  <c:v>81.662652368650157</c:v>
                </c:pt>
                <c:pt idx="7">
                  <c:v>78.834854823008683</c:v>
                </c:pt>
                <c:pt idx="8">
                  <c:v>79.535824555673145</c:v>
                </c:pt>
                <c:pt idx="9">
                  <c:v>80.831159011209593</c:v>
                </c:pt>
                <c:pt idx="10">
                  <c:v>83.923990242233842</c:v>
                </c:pt>
                <c:pt idx="11">
                  <c:v>87.249577887883419</c:v>
                </c:pt>
                <c:pt idx="12">
                  <c:v>86.259655854852596</c:v>
                </c:pt>
                <c:pt idx="13">
                  <c:v>80.193329278313669</c:v>
                </c:pt>
                <c:pt idx="14">
                  <c:v>80.502599541945656</c:v>
                </c:pt>
                <c:pt idx="15">
                  <c:v>81.794719129876796</c:v>
                </c:pt>
                <c:pt idx="16">
                  <c:v>80.629651109708007</c:v>
                </c:pt>
                <c:pt idx="17">
                  <c:v>82.541082793128425</c:v>
                </c:pt>
                <c:pt idx="18">
                  <c:v>84.776830320573737</c:v>
                </c:pt>
                <c:pt idx="19">
                  <c:v>84.883821114478863</c:v>
                </c:pt>
                <c:pt idx="20">
                  <c:v>84.804735371387935</c:v>
                </c:pt>
                <c:pt idx="21">
                  <c:v>86.853377604203502</c:v>
                </c:pt>
                <c:pt idx="22">
                  <c:v>94.831007269458638</c:v>
                </c:pt>
                <c:pt idx="23">
                  <c:v>99.80415026548377</c:v>
                </c:pt>
                <c:pt idx="24">
                  <c:v>95.759718223284125</c:v>
                </c:pt>
              </c:numCache>
            </c:numRef>
          </c:val>
          <c:smooth val="0"/>
          <c:extLst>
            <c:ext xmlns:c16="http://schemas.microsoft.com/office/drawing/2014/chart" uri="{C3380CC4-5D6E-409C-BE32-E72D297353CC}">
              <c16:uniqueId val="{00000000-EFBC-4FC1-9E07-2493EE0D5BCE}"/>
            </c:ext>
          </c:extLst>
        </c:ser>
        <c:ser>
          <c:idx val="1"/>
          <c:order val="1"/>
          <c:spPr>
            <a:ln w="12700">
              <a:solidFill>
                <a:srgbClr val="00B050"/>
              </a:solidFill>
              <a:prstDash val="solid"/>
            </a:ln>
          </c:spPr>
          <c:marker>
            <c:symbol val="none"/>
          </c:marker>
          <c:cat>
            <c:strRef>
              <c:f>頁12データ!$C$13:$AA$13</c:f>
              <c:strCache>
                <c:ptCount val="25"/>
                <c:pt idx="0">
                  <c:v>Ｈ８</c:v>
                </c:pt>
                <c:pt idx="1">
                  <c:v>Ｈ９</c:v>
                </c:pt>
                <c:pt idx="2">
                  <c:v>Ｈ10</c:v>
                </c:pt>
                <c:pt idx="3">
                  <c:v>Ｈ11</c:v>
                </c:pt>
                <c:pt idx="4">
                  <c:v>Ｈ12</c:v>
                </c:pt>
                <c:pt idx="5">
                  <c:v>Ｈ13</c:v>
                </c:pt>
                <c:pt idx="6">
                  <c:v>Ｈ14</c:v>
                </c:pt>
                <c:pt idx="7">
                  <c:v>Ｈ15</c:v>
                </c:pt>
                <c:pt idx="8">
                  <c:v>Ｈ16</c:v>
                </c:pt>
                <c:pt idx="9">
                  <c:v>Ｈ17</c:v>
                </c:pt>
                <c:pt idx="10">
                  <c:v>Ｈ18</c:v>
                </c:pt>
                <c:pt idx="11">
                  <c:v>Ｈ19</c:v>
                </c:pt>
                <c:pt idx="12">
                  <c:v>Ｈ20</c:v>
                </c:pt>
                <c:pt idx="13">
                  <c:v>Ｈ21</c:v>
                </c:pt>
                <c:pt idx="14">
                  <c:v>Ｈ22</c:v>
                </c:pt>
                <c:pt idx="15">
                  <c:v>Ｈ23</c:v>
                </c:pt>
                <c:pt idx="16">
                  <c:v>Ｈ24</c:v>
                </c:pt>
                <c:pt idx="17">
                  <c:v>Ｈ25</c:v>
                </c:pt>
                <c:pt idx="18">
                  <c:v>Ｈ26</c:v>
                </c:pt>
                <c:pt idx="19">
                  <c:v>Ｈ27</c:v>
                </c:pt>
                <c:pt idx="20">
                  <c:v>Ｈ28</c:v>
                </c:pt>
                <c:pt idx="21">
                  <c:v>Ｈ29</c:v>
                </c:pt>
                <c:pt idx="22">
                  <c:v>Ｈ30</c:v>
                </c:pt>
                <c:pt idx="23">
                  <c:v>R元</c:v>
                </c:pt>
                <c:pt idx="24">
                  <c:v>R２</c:v>
                </c:pt>
              </c:strCache>
            </c:strRef>
          </c:cat>
          <c:val>
            <c:numRef>
              <c:f>頁12データ!$C$15:$AA$15</c:f>
              <c:numCache>
                <c:formatCode>#,##0.0;[Red]\-#,##0.0</c:formatCode>
                <c:ptCount val="25"/>
                <c:pt idx="0">
                  <c:v>100</c:v>
                </c:pt>
                <c:pt idx="1">
                  <c:v>101.88069350573024</c:v>
                </c:pt>
                <c:pt idx="2">
                  <c:v>103.15837766196694</c:v>
                </c:pt>
                <c:pt idx="3">
                  <c:v>103.33739137735611</c:v>
                </c:pt>
                <c:pt idx="4">
                  <c:v>103.03633648581383</c:v>
                </c:pt>
                <c:pt idx="5">
                  <c:v>102.58565371490943</c:v>
                </c:pt>
                <c:pt idx="6">
                  <c:v>98.532507331466235</c:v>
                </c:pt>
                <c:pt idx="7">
                  <c:v>97.223938061854184</c:v>
                </c:pt>
                <c:pt idx="8">
                  <c:v>93.589090058591765</c:v>
                </c:pt>
                <c:pt idx="9">
                  <c:v>88.703844746832033</c:v>
                </c:pt>
                <c:pt idx="10">
                  <c:v>83.524441219332274</c:v>
                </c:pt>
                <c:pt idx="11">
                  <c:v>82.631171775204351</c:v>
                </c:pt>
                <c:pt idx="12">
                  <c:v>76.919524789051678</c:v>
                </c:pt>
                <c:pt idx="13">
                  <c:v>73.135948472836091</c:v>
                </c:pt>
                <c:pt idx="14">
                  <c:v>71.803990476590286</c:v>
                </c:pt>
                <c:pt idx="15">
                  <c:v>72.414196357355749</c:v>
                </c:pt>
                <c:pt idx="16">
                  <c:v>69.649828782526825</c:v>
                </c:pt>
                <c:pt idx="17">
                  <c:v>62.690783042573486</c:v>
                </c:pt>
                <c:pt idx="18">
                  <c:v>62.230504896639815</c:v>
                </c:pt>
                <c:pt idx="19">
                  <c:v>61.064067119648321</c:v>
                </c:pt>
                <c:pt idx="20">
                  <c:v>58.927297042825359</c:v>
                </c:pt>
                <c:pt idx="21">
                  <c:v>90.218714579572648</c:v>
                </c:pt>
                <c:pt idx="22">
                  <c:v>90.577641576760001</c:v>
                </c:pt>
                <c:pt idx="23">
                  <c:v>91.302092391467312</c:v>
                </c:pt>
                <c:pt idx="24">
                  <c:v>91.694603201256996</c:v>
                </c:pt>
              </c:numCache>
            </c:numRef>
          </c:val>
          <c:smooth val="0"/>
          <c:extLst>
            <c:ext xmlns:c16="http://schemas.microsoft.com/office/drawing/2014/chart" uri="{C3380CC4-5D6E-409C-BE32-E72D297353CC}">
              <c16:uniqueId val="{00000001-EFBC-4FC1-9E07-2493EE0D5BCE}"/>
            </c:ext>
          </c:extLst>
        </c:ser>
        <c:ser>
          <c:idx val="2"/>
          <c:order val="2"/>
          <c:spPr>
            <a:ln w="12700">
              <a:solidFill>
                <a:srgbClr val="FF6600"/>
              </a:solidFill>
              <a:prstDash val="sysDash"/>
            </a:ln>
          </c:spPr>
          <c:marker>
            <c:symbol val="none"/>
          </c:marker>
          <c:cat>
            <c:strRef>
              <c:f>頁12データ!$C$13:$AA$13</c:f>
              <c:strCache>
                <c:ptCount val="25"/>
                <c:pt idx="0">
                  <c:v>Ｈ８</c:v>
                </c:pt>
                <c:pt idx="1">
                  <c:v>Ｈ９</c:v>
                </c:pt>
                <c:pt idx="2">
                  <c:v>Ｈ10</c:v>
                </c:pt>
                <c:pt idx="3">
                  <c:v>Ｈ11</c:v>
                </c:pt>
                <c:pt idx="4">
                  <c:v>Ｈ12</c:v>
                </c:pt>
                <c:pt idx="5">
                  <c:v>Ｈ13</c:v>
                </c:pt>
                <c:pt idx="6">
                  <c:v>Ｈ14</c:v>
                </c:pt>
                <c:pt idx="7">
                  <c:v>Ｈ15</c:v>
                </c:pt>
                <c:pt idx="8">
                  <c:v>Ｈ16</c:v>
                </c:pt>
                <c:pt idx="9">
                  <c:v>Ｈ17</c:v>
                </c:pt>
                <c:pt idx="10">
                  <c:v>Ｈ18</c:v>
                </c:pt>
                <c:pt idx="11">
                  <c:v>Ｈ19</c:v>
                </c:pt>
                <c:pt idx="12">
                  <c:v>Ｈ20</c:v>
                </c:pt>
                <c:pt idx="13">
                  <c:v>Ｈ21</c:v>
                </c:pt>
                <c:pt idx="14">
                  <c:v>Ｈ22</c:v>
                </c:pt>
                <c:pt idx="15">
                  <c:v>Ｈ23</c:v>
                </c:pt>
                <c:pt idx="16">
                  <c:v>Ｈ24</c:v>
                </c:pt>
                <c:pt idx="17">
                  <c:v>Ｈ25</c:v>
                </c:pt>
                <c:pt idx="18">
                  <c:v>Ｈ26</c:v>
                </c:pt>
                <c:pt idx="19">
                  <c:v>Ｈ27</c:v>
                </c:pt>
                <c:pt idx="20">
                  <c:v>Ｈ28</c:v>
                </c:pt>
                <c:pt idx="21">
                  <c:v>Ｈ29</c:v>
                </c:pt>
                <c:pt idx="22">
                  <c:v>Ｈ30</c:v>
                </c:pt>
                <c:pt idx="23">
                  <c:v>R元</c:v>
                </c:pt>
                <c:pt idx="24">
                  <c:v>R２</c:v>
                </c:pt>
              </c:strCache>
            </c:strRef>
          </c:cat>
          <c:val>
            <c:numRef>
              <c:f>頁12データ!$C$16:$AA$16</c:f>
              <c:numCache>
                <c:formatCode>#,##0.0;[Red]\-#,##0.0</c:formatCode>
                <c:ptCount val="25"/>
                <c:pt idx="0">
                  <c:v>100</c:v>
                </c:pt>
                <c:pt idx="1">
                  <c:v>106.73001265385942</c:v>
                </c:pt>
                <c:pt idx="2">
                  <c:v>113.61049119981594</c:v>
                </c:pt>
                <c:pt idx="3">
                  <c:v>121.83503968710457</c:v>
                </c:pt>
                <c:pt idx="4">
                  <c:v>117.51064074542737</c:v>
                </c:pt>
                <c:pt idx="5">
                  <c:v>126.71896928563211</c:v>
                </c:pt>
                <c:pt idx="6">
                  <c:v>136.35798918670196</c:v>
                </c:pt>
                <c:pt idx="7">
                  <c:v>150.85609110778788</c:v>
                </c:pt>
                <c:pt idx="8">
                  <c:v>159.54538134130908</c:v>
                </c:pt>
                <c:pt idx="9">
                  <c:v>163.95398596571954</c:v>
                </c:pt>
                <c:pt idx="10">
                  <c:v>167.0995053491315</c:v>
                </c:pt>
                <c:pt idx="11">
                  <c:v>172.35430806395951</c:v>
                </c:pt>
                <c:pt idx="12">
                  <c:v>177.09099275278962</c:v>
                </c:pt>
                <c:pt idx="13">
                  <c:v>196.13436098009893</c:v>
                </c:pt>
                <c:pt idx="14">
                  <c:v>221.42919590475097</c:v>
                </c:pt>
                <c:pt idx="15">
                  <c:v>228.62072932244334</c:v>
                </c:pt>
                <c:pt idx="16">
                  <c:v>229.33532727481884</c:v>
                </c:pt>
                <c:pt idx="17">
                  <c:v>230.5579201656505</c:v>
                </c:pt>
                <c:pt idx="18">
                  <c:v>237.97032094788912</c:v>
                </c:pt>
                <c:pt idx="19">
                  <c:v>243.04060738525251</c:v>
                </c:pt>
                <c:pt idx="20">
                  <c:v>249.24882089037155</c:v>
                </c:pt>
                <c:pt idx="21">
                  <c:v>254.24502473254344</c:v>
                </c:pt>
                <c:pt idx="22">
                  <c:v>254.70516507534796</c:v>
                </c:pt>
                <c:pt idx="23">
                  <c:v>263.22420338203153</c:v>
                </c:pt>
                <c:pt idx="24">
                  <c:v>271.18969285632119</c:v>
                </c:pt>
              </c:numCache>
            </c:numRef>
          </c:val>
          <c:smooth val="0"/>
          <c:extLst>
            <c:ext xmlns:c16="http://schemas.microsoft.com/office/drawing/2014/chart" uri="{C3380CC4-5D6E-409C-BE32-E72D297353CC}">
              <c16:uniqueId val="{00000002-EFBC-4FC1-9E07-2493EE0D5BCE}"/>
            </c:ext>
          </c:extLst>
        </c:ser>
        <c:ser>
          <c:idx val="4"/>
          <c:order val="3"/>
          <c:spPr>
            <a:ln w="38100">
              <a:pattFill prst="pct50">
                <a:fgClr>
                  <a:srgbClr val="00CCFF"/>
                </a:fgClr>
                <a:bgClr>
                  <a:srgbClr val="FFFFFF"/>
                </a:bgClr>
              </a:pattFill>
              <a:prstDash val="solid"/>
            </a:ln>
          </c:spPr>
          <c:marker>
            <c:symbol val="none"/>
          </c:marker>
          <c:cat>
            <c:strRef>
              <c:f>頁12データ!$C$13:$AA$13</c:f>
              <c:strCache>
                <c:ptCount val="25"/>
                <c:pt idx="0">
                  <c:v>Ｈ８</c:v>
                </c:pt>
                <c:pt idx="1">
                  <c:v>Ｈ９</c:v>
                </c:pt>
                <c:pt idx="2">
                  <c:v>Ｈ10</c:v>
                </c:pt>
                <c:pt idx="3">
                  <c:v>Ｈ11</c:v>
                </c:pt>
                <c:pt idx="4">
                  <c:v>Ｈ12</c:v>
                </c:pt>
                <c:pt idx="5">
                  <c:v>Ｈ13</c:v>
                </c:pt>
                <c:pt idx="6">
                  <c:v>Ｈ14</c:v>
                </c:pt>
                <c:pt idx="7">
                  <c:v>Ｈ15</c:v>
                </c:pt>
                <c:pt idx="8">
                  <c:v>Ｈ16</c:v>
                </c:pt>
                <c:pt idx="9">
                  <c:v>Ｈ17</c:v>
                </c:pt>
                <c:pt idx="10">
                  <c:v>Ｈ18</c:v>
                </c:pt>
                <c:pt idx="11">
                  <c:v>Ｈ19</c:v>
                </c:pt>
                <c:pt idx="12">
                  <c:v>Ｈ20</c:v>
                </c:pt>
                <c:pt idx="13">
                  <c:v>Ｈ21</c:v>
                </c:pt>
                <c:pt idx="14">
                  <c:v>Ｈ22</c:v>
                </c:pt>
                <c:pt idx="15">
                  <c:v>Ｈ23</c:v>
                </c:pt>
                <c:pt idx="16">
                  <c:v>Ｈ24</c:v>
                </c:pt>
                <c:pt idx="17">
                  <c:v>Ｈ25</c:v>
                </c:pt>
                <c:pt idx="18">
                  <c:v>Ｈ26</c:v>
                </c:pt>
                <c:pt idx="19">
                  <c:v>Ｈ27</c:v>
                </c:pt>
                <c:pt idx="20">
                  <c:v>Ｈ28</c:v>
                </c:pt>
                <c:pt idx="21">
                  <c:v>Ｈ29</c:v>
                </c:pt>
                <c:pt idx="22">
                  <c:v>Ｈ30</c:v>
                </c:pt>
                <c:pt idx="23">
                  <c:v>R元</c:v>
                </c:pt>
                <c:pt idx="24">
                  <c:v>R２</c:v>
                </c:pt>
              </c:strCache>
            </c:strRef>
          </c:cat>
          <c:val>
            <c:numRef>
              <c:f>頁12データ!$C$18:$AA$18</c:f>
              <c:numCache>
                <c:formatCode>#,##0.0;[Red]\-#,##0.0</c:formatCode>
                <c:ptCount val="25"/>
                <c:pt idx="0">
                  <c:v>100</c:v>
                </c:pt>
                <c:pt idx="1">
                  <c:v>110.07380631683115</c:v>
                </c:pt>
                <c:pt idx="2">
                  <c:v>114.39566783034168</c:v>
                </c:pt>
                <c:pt idx="3">
                  <c:v>130.16025729129444</c:v>
                </c:pt>
                <c:pt idx="4">
                  <c:v>136.86879793287338</c:v>
                </c:pt>
                <c:pt idx="5">
                  <c:v>144.30921685587839</c:v>
                </c:pt>
                <c:pt idx="6">
                  <c:v>160.67855081228183</c:v>
                </c:pt>
                <c:pt idx="7">
                  <c:v>150.3951455510047</c:v>
                </c:pt>
                <c:pt idx="8">
                  <c:v>149.51139393606201</c:v>
                </c:pt>
                <c:pt idx="9">
                  <c:v>144.58891118502433</c:v>
                </c:pt>
                <c:pt idx="10">
                  <c:v>142.60081365623026</c:v>
                </c:pt>
                <c:pt idx="11">
                  <c:v>142.51834849775972</c:v>
                </c:pt>
                <c:pt idx="12">
                  <c:v>146.92679842766432</c:v>
                </c:pt>
                <c:pt idx="13">
                  <c:v>152.22381044008907</c:v>
                </c:pt>
                <c:pt idx="14">
                  <c:v>152.72409906814372</c:v>
                </c:pt>
                <c:pt idx="15">
                  <c:v>162.97383105637869</c:v>
                </c:pt>
                <c:pt idx="16">
                  <c:v>178.69237747051872</c:v>
                </c:pt>
                <c:pt idx="17">
                  <c:v>192.25033673273043</c:v>
                </c:pt>
                <c:pt idx="18">
                  <c:v>182.76615629896369</c:v>
                </c:pt>
                <c:pt idx="19">
                  <c:v>191.33497347370735</c:v>
                </c:pt>
                <c:pt idx="20">
                  <c:v>182.77096676654114</c:v>
                </c:pt>
                <c:pt idx="21">
                  <c:v>180.72239478820197</c:v>
                </c:pt>
                <c:pt idx="22">
                  <c:v>200.85145276120838</c:v>
                </c:pt>
                <c:pt idx="23">
                  <c:v>154.72113032243877</c:v>
                </c:pt>
                <c:pt idx="24">
                  <c:v>134.35017455125208</c:v>
                </c:pt>
              </c:numCache>
            </c:numRef>
          </c:val>
          <c:smooth val="0"/>
          <c:extLst>
            <c:ext xmlns:c16="http://schemas.microsoft.com/office/drawing/2014/chart" uri="{C3380CC4-5D6E-409C-BE32-E72D297353CC}">
              <c16:uniqueId val="{00000003-EFBC-4FC1-9E07-2493EE0D5BCE}"/>
            </c:ext>
          </c:extLst>
        </c:ser>
        <c:ser>
          <c:idx val="5"/>
          <c:order val="4"/>
          <c:spPr>
            <a:ln w="12700">
              <a:solidFill>
                <a:srgbClr val="3366FF"/>
              </a:solidFill>
              <a:prstDash val="solid"/>
            </a:ln>
          </c:spPr>
          <c:marker>
            <c:symbol val="none"/>
          </c:marker>
          <c:cat>
            <c:strRef>
              <c:f>頁12データ!$C$13:$AA$13</c:f>
              <c:strCache>
                <c:ptCount val="25"/>
                <c:pt idx="0">
                  <c:v>Ｈ８</c:v>
                </c:pt>
                <c:pt idx="1">
                  <c:v>Ｈ９</c:v>
                </c:pt>
                <c:pt idx="2">
                  <c:v>Ｈ10</c:v>
                </c:pt>
                <c:pt idx="3">
                  <c:v>Ｈ11</c:v>
                </c:pt>
                <c:pt idx="4">
                  <c:v>Ｈ12</c:v>
                </c:pt>
                <c:pt idx="5">
                  <c:v>Ｈ13</c:v>
                </c:pt>
                <c:pt idx="6">
                  <c:v>Ｈ14</c:v>
                </c:pt>
                <c:pt idx="7">
                  <c:v>Ｈ15</c:v>
                </c:pt>
                <c:pt idx="8">
                  <c:v>Ｈ16</c:v>
                </c:pt>
                <c:pt idx="9">
                  <c:v>Ｈ17</c:v>
                </c:pt>
                <c:pt idx="10">
                  <c:v>Ｈ18</c:v>
                </c:pt>
                <c:pt idx="11">
                  <c:v>Ｈ19</c:v>
                </c:pt>
                <c:pt idx="12">
                  <c:v>Ｈ20</c:v>
                </c:pt>
                <c:pt idx="13">
                  <c:v>Ｈ21</c:v>
                </c:pt>
                <c:pt idx="14">
                  <c:v>Ｈ22</c:v>
                </c:pt>
                <c:pt idx="15">
                  <c:v>Ｈ23</c:v>
                </c:pt>
                <c:pt idx="16">
                  <c:v>Ｈ24</c:v>
                </c:pt>
                <c:pt idx="17">
                  <c:v>Ｈ25</c:v>
                </c:pt>
                <c:pt idx="18">
                  <c:v>Ｈ26</c:v>
                </c:pt>
                <c:pt idx="19">
                  <c:v>Ｈ27</c:v>
                </c:pt>
                <c:pt idx="20">
                  <c:v>Ｈ28</c:v>
                </c:pt>
                <c:pt idx="21">
                  <c:v>Ｈ29</c:v>
                </c:pt>
                <c:pt idx="22">
                  <c:v>Ｈ30</c:v>
                </c:pt>
                <c:pt idx="23">
                  <c:v>R元</c:v>
                </c:pt>
                <c:pt idx="24">
                  <c:v>R２</c:v>
                </c:pt>
              </c:strCache>
            </c:strRef>
          </c:cat>
          <c:val>
            <c:numRef>
              <c:f>頁12データ!$C$19:$AA$19</c:f>
              <c:numCache>
                <c:formatCode>#,##0.0;[Red]\-#,##0.0</c:formatCode>
                <c:ptCount val="25"/>
                <c:pt idx="0">
                  <c:v>100</c:v>
                </c:pt>
                <c:pt idx="1">
                  <c:v>96.467714342225733</c:v>
                </c:pt>
                <c:pt idx="2">
                  <c:v>113.28924858131518</c:v>
                </c:pt>
                <c:pt idx="3">
                  <c:v>83.156035961086332</c:v>
                </c:pt>
                <c:pt idx="4">
                  <c:v>79.566044545582443</c:v>
                </c:pt>
                <c:pt idx="5">
                  <c:v>72.85647578907016</c:v>
                </c:pt>
                <c:pt idx="6">
                  <c:v>58.708165874486916</c:v>
                </c:pt>
                <c:pt idx="7">
                  <c:v>44.799039188938437</c:v>
                </c:pt>
                <c:pt idx="8">
                  <c:v>37.72692330435811</c:v>
                </c:pt>
                <c:pt idx="9">
                  <c:v>34.006431235331419</c:v>
                </c:pt>
                <c:pt idx="10">
                  <c:v>30.697220132172692</c:v>
                </c:pt>
                <c:pt idx="11">
                  <c:v>33.059281960935444</c:v>
                </c:pt>
                <c:pt idx="12">
                  <c:v>25.326710425167047</c:v>
                </c:pt>
                <c:pt idx="13">
                  <c:v>25.656632389854391</c:v>
                </c:pt>
                <c:pt idx="14">
                  <c:v>19.447859891235861</c:v>
                </c:pt>
                <c:pt idx="15">
                  <c:v>18.369598241503692</c:v>
                </c:pt>
                <c:pt idx="16">
                  <c:v>15.64274630469048</c:v>
                </c:pt>
                <c:pt idx="17">
                  <c:v>17.071728460765183</c:v>
                </c:pt>
                <c:pt idx="18">
                  <c:v>20.770810266323288</c:v>
                </c:pt>
                <c:pt idx="19">
                  <c:v>20.569961604260847</c:v>
                </c:pt>
                <c:pt idx="20">
                  <c:v>20.41356472730461</c:v>
                </c:pt>
                <c:pt idx="21">
                  <c:v>23.60369398412378</c:v>
                </c:pt>
                <c:pt idx="22">
                  <c:v>25.428052338918356</c:v>
                </c:pt>
                <c:pt idx="23">
                  <c:v>32.075837192278442</c:v>
                </c:pt>
                <c:pt idx="24">
                  <c:v>36.250838568652519</c:v>
                </c:pt>
              </c:numCache>
            </c:numRef>
          </c:val>
          <c:smooth val="0"/>
          <c:extLst>
            <c:ext xmlns:c16="http://schemas.microsoft.com/office/drawing/2014/chart" uri="{C3380CC4-5D6E-409C-BE32-E72D297353CC}">
              <c16:uniqueId val="{00000004-EFBC-4FC1-9E07-2493EE0D5BCE}"/>
            </c:ext>
          </c:extLst>
        </c:ser>
        <c:ser>
          <c:idx val="6"/>
          <c:order val="5"/>
          <c:spPr>
            <a:ln w="12700">
              <a:solidFill>
                <a:srgbClr val="FF8080"/>
              </a:solidFill>
              <a:prstDash val="lgDash"/>
            </a:ln>
          </c:spPr>
          <c:marker>
            <c:symbol val="none"/>
          </c:marker>
          <c:cat>
            <c:strRef>
              <c:f>頁12データ!$C$13:$AA$13</c:f>
              <c:strCache>
                <c:ptCount val="25"/>
                <c:pt idx="0">
                  <c:v>Ｈ８</c:v>
                </c:pt>
                <c:pt idx="1">
                  <c:v>Ｈ９</c:v>
                </c:pt>
                <c:pt idx="2">
                  <c:v>Ｈ10</c:v>
                </c:pt>
                <c:pt idx="3">
                  <c:v>Ｈ11</c:v>
                </c:pt>
                <c:pt idx="4">
                  <c:v>Ｈ12</c:v>
                </c:pt>
                <c:pt idx="5">
                  <c:v>Ｈ13</c:v>
                </c:pt>
                <c:pt idx="6">
                  <c:v>Ｈ14</c:v>
                </c:pt>
                <c:pt idx="7">
                  <c:v>Ｈ15</c:v>
                </c:pt>
                <c:pt idx="8">
                  <c:v>Ｈ16</c:v>
                </c:pt>
                <c:pt idx="9">
                  <c:v>Ｈ17</c:v>
                </c:pt>
                <c:pt idx="10">
                  <c:v>Ｈ18</c:v>
                </c:pt>
                <c:pt idx="11">
                  <c:v>Ｈ19</c:v>
                </c:pt>
                <c:pt idx="12">
                  <c:v>Ｈ20</c:v>
                </c:pt>
                <c:pt idx="13">
                  <c:v>Ｈ21</c:v>
                </c:pt>
                <c:pt idx="14">
                  <c:v>Ｈ22</c:v>
                </c:pt>
                <c:pt idx="15">
                  <c:v>Ｈ23</c:v>
                </c:pt>
                <c:pt idx="16">
                  <c:v>Ｈ24</c:v>
                </c:pt>
                <c:pt idx="17">
                  <c:v>Ｈ25</c:v>
                </c:pt>
                <c:pt idx="18">
                  <c:v>Ｈ26</c:v>
                </c:pt>
                <c:pt idx="19">
                  <c:v>Ｈ27</c:v>
                </c:pt>
                <c:pt idx="20">
                  <c:v>Ｈ28</c:v>
                </c:pt>
                <c:pt idx="21">
                  <c:v>Ｈ29</c:v>
                </c:pt>
                <c:pt idx="22">
                  <c:v>Ｈ30</c:v>
                </c:pt>
                <c:pt idx="23">
                  <c:v>R元</c:v>
                </c:pt>
                <c:pt idx="24">
                  <c:v>R２</c:v>
                </c:pt>
              </c:strCache>
            </c:strRef>
          </c:cat>
          <c:val>
            <c:numRef>
              <c:f>頁12データ!$C$20:$AA$20</c:f>
              <c:numCache>
                <c:formatCode>#,##0.0;[Red]\-#,##0.0</c:formatCode>
                <c:ptCount val="25"/>
                <c:pt idx="0">
                  <c:v>100</c:v>
                </c:pt>
                <c:pt idx="1">
                  <c:v>95.70975657513759</c:v>
                </c:pt>
                <c:pt idx="2">
                  <c:v>91.601571450592218</c:v>
                </c:pt>
                <c:pt idx="3">
                  <c:v>90.077197718647014</c:v>
                </c:pt>
                <c:pt idx="4">
                  <c:v>82.509488278695002</c:v>
                </c:pt>
                <c:pt idx="5">
                  <c:v>74.5889106914466</c:v>
                </c:pt>
                <c:pt idx="6">
                  <c:v>66.870805264276171</c:v>
                </c:pt>
                <c:pt idx="7">
                  <c:v>63.192144413476484</c:v>
                </c:pt>
                <c:pt idx="8">
                  <c:v>59.057296288427011</c:v>
                </c:pt>
                <c:pt idx="9">
                  <c:v>55.976886511438003</c:v>
                </c:pt>
                <c:pt idx="10">
                  <c:v>54.307116104868911</c:v>
                </c:pt>
                <c:pt idx="11">
                  <c:v>54.240041994225798</c:v>
                </c:pt>
                <c:pt idx="12">
                  <c:v>54.274203963621673</c:v>
                </c:pt>
                <c:pt idx="13">
                  <c:v>56.629296805022648</c:v>
                </c:pt>
                <c:pt idx="14">
                  <c:v>57.555419463157151</c:v>
                </c:pt>
                <c:pt idx="15">
                  <c:v>56.43349039507067</c:v>
                </c:pt>
                <c:pt idx="16">
                  <c:v>55.031183212308306</c:v>
                </c:pt>
                <c:pt idx="17">
                  <c:v>54.436265013560636</c:v>
                </c:pt>
                <c:pt idx="18">
                  <c:v>54.124224585786116</c:v>
                </c:pt>
                <c:pt idx="19">
                  <c:v>54.301283573508641</c:v>
                </c:pt>
                <c:pt idx="20">
                  <c:v>54.56624714101811</c:v>
                </c:pt>
                <c:pt idx="21">
                  <c:v>54.66831643982286</c:v>
                </c:pt>
                <c:pt idx="22">
                  <c:v>57.17297204967651</c:v>
                </c:pt>
                <c:pt idx="23">
                  <c:v>59.314760887044692</c:v>
                </c:pt>
                <c:pt idx="24">
                  <c:v>59.786362708460913</c:v>
                </c:pt>
              </c:numCache>
            </c:numRef>
          </c:val>
          <c:smooth val="0"/>
          <c:extLst>
            <c:ext xmlns:c16="http://schemas.microsoft.com/office/drawing/2014/chart" uri="{C3380CC4-5D6E-409C-BE32-E72D297353CC}">
              <c16:uniqueId val="{00000005-EFBC-4FC1-9E07-2493EE0D5BCE}"/>
            </c:ext>
          </c:extLst>
        </c:ser>
        <c:dLbls>
          <c:showLegendKey val="0"/>
          <c:showVal val="0"/>
          <c:showCatName val="0"/>
          <c:showSerName val="0"/>
          <c:showPercent val="0"/>
          <c:showBubbleSize val="0"/>
        </c:dLbls>
        <c:smooth val="0"/>
        <c:axId val="400254744"/>
        <c:axId val="400255136"/>
      </c:lineChart>
      <c:catAx>
        <c:axId val="400254744"/>
        <c:scaling>
          <c:orientation val="minMax"/>
        </c:scaling>
        <c:delete val="0"/>
        <c:axPos val="b"/>
        <c:numFmt formatCode="General" sourceLinked="0"/>
        <c:majorTickMark val="in"/>
        <c:minorTickMark val="none"/>
        <c:tickLblPos val="nextTo"/>
        <c:spPr>
          <a:ln w="12700">
            <a:solidFill>
              <a:srgbClr val="000000"/>
            </a:solidFill>
            <a:prstDash val="solid"/>
          </a:ln>
        </c:spPr>
        <c:txPr>
          <a:bodyPr rot="0" vert="horz"/>
          <a:lstStyle/>
          <a:p>
            <a:pPr>
              <a:defRPr sz="5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5136"/>
        <c:crosses val="autoZero"/>
        <c:auto val="1"/>
        <c:lblAlgn val="ctr"/>
        <c:lblOffset val="30"/>
        <c:tickLblSkip val="1"/>
        <c:tickMarkSkip val="1"/>
        <c:noMultiLvlLbl val="0"/>
      </c:catAx>
      <c:valAx>
        <c:axId val="400255136"/>
        <c:scaling>
          <c:orientation val="minMax"/>
          <c:min val="0"/>
        </c:scaling>
        <c:delete val="0"/>
        <c:axPos val="l"/>
        <c:numFmt formatCode="#,##0.0;[Red]\-#,##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4744"/>
        <c:crossesAt val="1"/>
        <c:crossBetween val="midCat"/>
      </c:valAx>
      <c:spPr>
        <a:solidFill>
          <a:schemeClr val="bg1"/>
        </a:solidFill>
      </c:spPr>
    </c:plotArea>
    <c:plotVisOnly val="1"/>
    <c:dispBlanksAs val="gap"/>
    <c:showDLblsOverMax val="0"/>
  </c:chart>
  <c:spPr>
    <a:no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chartsheets/sheet1.xml><?xml version="1.0" encoding="utf-8"?>
<chart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r="http://schemas.microsoft.com/office/spreadsheetml/2014/revision" xmlns:xr3="http://schemas.microsoft.com/office/spreadsheetml/2016/revision3" mc:Ignorable="xr xr3" xr:uid="{00000000-0001-0000-0400-000000000000}">
  <sheetPr codeName="Graph5"/>
  <sheetViews>
    <sheetView workbookViewId="0"/>
  </sheetViews>
  <pageMargins left="0.19685039370078741" right="0.59055118110236227" top="0.39370078740157483" bottom="0.39370078740157483" header="0.51181102362204722" footer="0.51181102362204722"/>
  <pageSetup paperSize="9" firstPageNumber="5" orientation="portrait" useFirstPageNumber="1" r:id="rId1"/>
  <headerFooter alignWithMargins="0"/>
  <drawing r:id="rId2"/>
  <legacyDrawing r:id="rId3"/>
</chartsheet>
</file>

<file path=xl/chartsheets/sheet2.xml><?xml version="1.0" encoding="utf-8"?>
<chart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r="http://schemas.microsoft.com/office/spreadsheetml/2014/revision" xmlns:xr3="http://schemas.microsoft.com/office/spreadsheetml/2016/revision3" mc:Ignorable="xr xr3" xr:uid="{00000000-0001-0000-0700-000000000000}">
  <sheetPr codeName="Graph7"/>
  <sheetViews>
    <sheetView workbookViewId="0"/>
  </sheetViews>
  <pageMargins left="0.39370078740157483" right="0.39370078740157483" top="0.39370078740157483" bottom="0.25" header="0.51181102362204722" footer="0.28000000000000003"/>
  <pageSetup paperSize="9" firstPageNumber="4" orientation="portrait" useFirstPageNumber="1" r:id="rId1"/>
  <headerFooter alignWithMargins="0"/>
  <drawing r:id="rId2"/>
  <legacyDrawing r:id="rId3"/>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codeName="Graph18"/>
  <sheetViews>
    <sheetView workbookViewId="0"/>
  </sheetViews>
  <pageMargins left="0.64" right="0.56000000000000005" top="0.98425196850393704" bottom="0.76" header="0.51181102362204722" footer="0.51181102362204722"/>
  <pageSetup paperSize="9" firstPageNumber="3" orientation="portrait" useFirstPageNumber="1"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161925</xdr:rowOff>
    </xdr:from>
    <xdr:to>
      <xdr:col>10</xdr:col>
      <xdr:colOff>0</xdr:colOff>
      <xdr:row>3</xdr:row>
      <xdr:rowOff>114300</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609600" y="161925"/>
          <a:ext cx="5486400" cy="438150"/>
        </a:xfrm>
        <a:prstGeom prst="foldedCorner">
          <a:avLst>
            <a:gd name="adj" fmla="val 11523"/>
          </a:avLst>
        </a:prstGeom>
        <a:gradFill rotWithShape="1">
          <a:gsLst>
            <a:gs pos="0">
              <a:srgbClr val="F0F0F0">
                <a:gamma/>
                <a:shade val="46275"/>
                <a:invGamma/>
              </a:srgbClr>
            </a:gs>
            <a:gs pos="50000">
              <a:srgbClr val="F0F0F0">
                <a:alpha val="50000"/>
              </a:srgbClr>
            </a:gs>
            <a:gs pos="100000">
              <a:srgbClr val="F0F0F0">
                <a:gamma/>
                <a:shade val="46275"/>
                <a:invGamma/>
              </a:srgbClr>
            </a:gs>
          </a:gsLst>
          <a:lin ang="5400000" scaled="1"/>
        </a:gra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令和２年度　普通会計決算見込のポイント</a:t>
          </a:r>
        </a:p>
      </xdr:txBody>
    </xdr:sp>
    <xdr:clientData/>
  </xdr:twoCellAnchor>
  <mc:AlternateContent xmlns:mc="http://schemas.openxmlformats.org/markup-compatibility/2006">
    <mc:Choice xmlns:a14="http://schemas.microsoft.com/office/drawing/2010/main" Requires="a14">
      <xdr:oneCellAnchor>
        <xdr:from>
          <xdr:col>1</xdr:col>
          <xdr:colOff>19050</xdr:colOff>
          <xdr:row>136</xdr:row>
          <xdr:rowOff>19050</xdr:rowOff>
        </xdr:from>
        <xdr:ext cx="5961529" cy="2005853"/>
        <xdr:pic>
          <xdr:nvPicPr>
            <xdr:cNvPr id="3" name="Picture 1">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頁７データ!B3:G8" spid="_x0000_s402505"/>
                </a:ext>
              </a:extLst>
            </xdr:cNvPicPr>
          </xdr:nvPicPr>
          <xdr:blipFill>
            <a:blip xmlns:r="http://schemas.openxmlformats.org/officeDocument/2006/relationships" r:embed="rId1"/>
            <a:srcRect/>
            <a:stretch>
              <a:fillRect/>
            </a:stretch>
          </xdr:blipFill>
          <xdr:spPr bwMode="auto">
            <a:xfrm>
              <a:off x="209550" y="35080575"/>
              <a:ext cx="5961529" cy="2005853"/>
            </a:xfrm>
            <a:prstGeom prst="rect">
              <a:avLst/>
            </a:prstGeom>
            <a:noFill/>
            <a:ln>
              <a:noFill/>
            </a:ln>
            <a:extLst>
              <a:ext uri="{909E8E84-426E-40DD-AFC4-6F175D3DCCD1}">
                <a14:hiddenFill>
                  <a:solidFill>
                    <a:srgbClr val="FFFFFF" mc:Ignorable="a14" a14:legacySpreadsheetColorIndex="9">
                      <a:alpha val="89999"/>
                    </a:srgbClr>
                  </a:solidFill>
                </a14:hiddenFill>
              </a:ext>
              <a:ext uri="{91240B29-F687-4F45-9708-019B960494DF}">
                <a14:hiddenLine w="9525">
                  <a:solidFill>
                    <a:srgbClr val="000000" mc:Ignorable="a14" a14:legacySpreadsheetColorIndex="64"/>
                  </a:solidFill>
                  <a:miter lim="800000"/>
                  <a:headEnd/>
                  <a:tailEnd/>
                </a14:hiddenLine>
              </a:ext>
            </a:extLst>
          </xdr:spPr>
        </xdr:pic>
        <xdr:clientData/>
      </xdr:oneCellAnchor>
    </mc:Choice>
    <mc:Fallback/>
  </mc:AlternateContent>
  <xdr:twoCellAnchor>
    <xdr:from>
      <xdr:col>1</xdr:col>
      <xdr:colOff>8283</xdr:colOff>
      <xdr:row>10</xdr:row>
      <xdr:rowOff>220318</xdr:rowOff>
    </xdr:from>
    <xdr:to>
      <xdr:col>2</xdr:col>
      <xdr:colOff>43608</xdr:colOff>
      <xdr:row>13</xdr:row>
      <xdr:rowOff>57568</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617883" y="1782418"/>
          <a:ext cx="644925" cy="380175"/>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300" b="1">
              <a:latin typeface="メイリオ" panose="020B0604030504040204" pitchFamily="50" charset="-128"/>
              <a:ea typeface="メイリオ" panose="020B0604030504040204" pitchFamily="50" charset="-128"/>
            </a:rPr>
            <a:t>歳出</a:t>
          </a:r>
        </a:p>
      </xdr:txBody>
    </xdr:sp>
    <xdr:clientData/>
  </xdr:twoCellAnchor>
  <xdr:twoCellAnchor>
    <xdr:from>
      <xdr:col>1</xdr:col>
      <xdr:colOff>7039</xdr:colOff>
      <xdr:row>35</xdr:row>
      <xdr:rowOff>38100</xdr:rowOff>
    </xdr:from>
    <xdr:to>
      <xdr:col>2</xdr:col>
      <xdr:colOff>42364</xdr:colOff>
      <xdr:row>37</xdr:row>
      <xdr:rowOff>123000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616639" y="5705475"/>
          <a:ext cx="644925" cy="40875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72000" rIns="0" bIns="0" rtlCol="0" anchor="ctr" upright="1"/>
        <a:lstStyle/>
        <a:p>
          <a:pPr algn="ctr">
            <a:lnSpc>
              <a:spcPts val="1600"/>
            </a:lnSpc>
          </a:pPr>
          <a:r>
            <a:rPr kumimoji="1" lang="ja-JP" altLang="en-US" sz="1300" b="1">
              <a:latin typeface="メイリオ" panose="020B0604030504040204" pitchFamily="50" charset="-128"/>
              <a:ea typeface="メイリオ" panose="020B0604030504040204" pitchFamily="50" charset="-128"/>
            </a:rPr>
            <a:t>経常収支</a:t>
          </a:r>
          <a:endParaRPr kumimoji="1" lang="en-US" altLang="ja-JP" sz="1300" b="1">
            <a:latin typeface="メイリオ" panose="020B0604030504040204" pitchFamily="50" charset="-128"/>
            <a:ea typeface="メイリオ" panose="020B0604030504040204" pitchFamily="50" charset="-128"/>
          </a:endParaRPr>
        </a:p>
        <a:p>
          <a:pPr algn="ctr">
            <a:lnSpc>
              <a:spcPts val="1600"/>
            </a:lnSpc>
          </a:pPr>
          <a:r>
            <a:rPr kumimoji="1" lang="ja-JP" altLang="en-US" sz="1300" b="1">
              <a:latin typeface="メイリオ" panose="020B0604030504040204" pitchFamily="50" charset="-128"/>
              <a:ea typeface="メイリオ" panose="020B0604030504040204" pitchFamily="50" charset="-128"/>
            </a:rPr>
            <a:t>比　　率</a:t>
          </a:r>
        </a:p>
      </xdr:txBody>
    </xdr:sp>
    <xdr:clientData/>
  </xdr:twoCellAnchor>
  <xdr:twoCellAnchor>
    <xdr:from>
      <xdr:col>1</xdr:col>
      <xdr:colOff>8283</xdr:colOff>
      <xdr:row>43</xdr:row>
      <xdr:rowOff>39343</xdr:rowOff>
    </xdr:from>
    <xdr:to>
      <xdr:col>2</xdr:col>
      <xdr:colOff>43608</xdr:colOff>
      <xdr:row>45</xdr:row>
      <xdr:rowOff>124243</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617883" y="7002118"/>
          <a:ext cx="644925" cy="40875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72000" rIns="0" bIns="0" rtlCol="0" anchor="ctr" upright="1"/>
        <a:lstStyle/>
        <a:p>
          <a:pPr algn="ctr">
            <a:lnSpc>
              <a:spcPts val="1600"/>
            </a:lnSpc>
          </a:pPr>
          <a:r>
            <a:rPr kumimoji="1" lang="ja-JP" altLang="en-US" sz="1300" b="1">
              <a:latin typeface="メイリオ" panose="020B0604030504040204" pitchFamily="50" charset="-128"/>
              <a:ea typeface="メイリオ" panose="020B0604030504040204" pitchFamily="50" charset="-128"/>
            </a:rPr>
            <a:t>地方債</a:t>
          </a:r>
          <a:endParaRPr kumimoji="1" lang="en-US" altLang="ja-JP" sz="1300" b="1">
            <a:latin typeface="メイリオ" panose="020B0604030504040204" pitchFamily="50" charset="-128"/>
            <a:ea typeface="メイリオ" panose="020B0604030504040204" pitchFamily="50" charset="-128"/>
          </a:endParaRPr>
        </a:p>
        <a:p>
          <a:pPr algn="ctr">
            <a:lnSpc>
              <a:spcPts val="1600"/>
            </a:lnSpc>
          </a:pPr>
          <a:r>
            <a:rPr kumimoji="1" lang="ja-JP" altLang="en-US" sz="1300" b="1">
              <a:latin typeface="メイリオ" panose="020B0604030504040204" pitchFamily="50" charset="-128"/>
              <a:ea typeface="メイリオ" panose="020B0604030504040204" pitchFamily="50" charset="-128"/>
            </a:rPr>
            <a:t>残　高</a:t>
          </a:r>
        </a:p>
      </xdr:txBody>
    </xdr:sp>
    <xdr:clientData/>
  </xdr:twoCellAnchor>
  <xdr:twoCellAnchor>
    <xdr:from>
      <xdr:col>1</xdr:col>
      <xdr:colOff>8283</xdr:colOff>
      <xdr:row>29</xdr:row>
      <xdr:rowOff>1243</xdr:rowOff>
    </xdr:from>
    <xdr:to>
      <xdr:col>2</xdr:col>
      <xdr:colOff>43608</xdr:colOff>
      <xdr:row>31</xdr:row>
      <xdr:rowOff>9943</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617883" y="4697068"/>
          <a:ext cx="644925" cy="33255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300" b="1">
              <a:latin typeface="メイリオ" panose="020B0604030504040204" pitchFamily="50" charset="-128"/>
              <a:ea typeface="メイリオ" panose="020B0604030504040204" pitchFamily="50" charset="-128"/>
            </a:rPr>
            <a:t>実質収支</a:t>
          </a:r>
        </a:p>
      </xdr:txBody>
    </xdr:sp>
    <xdr:clientData/>
  </xdr:twoCellAnchor>
  <xdr:twoCellAnchor>
    <xdr:from>
      <xdr:col>1</xdr:col>
      <xdr:colOff>8283</xdr:colOff>
      <xdr:row>21</xdr:row>
      <xdr:rowOff>39343</xdr:rowOff>
    </xdr:from>
    <xdr:to>
      <xdr:col>2</xdr:col>
      <xdr:colOff>43608</xdr:colOff>
      <xdr:row>23</xdr:row>
      <xdr:rowOff>124243</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bwMode="auto">
        <a:xfrm>
          <a:off x="617883" y="3439768"/>
          <a:ext cx="644925" cy="40875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300" b="1">
              <a:latin typeface="メイリオ" panose="020B0604030504040204" pitchFamily="50" charset="-128"/>
              <a:ea typeface="メイリオ" panose="020B0604030504040204" pitchFamily="50" charset="-128"/>
            </a:rPr>
            <a:t>歳入</a:t>
          </a:r>
        </a:p>
      </xdr:txBody>
    </xdr:sp>
    <xdr:clientData/>
  </xdr:twoCellAnchor>
  <xdr:twoCellAnchor>
    <xdr:from>
      <xdr:col>1</xdr:col>
      <xdr:colOff>28574</xdr:colOff>
      <xdr:row>38</xdr:row>
      <xdr:rowOff>9524</xdr:rowOff>
    </xdr:from>
    <xdr:to>
      <xdr:col>2</xdr:col>
      <xdr:colOff>9525</xdr:colOff>
      <xdr:row>40</xdr:row>
      <xdr:rowOff>77474</xdr:rowOff>
    </xdr:to>
    <xdr:sp macro="" textlink="">
      <xdr:nvSpPr>
        <xdr:cNvPr id="9" name="大かっこ 8">
          <a:extLst>
            <a:ext uri="{FF2B5EF4-FFF2-40B4-BE49-F238E27FC236}">
              <a16:creationId xmlns:a16="http://schemas.microsoft.com/office/drawing/2014/main" id="{00000000-0008-0000-0300-000009000000}"/>
            </a:ext>
          </a:extLst>
        </xdr:cNvPr>
        <xdr:cNvSpPr/>
      </xdr:nvSpPr>
      <xdr:spPr bwMode="auto">
        <a:xfrm>
          <a:off x="638174" y="6162674"/>
          <a:ext cx="590551" cy="3918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36000" rIns="0" bIns="0" rtlCol="0" anchor="ctr" upright="1"/>
        <a:lstStyle/>
        <a:p>
          <a:pPr algn="ctr">
            <a:lnSpc>
              <a:spcPts val="1200"/>
            </a:lnSpc>
          </a:pPr>
          <a:r>
            <a:rPr kumimoji="1" lang="ja-JP" altLang="en-US" sz="1000">
              <a:latin typeface="メイリオ" panose="020B0604030504040204" pitchFamily="50" charset="-128"/>
              <a:ea typeface="メイリオ" panose="020B0604030504040204" pitchFamily="50" charset="-128"/>
            </a:rPr>
            <a:t>財 政 構 造</a:t>
          </a:r>
          <a:endParaRPr kumimoji="1" lang="en-US" altLang="ja-JP" sz="1000">
            <a:latin typeface="メイリオ" panose="020B0604030504040204" pitchFamily="50" charset="-128"/>
            <a:ea typeface="メイリオ" panose="020B0604030504040204" pitchFamily="50" charset="-128"/>
          </a:endParaRPr>
        </a:p>
        <a:p>
          <a:pPr algn="ctr">
            <a:lnSpc>
              <a:spcPts val="1200"/>
            </a:lnSpc>
          </a:pPr>
          <a:r>
            <a:rPr kumimoji="1" lang="ja-JP" altLang="en-US" sz="1000">
              <a:latin typeface="メイリオ" panose="020B0604030504040204" pitchFamily="50" charset="-128"/>
              <a:ea typeface="メイリオ" panose="020B0604030504040204" pitchFamily="50" charset="-128"/>
            </a:rPr>
            <a:t>の 弾 力 性</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0.19236</cdr:x>
      <cdr:y>0.19592</cdr:y>
    </cdr:from>
    <cdr:to>
      <cdr:x>0.27536</cdr:x>
      <cdr:y>0.23728</cdr:y>
    </cdr:to>
    <cdr:sp macro="" textlink="">
      <cdr:nvSpPr>
        <cdr:cNvPr id="2" name="正方形/長方形 1"/>
        <cdr:cNvSpPr/>
      </cdr:nvSpPr>
      <cdr:spPr bwMode="auto">
        <a:xfrm xmlns:a="http://schemas.openxmlformats.org/drawingml/2006/main">
          <a:off x="1390662" y="895761"/>
          <a:ext cx="600046" cy="189098"/>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defRPr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defRPr>
          </a:pPr>
          <a:r>
            <a:rPr lang="en-US" altLang="ja-JP" sz="700" b="0" i="0" u="none" strike="noStrike" kern="1200" baseline="0">
              <a:solidFill>
                <a:srgbClr val="000000"/>
              </a:solidFill>
              <a:latin typeface="Meiryo UI" panose="020B0604030504040204" pitchFamily="50" charset="-128"/>
              <a:ea typeface="Meiryo UI" panose="020B0604030504040204" pitchFamily="50" charset="-128"/>
              <a:cs typeface="ＭＳ Ｐゴシック"/>
            </a:rPr>
            <a:t>0.04</a:t>
          </a:r>
          <a:r>
            <a:rPr lang="ja-JP" altLang="en-US" sz="700" b="0" i="0" u="none" strike="noStrike" kern="1200" baseline="0">
              <a:solidFill>
                <a:srgbClr val="000000"/>
              </a:solidFill>
              <a:latin typeface="Meiryo UI" panose="020B0604030504040204" pitchFamily="50" charset="-128"/>
              <a:ea typeface="Meiryo UI" panose="020B0604030504040204" pitchFamily="50" charset="-128"/>
              <a:cs typeface="ＭＳ Ｐゴシック"/>
            </a:rPr>
            <a:t>％</a:t>
          </a:r>
          <a:endParaRPr lang="ja-JP" sz="700" b="0" i="0" u="none" strike="noStrike" kern="1200" baseline="0">
            <a:solidFill>
              <a:srgbClr val="000000"/>
            </a:solidFill>
            <a:latin typeface="Meiryo UI" panose="020B0604030504040204" pitchFamily="50" charset="-128"/>
            <a:ea typeface="Meiryo UI" panose="020B0604030504040204" pitchFamily="50" charset="-128"/>
            <a:cs typeface="ＭＳ Ｐゴシック"/>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6353175" cy="8982075"/>
    <xdr:graphicFrame macro="">
      <xdr:nvGraphicFramePr>
        <xdr:cNvPr id="2" name="グラフ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0.9024</cdr:x>
      <cdr:y>0.18337</cdr:y>
    </cdr:from>
    <cdr:to>
      <cdr:x>0.98373</cdr:x>
      <cdr:y>0.20891</cdr:y>
    </cdr:to>
    <cdr:sp macro="" textlink="">
      <cdr:nvSpPr>
        <cdr:cNvPr id="21509" name="Text Box 5"/>
        <cdr:cNvSpPr txBox="1">
          <a:spLocks xmlns:a="http://schemas.openxmlformats.org/drawingml/2006/main" noChangeArrowheads="1"/>
        </cdr:cNvSpPr>
      </cdr:nvSpPr>
      <cdr:spPr bwMode="auto">
        <a:xfrm xmlns:a="http://schemas.openxmlformats.org/drawingml/2006/main">
          <a:off x="5724525" y="1647051"/>
          <a:ext cx="515888" cy="2293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271.2</a:t>
          </a:r>
        </a:p>
      </cdr:txBody>
    </cdr:sp>
  </cdr:relSizeAnchor>
  <cdr:relSizeAnchor xmlns:cdr="http://schemas.openxmlformats.org/drawingml/2006/chartDrawing">
    <cdr:from>
      <cdr:x>0.90991</cdr:x>
      <cdr:y>0.56935</cdr:y>
    </cdr:from>
    <cdr:to>
      <cdr:x>0.98325</cdr:x>
      <cdr:y>0.59809</cdr:y>
    </cdr:to>
    <cdr:sp macro="" textlink="">
      <cdr:nvSpPr>
        <cdr:cNvPr id="21511" name="Text Box 7"/>
        <cdr:cNvSpPr txBox="1">
          <a:spLocks xmlns:a="http://schemas.openxmlformats.org/drawingml/2006/main" noChangeArrowheads="1"/>
        </cdr:cNvSpPr>
      </cdr:nvSpPr>
      <cdr:spPr bwMode="auto">
        <a:xfrm xmlns:a="http://schemas.openxmlformats.org/drawingml/2006/main">
          <a:off x="5772150" y="5113948"/>
          <a:ext cx="465250" cy="25815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134.4</a:t>
          </a:r>
        </a:p>
      </cdr:txBody>
    </cdr:sp>
  </cdr:relSizeAnchor>
  <cdr:relSizeAnchor xmlns:cdr="http://schemas.openxmlformats.org/drawingml/2006/chartDrawing">
    <cdr:from>
      <cdr:x>0.92149</cdr:x>
      <cdr:y>0.65749</cdr:y>
    </cdr:from>
    <cdr:to>
      <cdr:x>0.98799</cdr:x>
      <cdr:y>0.6791</cdr:y>
    </cdr:to>
    <cdr:sp macro="" textlink="">
      <cdr:nvSpPr>
        <cdr:cNvPr id="21512" name="Text Box 8"/>
        <cdr:cNvSpPr txBox="1">
          <a:spLocks xmlns:a="http://schemas.openxmlformats.org/drawingml/2006/main" noChangeArrowheads="1"/>
        </cdr:cNvSpPr>
      </cdr:nvSpPr>
      <cdr:spPr bwMode="auto">
        <a:xfrm xmlns:a="http://schemas.openxmlformats.org/drawingml/2006/main">
          <a:off x="5845597" y="5905584"/>
          <a:ext cx="421853" cy="19410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95.8</a:t>
          </a:r>
        </a:p>
      </cdr:txBody>
    </cdr:sp>
  </cdr:relSizeAnchor>
  <cdr:relSizeAnchor xmlns:cdr="http://schemas.openxmlformats.org/drawingml/2006/chartDrawing">
    <cdr:from>
      <cdr:x>0.91974</cdr:x>
      <cdr:y>0.69964</cdr:y>
    </cdr:from>
    <cdr:to>
      <cdr:x>0.98498</cdr:x>
      <cdr:y>0.72641</cdr:y>
    </cdr:to>
    <cdr:sp macro="" textlink="">
      <cdr:nvSpPr>
        <cdr:cNvPr id="21513" name="Text Box 9"/>
        <cdr:cNvSpPr txBox="1">
          <a:spLocks xmlns:a="http://schemas.openxmlformats.org/drawingml/2006/main" noChangeArrowheads="1"/>
        </cdr:cNvSpPr>
      </cdr:nvSpPr>
      <cdr:spPr bwMode="auto">
        <a:xfrm xmlns:a="http://schemas.openxmlformats.org/drawingml/2006/main">
          <a:off x="5834477" y="6284199"/>
          <a:ext cx="413923" cy="2404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91.7</a:t>
          </a:r>
        </a:p>
      </cdr:txBody>
    </cdr:sp>
  </cdr:relSizeAnchor>
  <cdr:relSizeAnchor xmlns:cdr="http://schemas.openxmlformats.org/drawingml/2006/chartDrawing">
    <cdr:from>
      <cdr:x>0.91923</cdr:x>
      <cdr:y>0.77978</cdr:y>
    </cdr:from>
    <cdr:to>
      <cdr:x>0.98498</cdr:x>
      <cdr:y>0.80128</cdr:y>
    </cdr:to>
    <cdr:sp macro="" textlink="">
      <cdr:nvSpPr>
        <cdr:cNvPr id="21514" name="Text Box 10"/>
        <cdr:cNvSpPr txBox="1">
          <a:spLocks xmlns:a="http://schemas.openxmlformats.org/drawingml/2006/main" noChangeArrowheads="1"/>
        </cdr:cNvSpPr>
      </cdr:nvSpPr>
      <cdr:spPr bwMode="auto">
        <a:xfrm xmlns:a="http://schemas.openxmlformats.org/drawingml/2006/main">
          <a:off x="5831305" y="7004034"/>
          <a:ext cx="417095" cy="19311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59.8</a:t>
          </a:r>
        </a:p>
      </cdr:txBody>
    </cdr:sp>
  </cdr:relSizeAnchor>
  <cdr:relSizeAnchor xmlns:cdr="http://schemas.openxmlformats.org/drawingml/2006/chartDrawing">
    <cdr:from>
      <cdr:x>0.92747</cdr:x>
      <cdr:y>0.87381</cdr:y>
    </cdr:from>
    <cdr:to>
      <cdr:x>0.98847</cdr:x>
      <cdr:y>0.89592</cdr:y>
    </cdr:to>
    <cdr:sp macro="" textlink="">
      <cdr:nvSpPr>
        <cdr:cNvPr id="21515" name="Text Box 11"/>
        <cdr:cNvSpPr txBox="1">
          <a:spLocks xmlns:a="http://schemas.openxmlformats.org/drawingml/2006/main" noChangeArrowheads="1"/>
        </cdr:cNvSpPr>
      </cdr:nvSpPr>
      <cdr:spPr bwMode="auto">
        <a:xfrm xmlns:a="http://schemas.openxmlformats.org/drawingml/2006/main">
          <a:off x="5883551" y="7848587"/>
          <a:ext cx="386963" cy="19859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36.3</a:t>
          </a:r>
        </a:p>
      </cdr:txBody>
    </cdr:sp>
  </cdr:relSizeAnchor>
  <cdr:relSizeAnchor xmlns:cdr="http://schemas.openxmlformats.org/drawingml/2006/chartDrawing">
    <cdr:from>
      <cdr:x>0.90156</cdr:x>
      <cdr:y>0.16559</cdr:y>
    </cdr:from>
    <cdr:to>
      <cdr:x>0.99506</cdr:x>
      <cdr:y>0.18934</cdr:y>
    </cdr:to>
    <cdr:sp macro="" textlink="">
      <cdr:nvSpPr>
        <cdr:cNvPr id="21516" name="Text Box 12"/>
        <cdr:cNvSpPr txBox="1">
          <a:spLocks xmlns:a="http://schemas.openxmlformats.org/drawingml/2006/main" noChangeArrowheads="1"/>
        </cdr:cNvSpPr>
      </cdr:nvSpPr>
      <cdr:spPr bwMode="auto">
        <a:xfrm xmlns:a="http://schemas.openxmlformats.org/drawingml/2006/main">
          <a:off x="5719181" y="1487342"/>
          <a:ext cx="593131" cy="213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扶助費</a:t>
          </a:r>
        </a:p>
      </cdr:txBody>
    </cdr:sp>
  </cdr:relSizeAnchor>
  <cdr:relSizeAnchor xmlns:cdr="http://schemas.openxmlformats.org/drawingml/2006/chartDrawing">
    <cdr:from>
      <cdr:x>0.90809</cdr:x>
      <cdr:y>0.54906</cdr:y>
    </cdr:from>
    <cdr:to>
      <cdr:x>1</cdr:x>
      <cdr:y>0.57198</cdr:y>
    </cdr:to>
    <cdr:sp macro="" textlink="">
      <cdr:nvSpPr>
        <cdr:cNvPr id="21518" name="Text Box 14"/>
        <cdr:cNvSpPr txBox="1">
          <a:spLocks xmlns:a="http://schemas.openxmlformats.org/drawingml/2006/main" noChangeArrowheads="1"/>
        </cdr:cNvSpPr>
      </cdr:nvSpPr>
      <cdr:spPr bwMode="auto">
        <a:xfrm xmlns:a="http://schemas.openxmlformats.org/drawingml/2006/main">
          <a:off x="5760605" y="4931698"/>
          <a:ext cx="583045" cy="20586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公債費</a:t>
          </a:r>
        </a:p>
      </cdr:txBody>
    </cdr:sp>
  </cdr:relSizeAnchor>
  <cdr:relSizeAnchor xmlns:cdr="http://schemas.openxmlformats.org/drawingml/2006/chartDrawing">
    <cdr:from>
      <cdr:x>0.82132</cdr:x>
      <cdr:y>0.63945</cdr:y>
    </cdr:from>
    <cdr:to>
      <cdr:x>0.99099</cdr:x>
      <cdr:y>0.66808</cdr:y>
    </cdr:to>
    <cdr:sp macro="" textlink="">
      <cdr:nvSpPr>
        <cdr:cNvPr id="21519" name="Text Box 15"/>
        <cdr:cNvSpPr txBox="1">
          <a:spLocks xmlns:a="http://schemas.openxmlformats.org/drawingml/2006/main" noChangeArrowheads="1"/>
        </cdr:cNvSpPr>
      </cdr:nvSpPr>
      <cdr:spPr bwMode="auto">
        <a:xfrm xmlns:a="http://schemas.openxmlformats.org/drawingml/2006/main">
          <a:off x="5210137" y="5743576"/>
          <a:ext cx="1076363" cy="2571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地方税（市税）</a:t>
          </a:r>
        </a:p>
      </cdr:txBody>
    </cdr:sp>
  </cdr:relSizeAnchor>
  <cdr:relSizeAnchor xmlns:cdr="http://schemas.openxmlformats.org/drawingml/2006/chartDrawing">
    <cdr:from>
      <cdr:x>0.90925</cdr:x>
      <cdr:y>0.68065</cdr:y>
    </cdr:from>
    <cdr:to>
      <cdr:x>1</cdr:x>
      <cdr:y>0.7105</cdr:y>
    </cdr:to>
    <cdr:sp macro="" textlink="">
      <cdr:nvSpPr>
        <cdr:cNvPr id="21520" name="Text Box 16"/>
        <cdr:cNvSpPr txBox="1">
          <a:spLocks xmlns:a="http://schemas.openxmlformats.org/drawingml/2006/main" noChangeArrowheads="1"/>
        </cdr:cNvSpPr>
      </cdr:nvSpPr>
      <cdr:spPr bwMode="auto">
        <a:xfrm xmlns:a="http://schemas.openxmlformats.org/drawingml/2006/main">
          <a:off x="5767960" y="6113621"/>
          <a:ext cx="575690" cy="26812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人件費</a:t>
          </a:r>
        </a:p>
      </cdr:txBody>
    </cdr:sp>
  </cdr:relSizeAnchor>
  <cdr:relSizeAnchor xmlns:cdr="http://schemas.openxmlformats.org/drawingml/2006/chartDrawing">
    <cdr:from>
      <cdr:x>0.78228</cdr:x>
      <cdr:y>0.72845</cdr:y>
    </cdr:from>
    <cdr:to>
      <cdr:x>1</cdr:x>
      <cdr:y>0.79215</cdr:y>
    </cdr:to>
    <cdr:sp macro="" textlink="">
      <cdr:nvSpPr>
        <cdr:cNvPr id="21522" name="Text Box 18"/>
        <cdr:cNvSpPr txBox="1">
          <a:spLocks xmlns:a="http://schemas.openxmlformats.org/drawingml/2006/main" noChangeArrowheads="1"/>
        </cdr:cNvSpPr>
      </cdr:nvSpPr>
      <cdr:spPr bwMode="auto">
        <a:xfrm xmlns:a="http://schemas.openxmlformats.org/drawingml/2006/main">
          <a:off x="4962525" y="6543030"/>
          <a:ext cx="1381125" cy="57214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固定資産税（土地）</a:t>
          </a:r>
        </a:p>
        <a:p xmlns:a="http://schemas.openxmlformats.org/drawingml/2006/main">
          <a:pPr algn="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都市計画税（土地）</a:t>
          </a:r>
        </a:p>
      </cdr:txBody>
    </cdr:sp>
  </cdr:relSizeAnchor>
  <cdr:relSizeAnchor xmlns:cdr="http://schemas.openxmlformats.org/drawingml/2006/chartDrawing">
    <cdr:from>
      <cdr:x>0.87325</cdr:x>
      <cdr:y>0.85416</cdr:y>
    </cdr:from>
    <cdr:to>
      <cdr:x>1</cdr:x>
      <cdr:y>0.87466</cdr:y>
    </cdr:to>
    <cdr:sp macro="" textlink="">
      <cdr:nvSpPr>
        <cdr:cNvPr id="21523" name="Text Box 19"/>
        <cdr:cNvSpPr txBox="1">
          <a:spLocks xmlns:a="http://schemas.openxmlformats.org/drawingml/2006/main" noChangeArrowheads="1"/>
        </cdr:cNvSpPr>
      </cdr:nvSpPr>
      <cdr:spPr bwMode="auto">
        <a:xfrm xmlns:a="http://schemas.openxmlformats.org/drawingml/2006/main">
          <a:off x="5539592" y="7672089"/>
          <a:ext cx="804058" cy="18413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投資的経費</a:t>
          </a:r>
        </a:p>
      </cdr:txBody>
    </cdr:sp>
  </cdr:relSizeAnchor>
</c:userShapes>
</file>

<file path=xl/drawings/drawing13.xml><?xml version="1.0" encoding="utf-8"?>
<xdr:wsDr xmlns:xdr="http://schemas.openxmlformats.org/drawingml/2006/spreadsheetDrawing" xmlns:a="http://schemas.openxmlformats.org/drawingml/2006/main">
  <xdr:twoCellAnchor>
    <xdr:from>
      <xdr:col>2</xdr:col>
      <xdr:colOff>581025</xdr:colOff>
      <xdr:row>9</xdr:row>
      <xdr:rowOff>38100</xdr:rowOff>
    </xdr:from>
    <xdr:to>
      <xdr:col>2</xdr:col>
      <xdr:colOff>647700</xdr:colOff>
      <xdr:row>15</xdr:row>
      <xdr:rowOff>0</xdr:rowOff>
    </xdr:to>
    <xdr:sp macro="" textlink="">
      <xdr:nvSpPr>
        <xdr:cNvPr id="2" name="AutoShape 1">
          <a:extLst>
            <a:ext uri="{FF2B5EF4-FFF2-40B4-BE49-F238E27FC236}">
              <a16:creationId xmlns:a16="http://schemas.microsoft.com/office/drawing/2014/main" id="{00000000-0008-0000-1100-000002000000}"/>
            </a:ext>
          </a:extLst>
        </xdr:cNvPr>
        <xdr:cNvSpPr>
          <a:spLocks/>
        </xdr:cNvSpPr>
      </xdr:nvSpPr>
      <xdr:spPr bwMode="auto">
        <a:xfrm>
          <a:off x="1800225" y="1495425"/>
          <a:ext cx="28575" cy="933450"/>
        </a:xfrm>
        <a:prstGeom prst="leftBracket">
          <a:avLst>
            <a:gd name="adj" fmla="val 125926"/>
          </a:avLst>
        </a:prstGeom>
        <a:noFill/>
        <a:ln w="9525">
          <a:solidFill>
            <a:srgbClr val="000000"/>
          </a:solidFill>
          <a:round/>
          <a:headEnd/>
          <a:tailEnd/>
        </a:ln>
      </xdr:spPr>
    </xdr:sp>
    <xdr:clientData/>
  </xdr:twoCellAnchor>
  <xdr:twoCellAnchor>
    <xdr:from>
      <xdr:col>4</xdr:col>
      <xdr:colOff>152399</xdr:colOff>
      <xdr:row>18</xdr:row>
      <xdr:rowOff>161927</xdr:rowOff>
    </xdr:from>
    <xdr:to>
      <xdr:col>7</xdr:col>
      <xdr:colOff>485774</xdr:colOff>
      <xdr:row>21</xdr:row>
      <xdr:rowOff>85725</xdr:rowOff>
    </xdr:to>
    <xdr:sp macro="" textlink="">
      <xdr:nvSpPr>
        <xdr:cNvPr id="3" name="AutoShape 2">
          <a:extLst>
            <a:ext uri="{FF2B5EF4-FFF2-40B4-BE49-F238E27FC236}">
              <a16:creationId xmlns:a16="http://schemas.microsoft.com/office/drawing/2014/main" id="{00000000-0008-0000-1100-000003000000}"/>
            </a:ext>
          </a:extLst>
        </xdr:cNvPr>
        <xdr:cNvSpPr>
          <a:spLocks noChangeArrowheads="1"/>
        </xdr:cNvSpPr>
      </xdr:nvSpPr>
      <xdr:spPr bwMode="auto">
        <a:xfrm>
          <a:off x="2590799" y="3076577"/>
          <a:ext cx="2162175" cy="409573"/>
        </a:xfrm>
        <a:prstGeom prst="bracketPair">
          <a:avLst>
            <a:gd name="adj" fmla="val 16667"/>
          </a:avLst>
        </a:prstGeom>
        <a:noFill/>
        <a:ln w="9525">
          <a:solidFill>
            <a:srgbClr val="000000"/>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xdr:row>
      <xdr:rowOff>19050</xdr:rowOff>
    </xdr:from>
    <xdr:to>
      <xdr:col>2</xdr:col>
      <xdr:colOff>0</xdr:colOff>
      <xdr:row>5</xdr:row>
      <xdr:rowOff>0</xdr:rowOff>
    </xdr:to>
    <xdr:sp macro="" textlink="">
      <xdr:nvSpPr>
        <xdr:cNvPr id="2" name="Line 1">
          <a:extLst>
            <a:ext uri="{FF2B5EF4-FFF2-40B4-BE49-F238E27FC236}">
              <a16:creationId xmlns:a16="http://schemas.microsoft.com/office/drawing/2014/main" id="{00000000-0008-0000-1200-000002000000}"/>
            </a:ext>
          </a:extLst>
        </xdr:cNvPr>
        <xdr:cNvSpPr>
          <a:spLocks noChangeShapeType="1"/>
        </xdr:cNvSpPr>
      </xdr:nvSpPr>
      <xdr:spPr bwMode="auto">
        <a:xfrm flipH="1">
          <a:off x="657225" y="504825"/>
          <a:ext cx="657225" cy="304800"/>
        </a:xfrm>
        <a:prstGeom prst="line">
          <a:avLst/>
        </a:prstGeom>
        <a:noFill/>
        <a:ln w="9525">
          <a:solidFill>
            <a:srgbClr val="000000"/>
          </a:solidFill>
          <a:round/>
          <a:headEnd/>
          <a:tailEnd/>
        </a:ln>
      </xdr:spPr>
    </xdr:sp>
    <xdr:clientData/>
  </xdr:twoCellAnchor>
  <xdr:twoCellAnchor>
    <xdr:from>
      <xdr:col>10</xdr:col>
      <xdr:colOff>57150</xdr:colOff>
      <xdr:row>2</xdr:row>
      <xdr:rowOff>133350</xdr:rowOff>
    </xdr:from>
    <xdr:to>
      <xdr:col>17</xdr:col>
      <xdr:colOff>504825</xdr:colOff>
      <xdr:row>4</xdr:row>
      <xdr:rowOff>266700</xdr:rowOff>
    </xdr:to>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6629400" y="457200"/>
          <a:ext cx="5048250" cy="352425"/>
        </a:xfrm>
        <a:prstGeom prst="rect">
          <a:avLst/>
        </a:prstGeom>
        <a:solidFill>
          <a:srgbClr val="00FFFF"/>
        </a:solidFill>
        <a:ln w="9525">
          <a:solidFill>
            <a:srgbClr val="000000"/>
          </a:solidFill>
          <a:miter lim="800000"/>
          <a:headEnd/>
          <a:tailEnd/>
        </a:ln>
      </xdr:spPr>
      <xdr:txBody>
        <a:bodyPr vertOverflow="clip" wrap="square" lIns="36576" tIns="18288" rIns="0" bIns="0" anchor="ctr" upright="1"/>
        <a:lstStyle/>
        <a:p>
          <a:pPr algn="l" rtl="0">
            <a:defRPr sz="1000"/>
          </a:pPr>
          <a:r>
            <a:rPr lang="en-US" altLang="ja-JP" sz="1050" b="1" i="0" u="none" strike="noStrike" baseline="0">
              <a:solidFill>
                <a:srgbClr val="000000"/>
              </a:solidFill>
              <a:latin typeface="明朝体"/>
            </a:rPr>
            <a:t>②KS</a:t>
          </a:r>
          <a:r>
            <a:rPr lang="ja-JP" altLang="en-US" sz="1050" b="1" i="0" u="none" strike="noStrike" baseline="0">
              <a:solidFill>
                <a:srgbClr val="000000"/>
              </a:solidFill>
              <a:latin typeface="明朝体"/>
            </a:rPr>
            <a:t>月報の現年総計を入力する。</a:t>
          </a:r>
        </a:p>
        <a:p>
          <a:pPr algn="l" rtl="0">
            <a:defRPr sz="1000"/>
          </a:pPr>
          <a:r>
            <a:rPr lang="ja-JP" altLang="en-US" sz="1050" b="1" i="0" u="none" strike="noStrike" baseline="0">
              <a:solidFill>
                <a:srgbClr val="000000"/>
              </a:solidFill>
              <a:latin typeface="明朝体"/>
            </a:rPr>
            <a:t>単位が異なるため、変更が必要。</a:t>
          </a:r>
        </a:p>
      </xdr:txBody>
    </xdr:sp>
    <xdr:clientData/>
  </xdr:twoCellAnchor>
  <xdr:twoCellAnchor>
    <xdr:from>
      <xdr:col>10</xdr:col>
      <xdr:colOff>57150</xdr:colOff>
      <xdr:row>0</xdr:row>
      <xdr:rowOff>19050</xdr:rowOff>
    </xdr:from>
    <xdr:to>
      <xdr:col>17</xdr:col>
      <xdr:colOff>504825</xdr:colOff>
      <xdr:row>2</xdr:row>
      <xdr:rowOff>104775</xdr:rowOff>
    </xdr:to>
    <xdr:sp macro="" textlink="">
      <xdr:nvSpPr>
        <xdr:cNvPr id="4" name="Rectangle 2">
          <a:extLst>
            <a:ext uri="{FF2B5EF4-FFF2-40B4-BE49-F238E27FC236}">
              <a16:creationId xmlns:a16="http://schemas.microsoft.com/office/drawing/2014/main" id="{00000000-0008-0000-1200-000004000000}"/>
            </a:ext>
          </a:extLst>
        </xdr:cNvPr>
        <xdr:cNvSpPr>
          <a:spLocks noChangeArrowheads="1"/>
        </xdr:cNvSpPr>
      </xdr:nvSpPr>
      <xdr:spPr bwMode="auto">
        <a:xfrm>
          <a:off x="6629400" y="19050"/>
          <a:ext cx="5048250" cy="409575"/>
        </a:xfrm>
        <a:prstGeom prst="rect">
          <a:avLst/>
        </a:prstGeom>
        <a:solidFill>
          <a:srgbClr val="FFFF00"/>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050" b="1" i="0" u="none" strike="noStrike" baseline="0">
              <a:solidFill>
                <a:srgbClr val="000000"/>
              </a:solidFill>
              <a:latin typeface="明朝体"/>
            </a:rPr>
            <a:t>統計システム収納管理</a:t>
          </a:r>
          <a:r>
            <a:rPr lang="en-US" altLang="ja-JP" sz="1050" b="1" i="0" u="none" strike="noStrike" baseline="0">
              <a:solidFill>
                <a:srgbClr val="000000"/>
              </a:solidFill>
              <a:latin typeface="明朝体"/>
            </a:rPr>
            <a:t>-</a:t>
          </a:r>
          <a:r>
            <a:rPr lang="ja-JP" altLang="en-US" sz="1050" b="1" i="0" u="none" strike="noStrike" baseline="0">
              <a:solidFill>
                <a:srgbClr val="000000"/>
              </a:solidFill>
              <a:latin typeface="明朝体"/>
            </a:rPr>
            <a:t>「滞納繰越賦課年度別」で最新年度</a:t>
          </a:r>
          <a:r>
            <a:rPr lang="en-US" altLang="ja-JP" sz="1050" b="1" i="0" u="none" strike="noStrike" baseline="0">
              <a:solidFill>
                <a:srgbClr val="000000"/>
              </a:solidFill>
              <a:latin typeface="明朝体"/>
            </a:rPr>
            <a:t>-</a:t>
          </a:r>
          <a:r>
            <a:rPr lang="ja-JP" altLang="en-US" sz="1050" b="1" i="0" u="none" strike="noStrike" baseline="0">
              <a:solidFill>
                <a:srgbClr val="000000"/>
              </a:solidFill>
              <a:latin typeface="明朝体"/>
            </a:rPr>
            <a:t>検索条件「全市計」</a:t>
          </a:r>
          <a:endParaRPr lang="en-US" altLang="ja-JP" sz="1050" b="1" i="0" u="none" strike="noStrike" baseline="0">
            <a:solidFill>
              <a:srgbClr val="000000"/>
            </a:solidFill>
            <a:latin typeface="明朝体"/>
          </a:endParaRPr>
        </a:p>
        <a:p>
          <a:pPr algn="l" rtl="0">
            <a:defRPr sz="1000"/>
          </a:pPr>
          <a:r>
            <a:rPr lang="ja-JP" altLang="en-US" sz="1050" b="1" i="0" u="none" strike="noStrike" baseline="0">
              <a:solidFill>
                <a:srgbClr val="000000"/>
              </a:solidFill>
              <a:latin typeface="明朝体"/>
            </a:rPr>
            <a:t>①黄色の所の収入だけをとってくる。</a:t>
          </a:r>
        </a:p>
        <a:p>
          <a:pPr algn="l" rtl="0">
            <a:defRPr sz="1000"/>
          </a:pPr>
          <a:r>
            <a:rPr lang="ja-JP" altLang="en-US" sz="1050" b="1" i="0" u="none" strike="noStrike" baseline="0">
              <a:solidFill>
                <a:srgbClr val="000000"/>
              </a:solidFill>
              <a:latin typeface="明朝体"/>
            </a:rPr>
            <a:t>　単位が異なるため、変更が必要。</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6734175" cy="9858375"/>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0.49456</cdr:x>
      <cdr:y>0.05182</cdr:y>
    </cdr:from>
    <cdr:to>
      <cdr:x>0.90426</cdr:x>
      <cdr:y>0.0905</cdr:y>
    </cdr:to>
    <cdr:sp macro="" textlink="">
      <cdr:nvSpPr>
        <cdr:cNvPr id="94209" name="Text Box 1"/>
        <cdr:cNvSpPr txBox="1">
          <a:spLocks xmlns:a="http://schemas.openxmlformats.org/drawingml/2006/main" noChangeArrowheads="1"/>
        </cdr:cNvSpPr>
      </cdr:nvSpPr>
      <cdr:spPr bwMode="auto">
        <a:xfrm xmlns:a="http://schemas.openxmlformats.org/drawingml/2006/main">
          <a:off x="3330466" y="512380"/>
          <a:ext cx="2758965" cy="38239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0.86962</cdr:x>
      <cdr:y>0.29328</cdr:y>
    </cdr:from>
    <cdr:to>
      <cdr:x>0.90775</cdr:x>
      <cdr:y>0.29412</cdr:y>
    </cdr:to>
    <cdr:sp macro="" textlink="">
      <cdr:nvSpPr>
        <cdr:cNvPr id="94210" name="Line 2"/>
        <cdr:cNvSpPr>
          <a:spLocks xmlns:a="http://schemas.openxmlformats.org/drawingml/2006/main" noChangeShapeType="1"/>
        </cdr:cNvSpPr>
      </cdr:nvSpPr>
      <cdr:spPr bwMode="auto">
        <a:xfrm xmlns:a="http://schemas.openxmlformats.org/drawingml/2006/main" flipH="1">
          <a:off x="5855812" y="2890653"/>
          <a:ext cx="256759" cy="827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0.87577</cdr:x>
      <cdr:y>0.40852</cdr:y>
    </cdr:from>
    <cdr:to>
      <cdr:x>0.90829</cdr:x>
      <cdr:y>0.43025</cdr:y>
    </cdr:to>
    <cdr:sp macro="" textlink="">
      <cdr:nvSpPr>
        <cdr:cNvPr id="94211" name="Line 3"/>
        <cdr:cNvSpPr>
          <a:spLocks xmlns:a="http://schemas.openxmlformats.org/drawingml/2006/main" noChangeShapeType="1"/>
        </cdr:cNvSpPr>
      </cdr:nvSpPr>
      <cdr:spPr bwMode="auto">
        <a:xfrm xmlns:a="http://schemas.openxmlformats.org/drawingml/2006/main" flipH="1">
          <a:off x="5897217" y="4026487"/>
          <a:ext cx="218990" cy="2142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0.87901</cdr:x>
      <cdr:y>0.50252</cdr:y>
    </cdr:from>
    <cdr:to>
      <cdr:x>0.90724</cdr:x>
      <cdr:y>0.52481</cdr:y>
    </cdr:to>
    <cdr:sp macro="" textlink="">
      <cdr:nvSpPr>
        <cdr:cNvPr id="94212" name="Line 4"/>
        <cdr:cNvSpPr>
          <a:spLocks xmlns:a="http://schemas.openxmlformats.org/drawingml/2006/main" noChangeShapeType="1"/>
        </cdr:cNvSpPr>
      </cdr:nvSpPr>
      <cdr:spPr bwMode="auto">
        <a:xfrm xmlns:a="http://schemas.openxmlformats.org/drawingml/2006/main" flipH="1" flipV="1">
          <a:off x="5897216" y="4952999"/>
          <a:ext cx="189395" cy="21964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0.87331</cdr:x>
      <cdr:y>0.64034</cdr:y>
    </cdr:from>
    <cdr:to>
      <cdr:x>0.90898</cdr:x>
      <cdr:y>0.64118</cdr:y>
    </cdr:to>
    <cdr:sp macro="" textlink="">
      <cdr:nvSpPr>
        <cdr:cNvPr id="94213" name="Line 5"/>
        <cdr:cNvSpPr>
          <a:spLocks xmlns:a="http://schemas.openxmlformats.org/drawingml/2006/main" noChangeShapeType="1"/>
        </cdr:cNvSpPr>
      </cdr:nvSpPr>
      <cdr:spPr bwMode="auto">
        <a:xfrm xmlns:a="http://schemas.openxmlformats.org/drawingml/2006/main" flipH="1" flipV="1">
          <a:off x="5880652" y="6311347"/>
          <a:ext cx="240202" cy="831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0.87208</cdr:x>
      <cdr:y>0.75798</cdr:y>
    </cdr:from>
    <cdr:to>
      <cdr:x>0.90775</cdr:x>
      <cdr:y>0.75882</cdr:y>
    </cdr:to>
    <cdr:sp macro="" textlink="">
      <cdr:nvSpPr>
        <cdr:cNvPr id="94214" name="Line 6"/>
        <cdr:cNvSpPr>
          <a:spLocks xmlns:a="http://schemas.openxmlformats.org/drawingml/2006/main" noChangeShapeType="1"/>
        </cdr:cNvSpPr>
      </cdr:nvSpPr>
      <cdr:spPr bwMode="auto">
        <a:xfrm xmlns:a="http://schemas.openxmlformats.org/drawingml/2006/main" flipH="1">
          <a:off x="5872379" y="7470891"/>
          <a:ext cx="240193" cy="828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0.14819</cdr:x>
      <cdr:y>0.1691</cdr:y>
    </cdr:from>
    <cdr:to>
      <cdr:x>0.23944</cdr:x>
      <cdr:y>0.20985</cdr:y>
    </cdr:to>
    <cdr:sp macro="" textlink="">
      <cdr:nvSpPr>
        <cdr:cNvPr id="94215" name="Text Box 7"/>
        <cdr:cNvSpPr txBox="1">
          <a:spLocks xmlns:a="http://schemas.openxmlformats.org/drawingml/2006/main" noChangeArrowheads="1"/>
        </cdr:cNvSpPr>
      </cdr:nvSpPr>
      <cdr:spPr bwMode="auto">
        <a:xfrm xmlns:a="http://schemas.openxmlformats.org/drawingml/2006/main">
          <a:off x="997877" y="1666705"/>
          <a:ext cx="614456" cy="4016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18,443</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0.27486</cdr:x>
      <cdr:y>0.25608</cdr:y>
    </cdr:from>
    <cdr:to>
      <cdr:x>0.36611</cdr:x>
      <cdr:y>0.29198</cdr:y>
    </cdr:to>
    <cdr:sp macro="" textlink="">
      <cdr:nvSpPr>
        <cdr:cNvPr id="94217" name="Text Box 9"/>
        <cdr:cNvSpPr txBox="1">
          <a:spLocks xmlns:a="http://schemas.openxmlformats.org/drawingml/2006/main" noChangeArrowheads="1"/>
        </cdr:cNvSpPr>
      </cdr:nvSpPr>
      <cdr:spPr bwMode="auto">
        <a:xfrm xmlns:a="http://schemas.openxmlformats.org/drawingml/2006/main">
          <a:off x="1850839" y="2523983"/>
          <a:ext cx="614455" cy="3538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15,728</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0.53562</cdr:x>
      <cdr:y>0.19898</cdr:y>
    </cdr:from>
    <cdr:to>
      <cdr:x>0.62812</cdr:x>
      <cdr:y>0.23598</cdr:y>
    </cdr:to>
    <cdr:sp macro="" textlink="">
      <cdr:nvSpPr>
        <cdr:cNvPr id="23" name="Text Box 21"/>
        <cdr:cNvSpPr txBox="1">
          <a:spLocks xmlns:a="http://schemas.openxmlformats.org/drawingml/2006/main" noChangeArrowheads="1"/>
        </cdr:cNvSpPr>
      </cdr:nvSpPr>
      <cdr:spPr bwMode="auto">
        <a:xfrm xmlns:a="http://schemas.openxmlformats.org/drawingml/2006/main">
          <a:off x="3606733" y="1961191"/>
          <a:ext cx="622873"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17,586</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0.14322</cdr:x>
      <cdr:y>0.84653</cdr:y>
    </cdr:from>
    <cdr:to>
      <cdr:x>0.23447</cdr:x>
      <cdr:y>0.86929</cdr:y>
    </cdr:to>
    <cdr:sp macro="" textlink="">
      <cdr:nvSpPr>
        <cdr:cNvPr id="19" name="Text Box 7"/>
        <cdr:cNvSpPr txBox="1">
          <a:spLocks xmlns:a="http://schemas.openxmlformats.org/drawingml/2006/main" noChangeArrowheads="1"/>
        </cdr:cNvSpPr>
      </cdr:nvSpPr>
      <cdr:spPr bwMode="auto">
        <a:xfrm xmlns:a="http://schemas.openxmlformats.org/drawingml/2006/main">
          <a:off x="964411" y="8343660"/>
          <a:ext cx="614455" cy="22432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市税ピーク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0.76946</cdr:x>
      <cdr:y>0.84724</cdr:y>
    </cdr:from>
    <cdr:to>
      <cdr:x>0.90367</cdr:x>
      <cdr:y>0.86954</cdr:y>
    </cdr:to>
    <cdr:sp macro="" textlink="">
      <cdr:nvSpPr>
        <cdr:cNvPr id="20" name="Text Box 7"/>
        <cdr:cNvSpPr txBox="1">
          <a:spLocks xmlns:a="http://schemas.openxmlformats.org/drawingml/2006/main" noChangeArrowheads="1"/>
        </cdr:cNvSpPr>
      </cdr:nvSpPr>
      <cdr:spPr bwMode="auto">
        <a:xfrm xmlns:a="http://schemas.openxmlformats.org/drawingml/2006/main">
          <a:off x="5181330" y="8350661"/>
          <a:ext cx="903738" cy="21979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歳出規模ピーク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0.6661</cdr:x>
      <cdr:y>0.20183</cdr:y>
    </cdr:from>
    <cdr:to>
      <cdr:x>0.7586</cdr:x>
      <cdr:y>0.23883</cdr:y>
    </cdr:to>
    <cdr:sp macro="" textlink="">
      <cdr:nvSpPr>
        <cdr:cNvPr id="27" name="Text Box 21"/>
        <cdr:cNvSpPr txBox="1">
          <a:spLocks xmlns:a="http://schemas.openxmlformats.org/drawingml/2006/main" noChangeArrowheads="1"/>
        </cdr:cNvSpPr>
      </cdr:nvSpPr>
      <cdr:spPr bwMode="auto">
        <a:xfrm xmlns:a="http://schemas.openxmlformats.org/drawingml/2006/main">
          <a:off x="4485356" y="1989291"/>
          <a:ext cx="622873" cy="3646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17,568</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0.79335</cdr:x>
      <cdr:y>0.11613</cdr:y>
    </cdr:from>
    <cdr:to>
      <cdr:x>0.88585</cdr:x>
      <cdr:y>0.15313</cdr:y>
    </cdr:to>
    <cdr:sp macro="" textlink="">
      <cdr:nvSpPr>
        <cdr:cNvPr id="21" name="Text Box 21"/>
        <cdr:cNvSpPr txBox="1">
          <a:spLocks xmlns:a="http://schemas.openxmlformats.org/drawingml/2006/main" noChangeArrowheads="1"/>
        </cdr:cNvSpPr>
      </cdr:nvSpPr>
      <cdr:spPr bwMode="auto">
        <a:xfrm xmlns:a="http://schemas.openxmlformats.org/drawingml/2006/main">
          <a:off x="5342229" y="1144600"/>
          <a:ext cx="622872"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20,147</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0.11562</cdr:x>
      <cdr:y>0.87122</cdr:y>
    </cdr:from>
    <cdr:to>
      <cdr:x>0.91021</cdr:x>
      <cdr:y>0.97731</cdr:y>
    </cdr:to>
    <mc:AlternateContent xmlns:mc="http://schemas.openxmlformats.org/markup-compatibility/2006" xmlns:a14="http://schemas.microsoft.com/office/drawing/2010/main">
      <mc:Choice Requires="a14">
        <cdr:pic>
          <cdr:nvPicPr>
            <cdr:cNvPr id="137217" name="Picture 1">
              <a:extLst xmlns:a="http://schemas.openxmlformats.org/drawingml/2006/main">
                <a:ext uri="{FF2B5EF4-FFF2-40B4-BE49-F238E27FC236}">
                  <a16:creationId xmlns:a16="http://schemas.microsoft.com/office/drawing/2014/main" id="{AD477B04-D2BF-4205-94B0-D53983F95C49}"/>
                </a:ext>
              </a:extLst>
            </cdr:cNvPr>
            <cdr:cNvPicPr>
              <a:picLocks xmlns:a="http://schemas.openxmlformats.org/drawingml/2006/main" noChangeAspect="1" noChangeArrowheads="1"/>
              <a:extLst xmlns:a="http://schemas.openxmlformats.org/drawingml/2006/main">
                <a:ext uri="{84589F7E-364E-4C9E-8A38-B11213B215E9}">
                  <a14:cameraTool cellRange="頁４データ!$B$64:$N$69" spid="_x0000_s380035"/>
                </a:ext>
              </a:extLst>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778564" y="8587009"/>
              <a:ext cx="5350565" cy="1045665"/>
            </a:xfrm>
            <a:prstGeom xmlns:a="http://schemas.openxmlformats.org/drawingml/2006/main" prst="rect">
              <a:avLst/>
            </a:prstGeom>
            <a:solidFill xmlns:a="http://schemas.openxmlformats.org/drawingml/2006/main">
              <a:srgbClr val="FFFFFF" mc:Ignorable="a14" a14:legacySpreadsheetColorIndex="9"/>
            </a:solidFill>
            <a:ln xmlns:a="http://schemas.openxmlformats.org/drawingml/2006/main" w="9525">
              <a:noFill/>
              <a:miter lim="800000"/>
              <a:headEnd/>
              <a:tailEnd/>
            </a:ln>
          </cdr:spPr>
        </cdr:pic>
      </mc:Choice>
      <mc:Fallback xmlns=""/>
    </mc:AlternateContent>
  </cdr:relSizeAnchor>
  <cdr:relSizeAnchor xmlns:cdr="http://schemas.openxmlformats.org/drawingml/2006/chartDrawing">
    <cdr:from>
      <cdr:x>0.40475</cdr:x>
      <cdr:y>0.20678</cdr:y>
    </cdr:from>
    <cdr:to>
      <cdr:x>0.49725</cdr:x>
      <cdr:y>0.24378</cdr:y>
    </cdr:to>
    <cdr:sp macro="" textlink="">
      <cdr:nvSpPr>
        <cdr:cNvPr id="26" name="Text Box 21"/>
        <cdr:cNvSpPr txBox="1">
          <a:spLocks xmlns:a="http://schemas.openxmlformats.org/drawingml/2006/main" noChangeArrowheads="1"/>
        </cdr:cNvSpPr>
      </cdr:nvSpPr>
      <cdr:spPr bwMode="auto">
        <a:xfrm xmlns:a="http://schemas.openxmlformats.org/drawingml/2006/main">
          <a:off x="2725482" y="2038073"/>
          <a:ext cx="622873"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17,408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0.24538</cdr:x>
      <cdr:y>0.15318</cdr:y>
    </cdr:from>
    <cdr:to>
      <cdr:x>0.26757</cdr:x>
      <cdr:y>0.84609</cdr:y>
    </cdr:to>
    <cdr:grpSp>
      <cdr:nvGrpSpPr>
        <cdr:cNvPr id="136" name="グループ化 135">
          <a:extLst xmlns:a="http://schemas.openxmlformats.org/drawingml/2006/main">
            <a:ext uri="{FF2B5EF4-FFF2-40B4-BE49-F238E27FC236}">
              <a16:creationId xmlns:a16="http://schemas.microsoft.com/office/drawing/2014/main" id="{089C9848-C46A-D1DA-05EE-1353C5B66C55}"/>
            </a:ext>
          </a:extLst>
        </cdr:cNvPr>
        <cdr:cNvGrpSpPr/>
      </cdr:nvGrpSpPr>
      <cdr:grpSpPr>
        <a:xfrm xmlns:a="http://schemas.openxmlformats.org/drawingml/2006/main">
          <a:off x="1652432" y="1510106"/>
          <a:ext cx="149431" cy="6830967"/>
          <a:chOff x="0" y="0"/>
          <a:chExt cx="10207" cy="1273"/>
        </a:xfrm>
      </cdr:grpSpPr>
      <cdr:sp macro="" textlink="">
        <cdr:nvSpPr>
          <cdr:cNvPr id="137" name="小波 136"/>
          <cdr:cNvSpPr/>
        </cdr:nvSpPr>
        <cdr:spPr>
          <a:xfrm xmlns:a="http://schemas.openxmlformats.org/drawingml/2006/main" rot="5400000">
            <a:off x="4942" y="-4623"/>
            <a:ext cx="318" cy="10202"/>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ltLang="en-US"/>
          </a:p>
        </cdr:txBody>
      </cdr:sp>
      <cdr:sp macro="" textlink="">
        <cdr:nvSpPr>
          <cdr:cNvPr id="138" name="小波 137"/>
          <cdr:cNvSpPr/>
        </cdr:nvSpPr>
        <cdr:spPr>
          <a:xfrm xmlns:a="http://schemas.openxmlformats.org/drawingml/2006/main" rot="5400000">
            <a:off x="4947" y="-3987"/>
            <a:ext cx="317" cy="10202"/>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ltLang="en-US"/>
          </a:p>
        </cdr:txBody>
      </cdr:sp>
      <cdr:sp macro="" textlink="">
        <cdr:nvSpPr>
          <cdr:cNvPr id="139" name="小波 138"/>
          <cdr:cNvSpPr/>
        </cdr:nvSpPr>
        <cdr:spPr>
          <a:xfrm xmlns:a="http://schemas.openxmlformats.org/drawingml/2006/main" rot="5400000">
            <a:off x="4943" y="-4305"/>
            <a:ext cx="317" cy="10202"/>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ltLang="en-US"/>
          </a:p>
        </cdr:txBody>
      </cdr:sp>
      <cdr:sp macro="" textlink="">
        <cdr:nvSpPr>
          <cdr:cNvPr id="140" name="小波 139"/>
          <cdr:cNvSpPr/>
        </cdr:nvSpPr>
        <cdr:spPr>
          <a:xfrm xmlns:a="http://schemas.openxmlformats.org/drawingml/2006/main" rot="5400000">
            <a:off x="4943" y="-4942"/>
            <a:ext cx="317" cy="10202"/>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ltLang="en-US"/>
          </a:p>
        </cdr:txBody>
      </cdr:sp>
      <cdr:cxnSp macro="">
        <cdr:nvCxnSpPr>
          <cdr:cNvPr id="141" name="直線コネクタ 140">
            <a:extLst xmlns:a="http://schemas.openxmlformats.org/drawingml/2006/main">
              <a:ext uri="{FF2B5EF4-FFF2-40B4-BE49-F238E27FC236}">
                <a16:creationId xmlns:a16="http://schemas.microsoft.com/office/drawing/2014/main" id="{7DB4348F-B868-9FC1-2723-9B30AFEDAA93}"/>
              </a:ext>
            </a:extLst>
          </cdr:cNvPr>
          <cdr:cNvCxnSpPr/>
        </cdr:nvCxnSpPr>
        <cdr:spPr>
          <a:xfrm xmlns:a="http://schemas.openxmlformats.org/drawingml/2006/main" flipV="1">
            <a:off x="2204" y="0"/>
            <a:ext cx="6058" cy="0"/>
          </a:xfrm>
          <a:prstGeom xmlns:a="http://schemas.openxmlformats.org/drawingml/2006/main" prst="line">
            <a:avLst/>
          </a:prstGeom>
          <a:ln xmlns:a="http://schemas.openxmlformats.org/drawingml/2006/main" w="317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42" name="直線コネクタ 141">
            <a:extLst xmlns:a="http://schemas.openxmlformats.org/drawingml/2006/main">
              <a:ext uri="{FF2B5EF4-FFF2-40B4-BE49-F238E27FC236}">
                <a16:creationId xmlns:a16="http://schemas.microsoft.com/office/drawing/2014/main" id="{8C2B07CE-3D20-15DA-694A-1B54C74C50CD}"/>
              </a:ext>
            </a:extLst>
          </cdr:cNvPr>
          <cdr:cNvCxnSpPr/>
        </cdr:nvCxnSpPr>
        <cdr:spPr>
          <a:xfrm xmlns:a="http://schemas.openxmlformats.org/drawingml/2006/main" flipV="1">
            <a:off x="2204" y="318"/>
            <a:ext cx="6058" cy="0"/>
          </a:xfrm>
          <a:prstGeom xmlns:a="http://schemas.openxmlformats.org/drawingml/2006/main" prst="line">
            <a:avLst/>
          </a:prstGeom>
          <a:ln xmlns:a="http://schemas.openxmlformats.org/drawingml/2006/main" w="317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43" name="直線コネクタ 142">
            <a:extLst xmlns:a="http://schemas.openxmlformats.org/drawingml/2006/main">
              <a:ext uri="{FF2B5EF4-FFF2-40B4-BE49-F238E27FC236}">
                <a16:creationId xmlns:a16="http://schemas.microsoft.com/office/drawing/2014/main" id="{E0BCF195-4C1E-80A5-5276-227AF7A0F17E}"/>
              </a:ext>
            </a:extLst>
          </cdr:cNvPr>
          <cdr:cNvCxnSpPr/>
        </cdr:nvCxnSpPr>
        <cdr:spPr>
          <a:xfrm xmlns:a="http://schemas.openxmlformats.org/drawingml/2006/main" flipV="1">
            <a:off x="2204" y="636"/>
            <a:ext cx="6058" cy="0"/>
          </a:xfrm>
          <a:prstGeom xmlns:a="http://schemas.openxmlformats.org/drawingml/2006/main" prst="line">
            <a:avLst/>
          </a:prstGeom>
          <a:ln xmlns:a="http://schemas.openxmlformats.org/drawingml/2006/main" w="317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44" name="直線コネクタ 143">
            <a:extLst xmlns:a="http://schemas.openxmlformats.org/drawingml/2006/main">
              <a:ext uri="{FF2B5EF4-FFF2-40B4-BE49-F238E27FC236}">
                <a16:creationId xmlns:a16="http://schemas.microsoft.com/office/drawing/2014/main" id="{AA0B151B-9074-DAF5-6D77-D765B2DF6CDE}"/>
              </a:ext>
            </a:extLst>
          </cdr:cNvPr>
          <cdr:cNvCxnSpPr/>
        </cdr:nvCxnSpPr>
        <cdr:spPr>
          <a:xfrm xmlns:a="http://schemas.openxmlformats.org/drawingml/2006/main" flipV="1">
            <a:off x="2215" y="954"/>
            <a:ext cx="6058" cy="0"/>
          </a:xfrm>
          <a:prstGeom xmlns:a="http://schemas.openxmlformats.org/drawingml/2006/main" prst="line">
            <a:avLst/>
          </a:prstGeom>
          <a:ln xmlns:a="http://schemas.openxmlformats.org/drawingml/2006/main" w="317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45" name="直線コネクタ 144">
            <a:extLst xmlns:a="http://schemas.openxmlformats.org/drawingml/2006/main">
              <a:ext uri="{FF2B5EF4-FFF2-40B4-BE49-F238E27FC236}">
                <a16:creationId xmlns:a16="http://schemas.microsoft.com/office/drawing/2014/main" id="{81065755-ED42-E7CE-00B9-C0287368735C}"/>
              </a:ext>
            </a:extLst>
          </cdr:cNvPr>
          <cdr:cNvCxnSpPr/>
        </cdr:nvCxnSpPr>
        <cdr:spPr>
          <a:xfrm xmlns:a="http://schemas.openxmlformats.org/drawingml/2006/main" flipV="1">
            <a:off x="1838" y="1273"/>
            <a:ext cx="6058" cy="0"/>
          </a:xfrm>
          <a:prstGeom xmlns:a="http://schemas.openxmlformats.org/drawingml/2006/main" prst="line">
            <a:avLst/>
          </a:prstGeom>
          <a:ln xmlns:a="http://schemas.openxmlformats.org/drawingml/2006/main" w="190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91</xdr:row>
          <xdr:rowOff>9525</xdr:rowOff>
        </xdr:from>
        <xdr:to>
          <xdr:col>15</xdr:col>
          <xdr:colOff>297997</xdr:colOff>
          <xdr:row>96</xdr:row>
          <xdr:rowOff>57150</xdr:rowOff>
        </xdr:to>
        <xdr:pic>
          <xdr:nvPicPr>
            <xdr:cNvPr id="150529" name="Picture 1">
              <a:extLst>
                <a:ext uri="{FF2B5EF4-FFF2-40B4-BE49-F238E27FC236}">
                  <a16:creationId xmlns:a16="http://schemas.microsoft.com/office/drawing/2014/main" id="{00000000-0008-0000-0500-0000014C0200}"/>
                </a:ext>
              </a:extLst>
            </xdr:cNvPr>
            <xdr:cNvPicPr>
              <a:picLocks noChangeAspect="1" noChangeArrowheads="1"/>
              <a:extLst>
                <a:ext uri="{84589F7E-364E-4C9E-8A38-B11213B215E9}">
                  <a14:cameraTool cellRange="$B$64:$N$69" spid="_x0000_s341135"/>
                </a:ext>
              </a:extLst>
            </xdr:cNvPicPr>
          </xdr:nvPicPr>
          <xdr:blipFill>
            <a:blip xmlns:r="http://schemas.openxmlformats.org/officeDocument/2006/relationships" r:embed="rId1"/>
            <a:srcRect/>
            <a:stretch>
              <a:fillRect/>
            </a:stretch>
          </xdr:blipFill>
          <xdr:spPr bwMode="auto">
            <a:xfrm>
              <a:off x="1485900" y="15840075"/>
              <a:ext cx="5181600" cy="9048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238124</xdr:colOff>
      <xdr:row>7</xdr:row>
      <xdr:rowOff>57154</xdr:rowOff>
    </xdr:from>
    <xdr:to>
      <xdr:col>4</xdr:col>
      <xdr:colOff>476249</xdr:colOff>
      <xdr:row>7</xdr:row>
      <xdr:rowOff>257176</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rot="5400000">
          <a:off x="1828801" y="209552"/>
          <a:ext cx="104772" cy="2066925"/>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238124</xdr:colOff>
      <xdr:row>7</xdr:row>
      <xdr:rowOff>57154</xdr:rowOff>
    </xdr:from>
    <xdr:to>
      <xdr:col>9</xdr:col>
      <xdr:colOff>476249</xdr:colOff>
      <xdr:row>7</xdr:row>
      <xdr:rowOff>257176</xdr:rowOff>
    </xdr:to>
    <xdr:sp macro="" textlink="">
      <xdr:nvSpPr>
        <xdr:cNvPr id="3" name="右中かっこ 2">
          <a:extLst>
            <a:ext uri="{FF2B5EF4-FFF2-40B4-BE49-F238E27FC236}">
              <a16:creationId xmlns:a16="http://schemas.microsoft.com/office/drawing/2014/main" id="{00000000-0008-0000-0600-000003000000}"/>
            </a:ext>
          </a:extLst>
        </xdr:cNvPr>
        <xdr:cNvSpPr/>
      </xdr:nvSpPr>
      <xdr:spPr bwMode="auto">
        <a:xfrm rot="5400000">
          <a:off x="4876801" y="209552"/>
          <a:ext cx="104772" cy="2066925"/>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absoluteAnchor>
    <xdr:pos x="0" y="0"/>
    <xdr:ext cx="6734175" cy="10001250"/>
    <xdr:graphicFrame macro="">
      <xdr:nvGraphicFramePr>
        <xdr:cNvPr id="2" name="グラフ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0.83787</cdr:x>
      <cdr:y>0.17668</cdr:y>
    </cdr:from>
    <cdr:to>
      <cdr:x>0.87595</cdr:x>
      <cdr:y>0.17669</cdr:y>
    </cdr:to>
    <cdr:sp macro="" textlink="">
      <cdr:nvSpPr>
        <cdr:cNvPr id="93186" name="Line 2"/>
        <cdr:cNvSpPr>
          <a:spLocks xmlns:a="http://schemas.openxmlformats.org/drawingml/2006/main" noChangeShapeType="1"/>
        </cdr:cNvSpPr>
      </cdr:nvSpPr>
      <cdr:spPr bwMode="auto">
        <a:xfrm xmlns:a="http://schemas.openxmlformats.org/drawingml/2006/main" flipH="1" flipV="1">
          <a:off x="5641735" y="1765766"/>
          <a:ext cx="256437" cy="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0.16613</cdr:x>
      <cdr:y>0.10804</cdr:y>
    </cdr:from>
    <cdr:to>
      <cdr:x>0.28213</cdr:x>
      <cdr:y>0.14779</cdr:y>
    </cdr:to>
    <cdr:sp macro="" textlink="">
      <cdr:nvSpPr>
        <cdr:cNvPr id="9319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19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0.8346</cdr:x>
      <cdr:y>0.37023</cdr:y>
    </cdr:from>
    <cdr:to>
      <cdr:x>0.87704</cdr:x>
      <cdr:y>0.37097</cdr:y>
    </cdr:to>
    <cdr:sp macro="" textlink="">
      <cdr:nvSpPr>
        <cdr:cNvPr id="93199" name="Line 15"/>
        <cdr:cNvSpPr>
          <a:spLocks xmlns:a="http://schemas.openxmlformats.org/drawingml/2006/main" noChangeShapeType="1"/>
        </cdr:cNvSpPr>
      </cdr:nvSpPr>
      <cdr:spPr bwMode="auto">
        <a:xfrm xmlns:a="http://schemas.openxmlformats.org/drawingml/2006/main" flipH="1">
          <a:off x="5619750" y="3700096"/>
          <a:ext cx="285750" cy="732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0.49495</cdr:x>
      <cdr:y>0.51889</cdr:y>
    </cdr:from>
    <cdr:to>
      <cdr:x>0.51737</cdr:x>
      <cdr:y>0.53596</cdr:y>
    </cdr:to>
    <cdr:sp macro="" textlink="">
      <cdr:nvSpPr>
        <cdr:cNvPr id="114" name="Line 23"/>
        <cdr:cNvSpPr>
          <a:spLocks xmlns:a="http://schemas.openxmlformats.org/drawingml/2006/main" noChangeShapeType="1"/>
        </cdr:cNvSpPr>
      </cdr:nvSpPr>
      <cdr:spPr bwMode="auto">
        <a:xfrm xmlns:a="http://schemas.openxmlformats.org/drawingml/2006/main">
          <a:off x="3332685" y="5185784"/>
          <a:ext cx="150964" cy="1705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0.28896</cdr:x>
      <cdr:y>0.54781</cdr:y>
    </cdr:from>
    <cdr:to>
      <cdr:x>0.31917</cdr:x>
      <cdr:y>0.5662</cdr:y>
    </cdr:to>
    <cdr:sp macro="" textlink="">
      <cdr:nvSpPr>
        <cdr:cNvPr id="123" name="Line 8"/>
        <cdr:cNvSpPr>
          <a:spLocks xmlns:a="http://schemas.openxmlformats.org/drawingml/2006/main" noChangeShapeType="1"/>
        </cdr:cNvSpPr>
      </cdr:nvSpPr>
      <cdr:spPr bwMode="auto">
        <a:xfrm xmlns:a="http://schemas.openxmlformats.org/drawingml/2006/main" flipH="1">
          <a:off x="1945712" y="5474732"/>
          <a:ext cx="203417" cy="18378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0.62975</cdr:x>
      <cdr:y>0.50855</cdr:y>
    </cdr:from>
    <cdr:to>
      <cdr:x>0.65397</cdr:x>
      <cdr:y>0.52493</cdr:y>
    </cdr:to>
    <cdr:sp macro="" textlink="">
      <cdr:nvSpPr>
        <cdr:cNvPr id="126" name="Line 21"/>
        <cdr:cNvSpPr>
          <a:spLocks xmlns:a="http://schemas.openxmlformats.org/drawingml/2006/main" noChangeShapeType="1"/>
        </cdr:cNvSpPr>
      </cdr:nvSpPr>
      <cdr:spPr bwMode="auto">
        <a:xfrm xmlns:a="http://schemas.openxmlformats.org/drawingml/2006/main">
          <a:off x="4240410" y="5082428"/>
          <a:ext cx="163071" cy="1636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0.3681</cdr:x>
      <cdr:y>0.52005</cdr:y>
    </cdr:from>
    <cdr:to>
      <cdr:x>0.39052</cdr:x>
      <cdr:y>0.54171</cdr:y>
    </cdr:to>
    <cdr:sp macro="" textlink="">
      <cdr:nvSpPr>
        <cdr:cNvPr id="127" name="Line 23"/>
        <cdr:cNvSpPr>
          <a:spLocks xmlns:a="http://schemas.openxmlformats.org/drawingml/2006/main" noChangeShapeType="1"/>
        </cdr:cNvSpPr>
      </cdr:nvSpPr>
      <cdr:spPr bwMode="auto">
        <a:xfrm xmlns:a="http://schemas.openxmlformats.org/drawingml/2006/main">
          <a:off x="2478561" y="5197372"/>
          <a:ext cx="150963" cy="21646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0.25752</cdr:x>
      <cdr:y>0.15034</cdr:y>
    </cdr:from>
    <cdr:to>
      <cdr:x>0.35877</cdr:x>
      <cdr:y>0.19151</cdr:y>
    </cdr:to>
    <cdr:sp macro="" textlink="">
      <cdr:nvSpPr>
        <cdr:cNvPr id="9325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6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8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0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0.83351</cdr:x>
      <cdr:y>0.47141</cdr:y>
    </cdr:from>
    <cdr:to>
      <cdr:x>0.87922</cdr:x>
      <cdr:y>0.52786</cdr:y>
    </cdr:to>
    <cdr:sp macro="" textlink="">
      <cdr:nvSpPr>
        <cdr:cNvPr id="178" name="Line 5"/>
        <cdr:cNvSpPr>
          <a:spLocks xmlns:a="http://schemas.openxmlformats.org/drawingml/2006/main" noChangeShapeType="1"/>
        </cdr:cNvSpPr>
      </cdr:nvSpPr>
      <cdr:spPr bwMode="auto">
        <a:xfrm xmlns:a="http://schemas.openxmlformats.org/drawingml/2006/main" flipH="1">
          <a:off x="5612390" y="4711212"/>
          <a:ext cx="307763" cy="56418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0.83678</cdr:x>
      <cdr:y>0.56378</cdr:y>
    </cdr:from>
    <cdr:to>
      <cdr:x>0.87378</cdr:x>
      <cdr:y>0.56378</cdr:y>
    </cdr:to>
    <cdr:sp macro="" textlink="">
      <cdr:nvSpPr>
        <cdr:cNvPr id="179" name="Line 6"/>
        <cdr:cNvSpPr>
          <a:spLocks xmlns:a="http://schemas.openxmlformats.org/drawingml/2006/main" noChangeShapeType="1"/>
        </cdr:cNvSpPr>
      </cdr:nvSpPr>
      <cdr:spPr bwMode="auto">
        <a:xfrm xmlns:a="http://schemas.openxmlformats.org/drawingml/2006/main" flipH="1">
          <a:off x="5634409" y="5634403"/>
          <a:ext cx="249109" cy="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0.83716</cdr:x>
      <cdr:y>0.66178</cdr:y>
    </cdr:from>
    <cdr:to>
      <cdr:x>0.87536</cdr:x>
      <cdr:y>0.66184</cdr:y>
    </cdr:to>
    <cdr:sp macro="" textlink="">
      <cdr:nvSpPr>
        <cdr:cNvPr id="180" name="Line 7"/>
        <cdr:cNvSpPr>
          <a:spLocks xmlns:a="http://schemas.openxmlformats.org/drawingml/2006/main" noChangeShapeType="1"/>
        </cdr:cNvSpPr>
      </cdr:nvSpPr>
      <cdr:spPr bwMode="auto">
        <a:xfrm xmlns:a="http://schemas.openxmlformats.org/drawingml/2006/main" flipH="1">
          <a:off x="5636956" y="6613813"/>
          <a:ext cx="257217" cy="6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0.83896</cdr:x>
      <cdr:y>0.24121</cdr:y>
    </cdr:from>
    <cdr:to>
      <cdr:x>0.87813</cdr:x>
      <cdr:y>0.27273</cdr:y>
    </cdr:to>
    <cdr:sp macro="" textlink="">
      <cdr:nvSpPr>
        <cdr:cNvPr id="182" name="Line 15"/>
        <cdr:cNvSpPr>
          <a:spLocks xmlns:a="http://schemas.openxmlformats.org/drawingml/2006/main" noChangeShapeType="1"/>
        </cdr:cNvSpPr>
      </cdr:nvSpPr>
      <cdr:spPr bwMode="auto">
        <a:xfrm xmlns:a="http://schemas.openxmlformats.org/drawingml/2006/main" flipH="1" flipV="1">
          <a:off x="5649089" y="2410589"/>
          <a:ext cx="263737" cy="31502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0.34271</cdr:x>
      <cdr:y>0.17593</cdr:y>
    </cdr:from>
    <cdr:to>
      <cdr:x>0.44471</cdr:x>
      <cdr:y>0.21721</cdr:y>
    </cdr:to>
    <cdr:sp macro="" textlink="">
      <cdr:nvSpPr>
        <cdr:cNvPr id="9331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0.48482</cdr:x>
      <cdr:y>0.18827</cdr:y>
    </cdr:from>
    <cdr:to>
      <cdr:x>0.58907</cdr:x>
      <cdr:y>0.23208</cdr:y>
    </cdr:to>
    <cdr:sp macro="" textlink="">
      <cdr:nvSpPr>
        <cdr:cNvPr id="93311" name="Text Box 14"/>
        <cdr:cNvSpPr txBox="1">
          <a:spLocks xmlns:a="http://schemas.openxmlformats.org/drawingml/2006/main" noChangeArrowheads="1"/>
        </cdr:cNvSpPr>
      </cdr:nvSpPr>
      <cdr:spPr bwMode="auto">
        <a:xfrm xmlns:a="http://schemas.openxmlformats.org/drawingml/2006/main">
          <a:off x="3264505" y="1881575"/>
          <a:ext cx="701961" cy="4378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17,611</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0.48882</cdr:x>
      <cdr:y>0.04139</cdr:y>
    </cdr:from>
    <cdr:to>
      <cdr:x>0.86546</cdr:x>
      <cdr:y>0.07585</cdr:y>
    </cdr:to>
    <cdr:sp macro="" textlink="">
      <cdr:nvSpPr>
        <cdr:cNvPr id="9331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0.61273</cdr:x>
      <cdr:y>0.18469</cdr:y>
    </cdr:from>
    <cdr:to>
      <cdr:x>0.71898</cdr:x>
      <cdr:y>0.22938</cdr:y>
    </cdr:to>
    <cdr:sp macro="" textlink="">
      <cdr:nvSpPr>
        <cdr:cNvPr id="93323" name="Text Box 19"/>
        <cdr:cNvSpPr txBox="1">
          <a:spLocks xmlns:a="http://schemas.openxmlformats.org/drawingml/2006/main" noChangeArrowheads="1"/>
        </cdr:cNvSpPr>
      </cdr:nvSpPr>
      <cdr:spPr bwMode="auto">
        <a:xfrm xmlns:a="http://schemas.openxmlformats.org/drawingml/2006/main">
          <a:off x="4125807" y="1845797"/>
          <a:ext cx="715428" cy="4466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17,642</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0.10103</cdr:x>
      <cdr:y>0.15528</cdr:y>
    </cdr:from>
    <cdr:to>
      <cdr:x>0.19853</cdr:x>
      <cdr:y>0.19528</cdr:y>
    </cdr:to>
    <cdr:sp macro="" textlink="">
      <cdr:nvSpPr>
        <cdr:cNvPr id="93328" name="Text Box 10"/>
        <cdr:cNvSpPr txBox="1">
          <a:spLocks xmlns:a="http://schemas.openxmlformats.org/drawingml/2006/main" noChangeArrowheads="1"/>
        </cdr:cNvSpPr>
      </cdr:nvSpPr>
      <cdr:spPr bwMode="auto">
        <a:xfrm xmlns:a="http://schemas.openxmlformats.org/drawingml/2006/main">
          <a:off x="680251" y="1551850"/>
          <a:ext cx="656511" cy="39975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18,578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0.7416</cdr:x>
      <cdr:y>0.09105</cdr:y>
    </cdr:from>
    <cdr:to>
      <cdr:x>0.84785</cdr:x>
      <cdr:y>0.13805</cdr:y>
    </cdr:to>
    <cdr:sp macro="" textlink="">
      <cdr:nvSpPr>
        <cdr:cNvPr id="93334" name="Text Box 19"/>
        <cdr:cNvSpPr txBox="1">
          <a:spLocks xmlns:a="http://schemas.openxmlformats.org/drawingml/2006/main" noChangeArrowheads="1"/>
        </cdr:cNvSpPr>
      </cdr:nvSpPr>
      <cdr:spPr bwMode="auto">
        <a:xfrm xmlns:a="http://schemas.openxmlformats.org/drawingml/2006/main">
          <a:off x="4993519" y="909929"/>
          <a:ext cx="715428" cy="46971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20,427</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0.23024</cdr:x>
      <cdr:y>0.25074</cdr:y>
    </cdr:from>
    <cdr:to>
      <cdr:x>0.33224</cdr:x>
      <cdr:y>0.29202</cdr:y>
    </cdr:to>
    <cdr:sp macro="" textlink="">
      <cdr:nvSpPr>
        <cdr:cNvPr id="93341" name="Text Box 13"/>
        <cdr:cNvSpPr txBox="1">
          <a:spLocks xmlns:a="http://schemas.openxmlformats.org/drawingml/2006/main" noChangeArrowheads="1"/>
        </cdr:cNvSpPr>
      </cdr:nvSpPr>
      <cdr:spPr bwMode="auto">
        <a:xfrm xmlns:a="http://schemas.openxmlformats.org/drawingml/2006/main">
          <a:off x="1550291" y="2505882"/>
          <a:ext cx="686811" cy="4125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15,748</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cdr:x>
      <cdr:y>0</cdr:y>
    </cdr:from>
    <cdr:to>
      <cdr:x>0.10802</cdr:x>
      <cdr:y>0.04011</cdr:y>
    </cdr:to>
    <cdr:sp macro="" textlink="">
      <cdr:nvSpPr>
        <cdr:cNvPr id="11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38" name="chart">
          <a:extLst xmlns:a="http://schemas.openxmlformats.org/drawingml/2006/main">
            <a:ext uri="{FF2B5EF4-FFF2-40B4-BE49-F238E27FC236}">
              <a16:creationId xmlns:a16="http://schemas.microsoft.com/office/drawing/2014/main" id="{066D7C14-B62D-47DE-A3AA-BA32BA20A05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0.10181</cdr:x>
      <cdr:y>0.83445</cdr:y>
    </cdr:from>
    <cdr:to>
      <cdr:x>0.19306</cdr:x>
      <cdr:y>0.85645</cdr:y>
    </cdr:to>
    <cdr:sp macro="" textlink="">
      <cdr:nvSpPr>
        <cdr:cNvPr id="39" name="Text Box 7"/>
        <cdr:cNvSpPr txBox="1">
          <a:spLocks xmlns:a="http://schemas.openxmlformats.org/drawingml/2006/main" noChangeArrowheads="1"/>
        </cdr:cNvSpPr>
      </cdr:nvSpPr>
      <cdr:spPr bwMode="auto">
        <a:xfrm xmlns:a="http://schemas.openxmlformats.org/drawingml/2006/main">
          <a:off x="683905" y="8328266"/>
          <a:ext cx="612944" cy="21957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市税ピーク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0.72817</cdr:x>
      <cdr:y>0.83504</cdr:y>
    </cdr:from>
    <cdr:to>
      <cdr:x>0.86238</cdr:x>
      <cdr:y>0.85705</cdr:y>
    </cdr:to>
    <cdr:sp macro="" textlink="">
      <cdr:nvSpPr>
        <cdr:cNvPr id="40" name="Text Box 7"/>
        <cdr:cNvSpPr txBox="1">
          <a:spLocks xmlns:a="http://schemas.openxmlformats.org/drawingml/2006/main" noChangeArrowheads="1"/>
        </cdr:cNvSpPr>
      </cdr:nvSpPr>
      <cdr:spPr bwMode="auto">
        <a:xfrm xmlns:a="http://schemas.openxmlformats.org/drawingml/2006/main">
          <a:off x="4891282" y="8334152"/>
          <a:ext cx="901514" cy="21967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歳入規模ピーク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4"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5"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2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2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3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41" name="chart">
          <a:extLst xmlns:a="http://schemas.openxmlformats.org/drawingml/2006/main">
            <a:ext uri="{FF2B5EF4-FFF2-40B4-BE49-F238E27FC236}">
              <a16:creationId xmlns:a16="http://schemas.microsoft.com/office/drawing/2014/main" id="{AA21C77F-DBAE-484E-9597-36B1EB0A533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4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5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5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5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58"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6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6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7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78" name="chart">
          <a:extLst xmlns:a="http://schemas.openxmlformats.org/drawingml/2006/main">
            <a:ext uri="{FF2B5EF4-FFF2-40B4-BE49-F238E27FC236}">
              <a16:creationId xmlns:a16="http://schemas.microsoft.com/office/drawing/2014/main" id="{3E852762-E494-4590-8AA4-8B17E220C8D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8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8"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10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10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117"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120" name="chart">
          <a:extLst xmlns:a="http://schemas.openxmlformats.org/drawingml/2006/main">
            <a:ext uri="{FF2B5EF4-FFF2-40B4-BE49-F238E27FC236}">
              <a16:creationId xmlns:a16="http://schemas.microsoft.com/office/drawing/2014/main" id="{307165E2-A28A-4777-B0CC-F8185D76298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16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6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6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70"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72"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18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18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18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189" name="chart">
          <a:extLst xmlns:a="http://schemas.openxmlformats.org/drawingml/2006/main">
            <a:ext uri="{FF2B5EF4-FFF2-40B4-BE49-F238E27FC236}">
              <a16:creationId xmlns:a16="http://schemas.microsoft.com/office/drawing/2014/main" id="{8F8F536D-7F92-4CD4-B18B-3ED33D57890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19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0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0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0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0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4608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46083"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46090"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46093" name="chart">
          <a:extLst xmlns:a="http://schemas.openxmlformats.org/drawingml/2006/main">
            <a:ext uri="{FF2B5EF4-FFF2-40B4-BE49-F238E27FC236}">
              <a16:creationId xmlns:a16="http://schemas.microsoft.com/office/drawing/2014/main" id="{AD414BB6-12F6-43F0-8ABA-762367D433C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4609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46106"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0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46108"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11"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2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22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233"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236" name="chart">
          <a:extLst xmlns:a="http://schemas.openxmlformats.org/drawingml/2006/main">
            <a:ext uri="{FF2B5EF4-FFF2-40B4-BE49-F238E27FC236}">
              <a16:creationId xmlns:a16="http://schemas.microsoft.com/office/drawing/2014/main" id="{B8570CFD-58E9-4E7C-9116-3426BCBCE9D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24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49"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5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5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5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6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26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27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275" name="chart">
          <a:extLst xmlns:a="http://schemas.openxmlformats.org/drawingml/2006/main">
            <a:ext uri="{FF2B5EF4-FFF2-40B4-BE49-F238E27FC236}">
              <a16:creationId xmlns:a16="http://schemas.microsoft.com/office/drawing/2014/main" id="{55906620-5636-4142-A137-AD00E66BB38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28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8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9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9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0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04"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14"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18" name="chart">
          <a:extLst xmlns:a="http://schemas.openxmlformats.org/drawingml/2006/main">
            <a:ext uri="{FF2B5EF4-FFF2-40B4-BE49-F238E27FC236}">
              <a16:creationId xmlns:a16="http://schemas.microsoft.com/office/drawing/2014/main" id="{5151652F-A1E9-4F0B-B0F0-9E2D6D3830C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32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3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3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49"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51"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58"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61" name="chart">
          <a:extLst xmlns:a="http://schemas.openxmlformats.org/drawingml/2006/main">
            <a:ext uri="{FF2B5EF4-FFF2-40B4-BE49-F238E27FC236}">
              <a16:creationId xmlns:a16="http://schemas.microsoft.com/office/drawing/2014/main" id="{2717383F-A460-4D39-9A31-66FEA78B4A2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36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7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7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8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8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9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98" name="chart">
          <a:extLst xmlns:a="http://schemas.openxmlformats.org/drawingml/2006/main">
            <a:ext uri="{FF2B5EF4-FFF2-40B4-BE49-F238E27FC236}">
              <a16:creationId xmlns:a16="http://schemas.microsoft.com/office/drawing/2014/main" id="{408509BA-F284-4161-B457-11F08920720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40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11"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13"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2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2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43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435" name="chart">
          <a:extLst xmlns:a="http://schemas.openxmlformats.org/drawingml/2006/main">
            <a:ext uri="{FF2B5EF4-FFF2-40B4-BE49-F238E27FC236}">
              <a16:creationId xmlns:a16="http://schemas.microsoft.com/office/drawing/2014/main" id="{E4D1A0AC-BD5C-44F0-BD33-0BAA37D5498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44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4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50"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6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62"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469"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472" name="chart">
          <a:extLst xmlns:a="http://schemas.openxmlformats.org/drawingml/2006/main">
            <a:ext uri="{FF2B5EF4-FFF2-40B4-BE49-F238E27FC236}">
              <a16:creationId xmlns:a16="http://schemas.microsoft.com/office/drawing/2014/main" id="{FD0C077E-4EDE-4D5A-BC1A-D7458EB9CF9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47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8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8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9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99"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06"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09" name="chart">
          <a:extLst xmlns:a="http://schemas.openxmlformats.org/drawingml/2006/main">
            <a:ext uri="{FF2B5EF4-FFF2-40B4-BE49-F238E27FC236}">
              <a16:creationId xmlns:a16="http://schemas.microsoft.com/office/drawing/2014/main" id="{27ECCF99-4372-4E06-A34B-CD24F95EB7F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51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22"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24"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3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53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43"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46" name="chart">
          <a:extLst xmlns:a="http://schemas.openxmlformats.org/drawingml/2006/main">
            <a:ext uri="{FF2B5EF4-FFF2-40B4-BE49-F238E27FC236}">
              <a16:creationId xmlns:a16="http://schemas.microsoft.com/office/drawing/2014/main" id="{711C863C-3538-4F90-896D-B3519204D16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55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59"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6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7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573"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80"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83" name="chart">
          <a:extLst xmlns:a="http://schemas.openxmlformats.org/drawingml/2006/main">
            <a:ext uri="{FF2B5EF4-FFF2-40B4-BE49-F238E27FC236}">
              <a16:creationId xmlns:a16="http://schemas.microsoft.com/office/drawing/2014/main" id="{241098C4-3A64-4E54-8B1D-A7A31844035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58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96"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98"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60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610"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617"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620" name="chart">
          <a:extLst xmlns:a="http://schemas.openxmlformats.org/drawingml/2006/main">
            <a:ext uri="{FF2B5EF4-FFF2-40B4-BE49-F238E27FC236}">
              <a16:creationId xmlns:a16="http://schemas.microsoft.com/office/drawing/2014/main" id="{3B7833D7-C97D-48DF-9B73-E01193139D5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62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0.11563</cdr:x>
      <cdr:y>0.52129</cdr:y>
    </cdr:from>
    <cdr:to>
      <cdr:x>0.14035</cdr:x>
      <cdr:y>0.53119</cdr:y>
    </cdr:to>
    <cdr:sp macro="" textlink="">
      <cdr:nvSpPr>
        <cdr:cNvPr id="93627" name="Line 8"/>
        <cdr:cNvSpPr>
          <a:spLocks xmlns:a="http://schemas.openxmlformats.org/drawingml/2006/main" noChangeShapeType="1"/>
        </cdr:cNvSpPr>
      </cdr:nvSpPr>
      <cdr:spPr bwMode="auto">
        <a:xfrm xmlns:a="http://schemas.openxmlformats.org/drawingml/2006/main">
          <a:off x="778564" y="5209760"/>
          <a:ext cx="166473" cy="9891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0.25752</cdr:x>
      <cdr:y>0.15034</cdr:y>
    </cdr:from>
    <cdr:to>
      <cdr:x>0.35877</cdr:x>
      <cdr:y>0.19151</cdr:y>
    </cdr:to>
    <cdr:sp macro="" textlink="">
      <cdr:nvSpPr>
        <cdr:cNvPr id="9363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635"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64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647"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0.35635</cdr:x>
      <cdr:y>0.19258</cdr:y>
    </cdr:from>
    <cdr:to>
      <cdr:x>0.45985</cdr:x>
      <cdr:y>0.2378</cdr:y>
    </cdr:to>
    <cdr:sp macro="" textlink="">
      <cdr:nvSpPr>
        <cdr:cNvPr id="93653" name="Text Box 18"/>
        <cdr:cNvSpPr txBox="1">
          <a:spLocks xmlns:a="http://schemas.openxmlformats.org/drawingml/2006/main" noChangeArrowheads="1"/>
        </cdr:cNvSpPr>
      </cdr:nvSpPr>
      <cdr:spPr bwMode="auto">
        <a:xfrm xmlns:a="http://schemas.openxmlformats.org/drawingml/2006/main">
          <a:off x="2399444" y="1924661"/>
          <a:ext cx="696912" cy="4519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17,428</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cdr:x>
      <cdr:y>0</cdr:y>
    </cdr:from>
    <cdr:to>
      <cdr:x>0.10802</cdr:x>
      <cdr:y>0.04011</cdr:y>
    </cdr:to>
    <cdr:sp macro="" textlink="">
      <cdr:nvSpPr>
        <cdr:cNvPr id="93654"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657" name="chart">
          <a:extLst xmlns:a="http://schemas.openxmlformats.org/drawingml/2006/main">
            <a:ext uri="{FF2B5EF4-FFF2-40B4-BE49-F238E27FC236}">
              <a16:creationId xmlns:a16="http://schemas.microsoft.com/office/drawing/2014/main" id="{C58601B7-CB4C-404D-9790-54DC56FA8BC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0.75626</cdr:x>
      <cdr:y>0.5088</cdr:y>
    </cdr:from>
    <cdr:to>
      <cdr:x>0.78107</cdr:x>
      <cdr:y>0.52825</cdr:y>
    </cdr:to>
    <cdr:sp macro="" textlink="">
      <cdr:nvSpPr>
        <cdr:cNvPr id="466" name="Line 27"/>
        <cdr:cNvSpPr>
          <a:spLocks xmlns:a="http://schemas.openxmlformats.org/drawingml/2006/main" noChangeShapeType="1"/>
        </cdr:cNvSpPr>
      </cdr:nvSpPr>
      <cdr:spPr bwMode="auto">
        <a:xfrm xmlns:a="http://schemas.openxmlformats.org/drawingml/2006/main">
          <a:off x="5092211" y="5084884"/>
          <a:ext cx="167064" cy="19441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0.06746</cdr:x>
      <cdr:y>0.86044</cdr:y>
    </cdr:from>
    <cdr:to>
      <cdr:x>0.86507</cdr:x>
      <cdr:y>0.98672</cdr:y>
    </cdr:to>
    <mc:AlternateContent xmlns:mc="http://schemas.openxmlformats.org/markup-compatibility/2006" xmlns:a14="http://schemas.microsoft.com/office/drawing/2010/main">
      <mc:Choice Requires="a14">
        <cdr:pic>
          <cdr:nvPicPr>
            <cdr:cNvPr id="160769" name="Picture 1">
              <a:extLst xmlns:a="http://schemas.openxmlformats.org/drawingml/2006/main">
                <a:ext uri="{FF2B5EF4-FFF2-40B4-BE49-F238E27FC236}">
                  <a16:creationId xmlns:a16="http://schemas.microsoft.com/office/drawing/2014/main" id="{A8325E0E-0B8D-4B4F-8B03-201C5E99CB29}"/>
                </a:ext>
              </a:extLst>
            </cdr:cNvPr>
            <cdr:cNvPicPr>
              <a:picLocks xmlns:a="http://schemas.openxmlformats.org/drawingml/2006/main" noChangeAspect="1" noChangeArrowheads="1"/>
              <a:extLst xmlns:a="http://schemas.openxmlformats.org/drawingml/2006/main">
                <a:ext uri="{84589F7E-364E-4C9E-8A38-B11213B215E9}">
                  <a14:cameraTool cellRange="'頁6データ (カメラ)'!$B$9:$O$14" spid="_x0000_s209629"/>
                </a:ext>
              </a:extLst>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453172" y="8587656"/>
              <a:ext cx="5357678" cy="1260366"/>
            </a:xfrm>
            <a:prstGeom xmlns:a="http://schemas.openxmlformats.org/drawingml/2006/main" prst="rect">
              <a:avLst/>
            </a:prstGeom>
            <a:solidFill xmlns:a="http://schemas.openxmlformats.org/drawingml/2006/main">
              <a:srgbClr val="FFFFFF" mc:Ignorable="a14" a14:legacySpreadsheetColorIndex="9"/>
            </a:solidFill>
            <a:ln xmlns:a="http://schemas.openxmlformats.org/drawingml/2006/main" w="9525">
              <a:noFill/>
              <a:miter lim="800000"/>
              <a:headEnd/>
              <a:tailEnd/>
            </a:ln>
          </cdr:spPr>
        </cdr:pic>
      </mc:Choice>
      <mc:Fallback xmlns=""/>
    </mc:AlternateContent>
  </cdr:relSizeAnchor>
  <cdr:relSizeAnchor xmlns:cdr="http://schemas.openxmlformats.org/drawingml/2006/chartDrawing">
    <cdr:from>
      <cdr:x>0.20362</cdr:x>
      <cdr:y>0.13787</cdr:y>
    </cdr:from>
    <cdr:to>
      <cdr:x>0.22565</cdr:x>
      <cdr:y>0.83071</cdr:y>
    </cdr:to>
    <cdr:grpSp>
      <cdr:nvGrpSpPr>
        <cdr:cNvPr id="214" name="グループ化 213">
          <a:extLst xmlns:a="http://schemas.openxmlformats.org/drawingml/2006/main">
            <a:ext uri="{FF2B5EF4-FFF2-40B4-BE49-F238E27FC236}">
              <a16:creationId xmlns:a16="http://schemas.microsoft.com/office/drawing/2014/main" id="{447B27CF-C1B6-38AD-FD31-075E53D5843D}"/>
            </a:ext>
          </a:extLst>
        </cdr:cNvPr>
        <cdr:cNvGrpSpPr/>
      </cdr:nvGrpSpPr>
      <cdr:grpSpPr>
        <a:xfrm xmlns:a="http://schemas.openxmlformats.org/drawingml/2006/main">
          <a:off x="1371213" y="1378872"/>
          <a:ext cx="148354" cy="6929266"/>
          <a:chOff x="0" y="0"/>
          <a:chExt cx="38864" cy="93838"/>
        </a:xfrm>
      </cdr:grpSpPr>
      <cdr:sp macro="" textlink="">
        <cdr:nvSpPr>
          <cdr:cNvPr id="215" name="小波 214"/>
          <cdr:cNvSpPr/>
        </cdr:nvSpPr>
        <cdr:spPr>
          <a:xfrm xmlns:a="http://schemas.openxmlformats.org/drawingml/2006/main" rot="5400000">
            <a:off x="7724" y="15777"/>
            <a:ext cx="23399" cy="38846"/>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ltLang="en-US"/>
          </a:p>
        </cdr:txBody>
      </cdr:sp>
      <cdr:sp macro="" textlink="">
        <cdr:nvSpPr>
          <cdr:cNvPr id="216" name="小波 215"/>
          <cdr:cNvSpPr/>
        </cdr:nvSpPr>
        <cdr:spPr>
          <a:xfrm xmlns:a="http://schemas.openxmlformats.org/drawingml/2006/main" rot="5400000">
            <a:off x="7763" y="62737"/>
            <a:ext cx="23356" cy="38846"/>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ltLang="en-US"/>
          </a:p>
        </cdr:txBody>
      </cdr:sp>
      <cdr:sp macro="" textlink="">
        <cdr:nvSpPr>
          <cdr:cNvPr id="217" name="小波 216"/>
          <cdr:cNvSpPr/>
        </cdr:nvSpPr>
        <cdr:spPr>
          <a:xfrm xmlns:a="http://schemas.openxmlformats.org/drawingml/2006/main" rot="5400000">
            <a:off x="7745" y="39238"/>
            <a:ext cx="23356" cy="38846"/>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ltLang="en-US"/>
          </a:p>
        </cdr:txBody>
      </cdr:sp>
      <cdr:sp macro="" textlink="">
        <cdr:nvSpPr>
          <cdr:cNvPr id="218" name="小波 217"/>
          <cdr:cNvSpPr/>
        </cdr:nvSpPr>
        <cdr:spPr>
          <a:xfrm xmlns:a="http://schemas.openxmlformats.org/drawingml/2006/main" rot="5400000">
            <a:off x="7745" y="-7684"/>
            <a:ext cx="23356" cy="38846"/>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ltLang="en-US"/>
          </a:p>
        </cdr:txBody>
      </cdr:sp>
      <cdr:cxnSp macro="">
        <cdr:nvCxnSpPr>
          <cdr:cNvPr id="219" name="直線コネクタ 218">
            <a:extLst xmlns:a="http://schemas.openxmlformats.org/drawingml/2006/main">
              <a:ext uri="{FF2B5EF4-FFF2-40B4-BE49-F238E27FC236}">
                <a16:creationId xmlns:a16="http://schemas.microsoft.com/office/drawing/2014/main" id="{35810274-F802-DF5E-FEA5-38D366A35D79}"/>
              </a:ext>
            </a:extLst>
          </cdr:cNvPr>
          <cdr:cNvCxnSpPr/>
        </cdr:nvCxnSpPr>
        <cdr:spPr>
          <a:xfrm xmlns:a="http://schemas.openxmlformats.org/drawingml/2006/main" flipV="1">
            <a:off x="8392" y="0"/>
            <a:ext cx="23068" cy="0"/>
          </a:xfrm>
          <a:prstGeom xmlns:a="http://schemas.openxmlformats.org/drawingml/2006/main" prst="line">
            <a:avLst/>
          </a:prstGeom>
          <a:ln xmlns:a="http://schemas.openxmlformats.org/drawingml/2006/main" w="317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220" name="直線コネクタ 219">
            <a:extLst xmlns:a="http://schemas.openxmlformats.org/drawingml/2006/main">
              <a:ext uri="{FF2B5EF4-FFF2-40B4-BE49-F238E27FC236}">
                <a16:creationId xmlns:a16="http://schemas.microsoft.com/office/drawing/2014/main" id="{37B41336-22A6-DA66-3A79-24F64A159AAA}"/>
              </a:ext>
            </a:extLst>
          </cdr:cNvPr>
          <cdr:cNvCxnSpPr/>
        </cdr:nvCxnSpPr>
        <cdr:spPr>
          <a:xfrm xmlns:a="http://schemas.openxmlformats.org/drawingml/2006/main" flipV="1">
            <a:off x="8392" y="23430"/>
            <a:ext cx="23068" cy="0"/>
          </a:xfrm>
          <a:prstGeom xmlns:a="http://schemas.openxmlformats.org/drawingml/2006/main" prst="line">
            <a:avLst/>
          </a:prstGeom>
          <a:ln xmlns:a="http://schemas.openxmlformats.org/drawingml/2006/main" w="317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221" name="直線コネクタ 220">
            <a:extLst xmlns:a="http://schemas.openxmlformats.org/drawingml/2006/main">
              <a:ext uri="{FF2B5EF4-FFF2-40B4-BE49-F238E27FC236}">
                <a16:creationId xmlns:a16="http://schemas.microsoft.com/office/drawing/2014/main" id="{68B5BEF9-E00A-332E-7C5A-780EEEB40140}"/>
              </a:ext>
            </a:extLst>
          </cdr:cNvPr>
          <cdr:cNvCxnSpPr/>
        </cdr:nvCxnSpPr>
        <cdr:spPr>
          <a:xfrm xmlns:a="http://schemas.openxmlformats.org/drawingml/2006/main" flipV="1">
            <a:off x="8392" y="46832"/>
            <a:ext cx="23068" cy="0"/>
          </a:xfrm>
          <a:prstGeom xmlns:a="http://schemas.openxmlformats.org/drawingml/2006/main" prst="line">
            <a:avLst/>
          </a:prstGeom>
          <a:ln xmlns:a="http://schemas.openxmlformats.org/drawingml/2006/main" w="317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222" name="直線コネクタ 221">
            <a:extLst xmlns:a="http://schemas.openxmlformats.org/drawingml/2006/main">
              <a:ext uri="{FF2B5EF4-FFF2-40B4-BE49-F238E27FC236}">
                <a16:creationId xmlns:a16="http://schemas.microsoft.com/office/drawing/2014/main" id="{8BFBC04B-6B1C-D9B1-4B5A-E0DD2BAB0374}"/>
              </a:ext>
            </a:extLst>
          </cdr:cNvPr>
          <cdr:cNvCxnSpPr/>
        </cdr:nvCxnSpPr>
        <cdr:spPr>
          <a:xfrm xmlns:a="http://schemas.openxmlformats.org/drawingml/2006/main" flipV="1">
            <a:off x="8434" y="70316"/>
            <a:ext cx="23068" cy="0"/>
          </a:xfrm>
          <a:prstGeom xmlns:a="http://schemas.openxmlformats.org/drawingml/2006/main" prst="line">
            <a:avLst/>
          </a:prstGeom>
          <a:ln xmlns:a="http://schemas.openxmlformats.org/drawingml/2006/main" w="317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223" name="直線コネクタ 222">
            <a:extLst xmlns:a="http://schemas.openxmlformats.org/drawingml/2006/main">
              <a:ext uri="{FF2B5EF4-FFF2-40B4-BE49-F238E27FC236}">
                <a16:creationId xmlns:a16="http://schemas.microsoft.com/office/drawing/2014/main" id="{913BBF42-4C12-0918-2614-701A74716655}"/>
              </a:ext>
            </a:extLst>
          </cdr:cNvPr>
          <cdr:cNvCxnSpPr/>
        </cdr:nvCxnSpPr>
        <cdr:spPr>
          <a:xfrm xmlns:a="http://schemas.openxmlformats.org/drawingml/2006/main" flipV="1">
            <a:off x="6997" y="93815"/>
            <a:ext cx="23068" cy="0"/>
          </a:xfrm>
          <a:prstGeom xmlns:a="http://schemas.openxmlformats.org/drawingml/2006/main" prst="line">
            <a:avLst/>
          </a:prstGeom>
          <a:ln xmlns:a="http://schemas.openxmlformats.org/drawingml/2006/main" w="190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8.xml><?xml version="1.0" encoding="utf-8"?>
<xdr:wsDr xmlns:xdr="http://schemas.openxmlformats.org/drawingml/2006/spreadsheetDrawing" xmlns:a="http://schemas.openxmlformats.org/drawingml/2006/main">
  <xdr:twoCellAnchor>
    <xdr:from>
      <xdr:col>1</xdr:col>
      <xdr:colOff>38100</xdr:colOff>
      <xdr:row>52</xdr:row>
      <xdr:rowOff>9525</xdr:rowOff>
    </xdr:from>
    <xdr:to>
      <xdr:col>14</xdr:col>
      <xdr:colOff>561975</xdr:colOff>
      <xdr:row>60</xdr:row>
      <xdr:rowOff>161926</xdr:rowOff>
    </xdr:to>
    <xdr:graphicFrame macro="">
      <xdr:nvGraphicFramePr>
        <xdr:cNvPr id="2" name="Chart 1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126094</xdr:colOff>
      <xdr:row>52</xdr:row>
      <xdr:rowOff>64236</xdr:rowOff>
    </xdr:from>
    <xdr:ext cx="667812" cy="151836"/>
    <xdr:sp macro="" textlink="">
      <xdr:nvSpPr>
        <xdr:cNvPr id="3" name="Text Box 7">
          <a:extLst>
            <a:ext uri="{FF2B5EF4-FFF2-40B4-BE49-F238E27FC236}">
              <a16:creationId xmlns:a16="http://schemas.microsoft.com/office/drawing/2014/main" id="{00000000-0008-0000-0800-000003000000}"/>
            </a:ext>
          </a:extLst>
        </xdr:cNvPr>
        <xdr:cNvSpPr txBox="1">
          <a:spLocks noChangeArrowheads="1"/>
        </xdr:cNvSpPr>
      </xdr:nvSpPr>
      <xdr:spPr bwMode="auto">
        <a:xfrm>
          <a:off x="1954894" y="8646261"/>
          <a:ext cx="667812" cy="151836"/>
        </a:xfrm>
        <a:prstGeom prst="rect">
          <a:avLst/>
        </a:prstGeom>
        <a:noFill/>
        <a:ln w="9525">
          <a:solidFill>
            <a:schemeClr val="accent1"/>
          </a:solid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 収入のピーク </a:t>
          </a:r>
        </a:p>
      </xdr:txBody>
    </xdr:sp>
    <xdr:clientData/>
  </xdr:oneCellAnchor>
  <xdr:twoCellAnchor>
    <xdr:from>
      <xdr:col>7</xdr:col>
      <xdr:colOff>390525</xdr:colOff>
      <xdr:row>53</xdr:row>
      <xdr:rowOff>550767</xdr:rowOff>
    </xdr:from>
    <xdr:to>
      <xdr:col>7</xdr:col>
      <xdr:colOff>685800</xdr:colOff>
      <xdr:row>53</xdr:row>
      <xdr:rowOff>550767</xdr:rowOff>
    </xdr:to>
    <xdr:cxnSp macro="">
      <xdr:nvCxnSpPr>
        <xdr:cNvPr id="4" name="直線矢印コネクタ 4">
          <a:extLst>
            <a:ext uri="{FF2B5EF4-FFF2-40B4-BE49-F238E27FC236}">
              <a16:creationId xmlns:a16="http://schemas.microsoft.com/office/drawing/2014/main" id="{00000000-0008-0000-0800-000004000000}"/>
            </a:ext>
          </a:extLst>
        </xdr:cNvPr>
        <xdr:cNvCxnSpPr>
          <a:cxnSpLocks noChangeShapeType="1"/>
        </xdr:cNvCxnSpPr>
      </xdr:nvCxnSpPr>
      <xdr:spPr bwMode="auto">
        <a:xfrm rot="10800000">
          <a:off x="6086475" y="10809192"/>
          <a:ext cx="295275" cy="0"/>
        </a:xfrm>
        <a:prstGeom prst="straightConnector1">
          <a:avLst/>
        </a:prstGeom>
        <a:noFill/>
        <a:ln w="6350" algn="ctr">
          <a:solidFill>
            <a:srgbClr val="000000"/>
          </a:solidFill>
          <a:round/>
          <a:headEnd/>
          <a:tailEnd type="stealth" w="med" len="med"/>
        </a:ln>
      </xdr:spPr>
    </xdr:cxnSp>
    <xdr:clientData/>
  </xdr:twoCellAnchor>
  <xdr:twoCellAnchor>
    <xdr:from>
      <xdr:col>7</xdr:col>
      <xdr:colOff>390525</xdr:colOff>
      <xdr:row>54</xdr:row>
      <xdr:rowOff>196663</xdr:rowOff>
    </xdr:from>
    <xdr:to>
      <xdr:col>7</xdr:col>
      <xdr:colOff>685800</xdr:colOff>
      <xdr:row>54</xdr:row>
      <xdr:rowOff>196663</xdr:rowOff>
    </xdr:to>
    <xdr:cxnSp macro="">
      <xdr:nvCxnSpPr>
        <xdr:cNvPr id="5" name="直線矢印コネクタ 4">
          <a:extLst>
            <a:ext uri="{FF2B5EF4-FFF2-40B4-BE49-F238E27FC236}">
              <a16:creationId xmlns:a16="http://schemas.microsoft.com/office/drawing/2014/main" id="{00000000-0008-0000-0800-000005000000}"/>
            </a:ext>
          </a:extLst>
        </xdr:cNvPr>
        <xdr:cNvCxnSpPr>
          <a:cxnSpLocks noChangeShapeType="1"/>
        </xdr:cNvCxnSpPr>
      </xdr:nvCxnSpPr>
      <xdr:spPr bwMode="auto">
        <a:xfrm rot="10800000">
          <a:off x="6086475" y="11426638"/>
          <a:ext cx="295275" cy="0"/>
        </a:xfrm>
        <a:prstGeom prst="straightConnector1">
          <a:avLst/>
        </a:prstGeom>
        <a:noFill/>
        <a:ln w="6350" algn="ctr">
          <a:solidFill>
            <a:srgbClr val="000000"/>
          </a:solidFill>
          <a:round/>
          <a:headEnd/>
          <a:tailEnd type="stealth" w="med" len="med"/>
        </a:ln>
      </xdr:spPr>
    </xdr:cxnSp>
    <xdr:clientData/>
  </xdr:twoCellAnchor>
  <xdr:twoCellAnchor>
    <xdr:from>
      <xdr:col>7</xdr:col>
      <xdr:colOff>390525</xdr:colOff>
      <xdr:row>53</xdr:row>
      <xdr:rowOff>825872</xdr:rowOff>
    </xdr:from>
    <xdr:to>
      <xdr:col>7</xdr:col>
      <xdr:colOff>685800</xdr:colOff>
      <xdr:row>53</xdr:row>
      <xdr:rowOff>825872</xdr:rowOff>
    </xdr:to>
    <xdr:cxnSp macro="">
      <xdr:nvCxnSpPr>
        <xdr:cNvPr id="6" name="直線矢印コネクタ 4">
          <a:extLst>
            <a:ext uri="{FF2B5EF4-FFF2-40B4-BE49-F238E27FC236}">
              <a16:creationId xmlns:a16="http://schemas.microsoft.com/office/drawing/2014/main" id="{00000000-0008-0000-0800-000006000000}"/>
            </a:ext>
          </a:extLst>
        </xdr:cNvPr>
        <xdr:cNvCxnSpPr>
          <a:cxnSpLocks noChangeShapeType="1"/>
        </xdr:cNvCxnSpPr>
      </xdr:nvCxnSpPr>
      <xdr:spPr bwMode="auto">
        <a:xfrm rot="10800000">
          <a:off x="6086475" y="11084297"/>
          <a:ext cx="295275" cy="0"/>
        </a:xfrm>
        <a:prstGeom prst="straightConnector1">
          <a:avLst/>
        </a:prstGeom>
        <a:noFill/>
        <a:ln w="6350" algn="ctr">
          <a:solidFill>
            <a:srgbClr val="000000"/>
          </a:solidFill>
          <a:round/>
          <a:headEnd/>
          <a:tailEnd type="stealth" w="med" len="med"/>
        </a:ln>
      </xdr:spPr>
    </xdr:cxnSp>
    <xdr:clientData/>
  </xdr:twoCellAnchor>
  <xdr:twoCellAnchor>
    <xdr:from>
      <xdr:col>7</xdr:col>
      <xdr:colOff>390525</xdr:colOff>
      <xdr:row>56</xdr:row>
      <xdr:rowOff>104775</xdr:rowOff>
    </xdr:from>
    <xdr:to>
      <xdr:col>7</xdr:col>
      <xdr:colOff>685800</xdr:colOff>
      <xdr:row>56</xdr:row>
      <xdr:rowOff>104775</xdr:rowOff>
    </xdr:to>
    <xdr:cxnSp macro="">
      <xdr:nvCxnSpPr>
        <xdr:cNvPr id="7" name="直線矢印コネクタ 4">
          <a:extLst>
            <a:ext uri="{FF2B5EF4-FFF2-40B4-BE49-F238E27FC236}">
              <a16:creationId xmlns:a16="http://schemas.microsoft.com/office/drawing/2014/main" id="{00000000-0008-0000-0800-000007000000}"/>
            </a:ext>
          </a:extLst>
        </xdr:cNvPr>
        <xdr:cNvCxnSpPr>
          <a:cxnSpLocks noChangeShapeType="1"/>
        </xdr:cNvCxnSpPr>
      </xdr:nvCxnSpPr>
      <xdr:spPr bwMode="auto">
        <a:xfrm rot="10800000">
          <a:off x="6086475" y="11887200"/>
          <a:ext cx="295275" cy="0"/>
        </a:xfrm>
        <a:prstGeom prst="straightConnector1">
          <a:avLst/>
        </a:prstGeom>
        <a:noFill/>
        <a:ln w="6350" algn="ctr">
          <a:solidFill>
            <a:srgbClr val="000000"/>
          </a:solidFill>
          <a:round/>
          <a:headEnd/>
          <a:tailEnd type="stealth" w="med" len="med"/>
        </a:ln>
      </xdr:spPr>
    </xdr:cxnSp>
    <xdr:clientData/>
  </xdr:twoCellAnchor>
  <xdr:oneCellAnchor>
    <xdr:from>
      <xdr:col>7</xdr:col>
      <xdr:colOff>695325</xdr:colOff>
      <xdr:row>53</xdr:row>
      <xdr:rowOff>462801</xdr:rowOff>
    </xdr:from>
    <xdr:ext cx="542158" cy="151836"/>
    <xdr:sp macro="" textlink="">
      <xdr:nvSpPr>
        <xdr:cNvPr id="8" name="Text Box 7">
          <a:extLst>
            <a:ext uri="{FF2B5EF4-FFF2-40B4-BE49-F238E27FC236}">
              <a16:creationId xmlns:a16="http://schemas.microsoft.com/office/drawing/2014/main" id="{00000000-0008-0000-0800-000008000000}"/>
            </a:ext>
          </a:extLst>
        </xdr:cNvPr>
        <xdr:cNvSpPr txBox="1">
          <a:spLocks noChangeArrowheads="1"/>
        </xdr:cNvSpPr>
      </xdr:nvSpPr>
      <xdr:spPr bwMode="auto">
        <a:xfrm>
          <a:off x="6391275" y="10721226"/>
          <a:ext cx="542158"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その他の税</a:t>
          </a:r>
        </a:p>
      </xdr:txBody>
    </xdr:sp>
    <xdr:clientData/>
  </xdr:oneCellAnchor>
  <xdr:oneCellAnchor>
    <xdr:from>
      <xdr:col>7</xdr:col>
      <xdr:colOff>714375</xdr:colOff>
      <xdr:row>53</xdr:row>
      <xdr:rowOff>749672</xdr:rowOff>
    </xdr:from>
    <xdr:ext cx="550146" cy="151836"/>
    <xdr:sp macro="" textlink="">
      <xdr:nvSpPr>
        <xdr:cNvPr id="9" name="Text Box 7">
          <a:extLst>
            <a:ext uri="{FF2B5EF4-FFF2-40B4-BE49-F238E27FC236}">
              <a16:creationId xmlns:a16="http://schemas.microsoft.com/office/drawing/2014/main" id="{00000000-0008-0000-0800-000009000000}"/>
            </a:ext>
          </a:extLst>
        </xdr:cNvPr>
        <xdr:cNvSpPr txBox="1">
          <a:spLocks noChangeArrowheads="1"/>
        </xdr:cNvSpPr>
      </xdr:nvSpPr>
      <xdr:spPr bwMode="auto">
        <a:xfrm>
          <a:off x="6410325" y="11008097"/>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個人市民税</a:t>
          </a:r>
        </a:p>
      </xdr:txBody>
    </xdr:sp>
    <xdr:clientData/>
  </xdr:oneCellAnchor>
  <xdr:oneCellAnchor>
    <xdr:from>
      <xdr:col>7</xdr:col>
      <xdr:colOff>714375</xdr:colOff>
      <xdr:row>54</xdr:row>
      <xdr:rowOff>110938</xdr:rowOff>
    </xdr:from>
    <xdr:ext cx="550146" cy="151836"/>
    <xdr:sp macro="" textlink="">
      <xdr:nvSpPr>
        <xdr:cNvPr id="10" name="Text Box 7">
          <a:extLst>
            <a:ext uri="{FF2B5EF4-FFF2-40B4-BE49-F238E27FC236}">
              <a16:creationId xmlns:a16="http://schemas.microsoft.com/office/drawing/2014/main" id="{00000000-0008-0000-0800-00000A000000}"/>
            </a:ext>
          </a:extLst>
        </xdr:cNvPr>
        <xdr:cNvSpPr txBox="1">
          <a:spLocks noChangeArrowheads="1"/>
        </xdr:cNvSpPr>
      </xdr:nvSpPr>
      <xdr:spPr bwMode="auto">
        <a:xfrm>
          <a:off x="6410325" y="11340913"/>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法人市民税</a:t>
          </a:r>
        </a:p>
      </xdr:txBody>
    </xdr:sp>
    <xdr:clientData/>
  </xdr:oneCellAnchor>
  <xdr:oneCellAnchor>
    <xdr:from>
      <xdr:col>7</xdr:col>
      <xdr:colOff>714375</xdr:colOff>
      <xdr:row>55</xdr:row>
      <xdr:rowOff>238115</xdr:rowOff>
    </xdr:from>
    <xdr:ext cx="550146" cy="285206"/>
    <xdr:sp macro="" textlink="">
      <xdr:nvSpPr>
        <xdr:cNvPr id="11" name="Text Box 7">
          <a:extLst>
            <a:ext uri="{FF2B5EF4-FFF2-40B4-BE49-F238E27FC236}">
              <a16:creationId xmlns:a16="http://schemas.microsoft.com/office/drawing/2014/main" id="{00000000-0008-0000-0800-00000B000000}"/>
            </a:ext>
          </a:extLst>
        </xdr:cNvPr>
        <xdr:cNvSpPr txBox="1">
          <a:spLocks noChangeArrowheads="1"/>
        </xdr:cNvSpPr>
      </xdr:nvSpPr>
      <xdr:spPr bwMode="auto">
        <a:xfrm>
          <a:off x="6410325" y="11744315"/>
          <a:ext cx="550146" cy="28520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固定資産税</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都市計画税</a:t>
          </a:r>
        </a:p>
      </xdr:txBody>
    </xdr:sp>
    <xdr:clientData/>
  </xdr:oneCellAnchor>
  <xdr:twoCellAnchor>
    <xdr:from>
      <xdr:col>5</xdr:col>
      <xdr:colOff>161925</xdr:colOff>
      <xdr:row>56</xdr:row>
      <xdr:rowOff>123825</xdr:rowOff>
    </xdr:from>
    <xdr:to>
      <xdr:col>5</xdr:col>
      <xdr:colOff>323850</xdr:colOff>
      <xdr:row>58</xdr:row>
      <xdr:rowOff>104775</xdr:rowOff>
    </xdr:to>
    <xdr:grpSp>
      <xdr:nvGrpSpPr>
        <xdr:cNvPr id="12" name="グループ化 11">
          <a:extLst>
            <a:ext uri="{FF2B5EF4-FFF2-40B4-BE49-F238E27FC236}">
              <a16:creationId xmlns:a16="http://schemas.microsoft.com/office/drawing/2014/main" id="{00000000-0008-0000-0800-00000C000000}"/>
            </a:ext>
          </a:extLst>
        </xdr:cNvPr>
        <xdr:cNvGrpSpPr/>
      </xdr:nvGrpSpPr>
      <xdr:grpSpPr>
        <a:xfrm>
          <a:off x="3324225" y="11906250"/>
          <a:ext cx="161925" cy="457200"/>
          <a:chOff x="3371850" y="11420475"/>
          <a:chExt cx="161925" cy="323850"/>
        </a:xfrm>
      </xdr:grpSpPr>
      <xdr:sp macro="" textlink="">
        <xdr:nvSpPr>
          <xdr:cNvPr id="13" name="フリーフォーム 12">
            <a:extLst>
              <a:ext uri="{FF2B5EF4-FFF2-40B4-BE49-F238E27FC236}">
                <a16:creationId xmlns:a16="http://schemas.microsoft.com/office/drawing/2014/main" id="{00000000-0008-0000-0800-00000D000000}"/>
              </a:ext>
            </a:extLst>
          </xdr:cNvPr>
          <xdr:cNvSpPr/>
        </xdr:nvSpPr>
        <xdr:spPr bwMode="auto">
          <a:xfrm>
            <a:off x="3429001" y="11420476"/>
            <a:ext cx="104774" cy="323849"/>
          </a:xfrm>
          <a:custGeom>
            <a:avLst/>
            <a:gdLst>
              <a:gd name="connsiteX0" fmla="*/ 638175 w 638187"/>
              <a:gd name="connsiteY0" fmla="*/ 0 h 2085975"/>
              <a:gd name="connsiteX1" fmla="*/ 19050 w 638187"/>
              <a:gd name="connsiteY1" fmla="*/ 704850 h 2085975"/>
              <a:gd name="connsiteX2" fmla="*/ 638175 w 638187"/>
              <a:gd name="connsiteY2" fmla="*/ 1381125 h 2085975"/>
              <a:gd name="connsiteX3" fmla="*/ 0 w 638187"/>
              <a:gd name="connsiteY3" fmla="*/ 2085975 h 2085975"/>
            </a:gdLst>
            <a:ahLst/>
            <a:cxnLst>
              <a:cxn ang="0">
                <a:pos x="connsiteX0" y="connsiteY0"/>
              </a:cxn>
              <a:cxn ang="0">
                <a:pos x="connsiteX1" y="connsiteY1"/>
              </a:cxn>
              <a:cxn ang="0">
                <a:pos x="connsiteX2" y="connsiteY2"/>
              </a:cxn>
              <a:cxn ang="0">
                <a:pos x="connsiteX3" y="connsiteY3"/>
              </a:cxn>
            </a:cxnLst>
            <a:rect l="l" t="t" r="r" b="b"/>
            <a:pathLst>
              <a:path w="638187" h="2085975">
                <a:moveTo>
                  <a:pt x="638175" y="0"/>
                </a:moveTo>
                <a:cubicBezTo>
                  <a:pt x="328612" y="237331"/>
                  <a:pt x="19050" y="474663"/>
                  <a:pt x="19050" y="704850"/>
                </a:cubicBezTo>
                <a:cubicBezTo>
                  <a:pt x="19050" y="935037"/>
                  <a:pt x="641350" y="1150938"/>
                  <a:pt x="638175" y="1381125"/>
                </a:cubicBezTo>
                <a:cubicBezTo>
                  <a:pt x="635000" y="1611312"/>
                  <a:pt x="317500" y="1848643"/>
                  <a:pt x="0" y="2085975"/>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rtlCol="0" anchor="t"/>
          <a:lstStyle/>
          <a:p>
            <a:pPr algn="l"/>
            <a:endParaRPr kumimoji="1" lang="ja-JP" altLang="en-US" sz="1100"/>
          </a:p>
        </xdr:txBody>
      </xdr:sp>
      <xdr:sp macro="" textlink="">
        <xdr:nvSpPr>
          <xdr:cNvPr id="14" name="フリーフォーム 13">
            <a:extLst>
              <a:ext uri="{FF2B5EF4-FFF2-40B4-BE49-F238E27FC236}">
                <a16:creationId xmlns:a16="http://schemas.microsoft.com/office/drawing/2014/main" id="{00000000-0008-0000-0800-00000E000000}"/>
              </a:ext>
            </a:extLst>
          </xdr:cNvPr>
          <xdr:cNvSpPr/>
        </xdr:nvSpPr>
        <xdr:spPr bwMode="auto">
          <a:xfrm>
            <a:off x="3371850" y="11420475"/>
            <a:ext cx="104774" cy="323849"/>
          </a:xfrm>
          <a:custGeom>
            <a:avLst/>
            <a:gdLst>
              <a:gd name="connsiteX0" fmla="*/ 638175 w 638187"/>
              <a:gd name="connsiteY0" fmla="*/ 0 h 2085975"/>
              <a:gd name="connsiteX1" fmla="*/ 19050 w 638187"/>
              <a:gd name="connsiteY1" fmla="*/ 704850 h 2085975"/>
              <a:gd name="connsiteX2" fmla="*/ 638175 w 638187"/>
              <a:gd name="connsiteY2" fmla="*/ 1381125 h 2085975"/>
              <a:gd name="connsiteX3" fmla="*/ 0 w 638187"/>
              <a:gd name="connsiteY3" fmla="*/ 2085975 h 2085975"/>
            </a:gdLst>
            <a:ahLst/>
            <a:cxnLst>
              <a:cxn ang="0">
                <a:pos x="connsiteX0" y="connsiteY0"/>
              </a:cxn>
              <a:cxn ang="0">
                <a:pos x="connsiteX1" y="connsiteY1"/>
              </a:cxn>
              <a:cxn ang="0">
                <a:pos x="connsiteX2" y="connsiteY2"/>
              </a:cxn>
              <a:cxn ang="0">
                <a:pos x="connsiteX3" y="connsiteY3"/>
              </a:cxn>
            </a:cxnLst>
            <a:rect l="l" t="t" r="r" b="b"/>
            <a:pathLst>
              <a:path w="638187" h="2085975">
                <a:moveTo>
                  <a:pt x="638175" y="0"/>
                </a:moveTo>
                <a:cubicBezTo>
                  <a:pt x="328612" y="237331"/>
                  <a:pt x="19050" y="474663"/>
                  <a:pt x="19050" y="704850"/>
                </a:cubicBezTo>
                <a:cubicBezTo>
                  <a:pt x="19050" y="935037"/>
                  <a:pt x="641350" y="1150938"/>
                  <a:pt x="638175" y="1381125"/>
                </a:cubicBezTo>
                <a:cubicBezTo>
                  <a:pt x="635000" y="1611312"/>
                  <a:pt x="317500" y="1848643"/>
                  <a:pt x="0" y="2085975"/>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rtlCol="0" anchor="t"/>
          <a:lstStyle/>
          <a:p>
            <a:pPr algn="l"/>
            <a:endParaRPr kumimoji="1" lang="ja-JP" altLang="en-US" sz="1100"/>
          </a:p>
        </xdr:txBody>
      </xdr:sp>
    </xdr:grpSp>
    <xdr:clientData/>
  </xdr:twoCellAnchor>
  <xdr:twoCellAnchor>
    <xdr:from>
      <xdr:col>0</xdr:col>
      <xdr:colOff>76200</xdr:colOff>
      <xdr:row>0</xdr:row>
      <xdr:rowOff>47625</xdr:rowOff>
    </xdr:from>
    <xdr:to>
      <xdr:col>6</xdr:col>
      <xdr:colOff>107381</xdr:colOff>
      <xdr:row>3</xdr:row>
      <xdr:rowOff>31547</xdr:rowOff>
    </xdr:to>
    <xdr:sp macro="" textlink="">
      <xdr:nvSpPr>
        <xdr:cNvPr id="15" name="AutoShape 14">
          <a:extLst>
            <a:ext uri="{FF2B5EF4-FFF2-40B4-BE49-F238E27FC236}">
              <a16:creationId xmlns:a16="http://schemas.microsoft.com/office/drawing/2014/main" id="{00000000-0008-0000-0800-00000F000000}"/>
            </a:ext>
          </a:extLst>
        </xdr:cNvPr>
        <xdr:cNvSpPr>
          <a:spLocks noChangeArrowheads="1"/>
        </xdr:cNvSpPr>
      </xdr:nvSpPr>
      <xdr:spPr bwMode="auto">
        <a:xfrm>
          <a:off x="76200" y="47625"/>
          <a:ext cx="3688781" cy="469697"/>
        </a:xfrm>
        <a:prstGeom prst="foldedCorner">
          <a:avLst>
            <a:gd name="adj" fmla="val 11523"/>
          </a:avLst>
        </a:prstGeom>
        <a:gradFill rotWithShape="1">
          <a:gsLst>
            <a:gs pos="0">
              <a:srgbClr val="FFFFFF">
                <a:gamma/>
                <a:shade val="46275"/>
                <a:invGamma/>
              </a:srgbClr>
            </a:gs>
            <a:gs pos="50000">
              <a:srgbClr val="FFFFFF">
                <a:alpha val="56000"/>
              </a:srgbClr>
            </a:gs>
            <a:gs pos="100000">
              <a:srgbClr val="FFFFFF">
                <a:gamma/>
                <a:shade val="46275"/>
                <a:invGamma/>
              </a:srgbClr>
            </a:gs>
          </a:gsLst>
          <a:lin ang="5400000" scaled="1"/>
        </a:gradFill>
        <a:ln w="9525">
          <a:solidFill>
            <a:srgbClr val="000000"/>
          </a:solidFill>
          <a:round/>
          <a:headEnd/>
          <a:tailEnd/>
        </a:ln>
      </xdr:spPr>
      <xdr:txBody>
        <a:bodyPr vertOverflow="clip" wrap="square" lIns="36576" tIns="72000" rIns="0" bIns="22860" anchor="ctr" upright="1"/>
        <a:lstStyle/>
        <a:p>
          <a:pPr algn="l" rtl="0">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参考</a:t>
          </a:r>
          <a:r>
            <a:rPr lang="en-US" altLang="ja-JP" sz="1600" b="1" i="0" u="none" strike="noStrike" baseline="0">
              <a:solidFill>
                <a:srgbClr val="000000"/>
              </a:solidFill>
              <a:latin typeface="メイリオ" panose="020B0604030504040204" pitchFamily="50" charset="-128"/>
              <a:ea typeface="メイリオ" panose="020B0604030504040204" pitchFamily="50" charset="-128"/>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令和</a:t>
          </a:r>
          <a:r>
            <a:rPr lang="ja-JP" altLang="en-US" sz="1600" b="1" i="0" u="none" strike="noStrike" baseline="0">
              <a:solidFill>
                <a:schemeClr val="tx1"/>
              </a:solidFill>
              <a:latin typeface="メイリオ" panose="020B0604030504040204" pitchFamily="50" charset="-128"/>
              <a:ea typeface="メイリオ" panose="020B0604030504040204" pitchFamily="50" charset="-128"/>
            </a:rPr>
            <a:t>２</a:t>
          </a: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年度　市税決算見込の状況</a:t>
          </a:r>
        </a:p>
      </xdr:txBody>
    </xdr:sp>
    <xdr:clientData/>
  </xdr:twoCellAnchor>
  <xdr:twoCellAnchor editAs="oneCell">
    <xdr:from>
      <xdr:col>3</xdr:col>
      <xdr:colOff>95250</xdr:colOff>
      <xdr:row>45</xdr:row>
      <xdr:rowOff>47625</xdr:rowOff>
    </xdr:from>
    <xdr:to>
      <xdr:col>5</xdr:col>
      <xdr:colOff>494030</xdr:colOff>
      <xdr:row>50</xdr:row>
      <xdr:rowOff>8444</xdr:rowOff>
    </xdr:to>
    <xdr:pic>
      <xdr:nvPicPr>
        <xdr:cNvPr id="18" name="図 17">
          <a:extLst>
            <a:ext uri="{FF2B5EF4-FFF2-40B4-BE49-F238E27FC236}">
              <a16:creationId xmlns:a16="http://schemas.microsoft.com/office/drawing/2014/main" id="{00000000-0008-0000-0800-000012000000}"/>
            </a:ext>
          </a:extLst>
        </xdr:cNvPr>
        <xdr:cNvPicPr>
          <a:picLocks noChangeAspect="1"/>
        </xdr:cNvPicPr>
      </xdr:nvPicPr>
      <xdr:blipFill>
        <a:blip xmlns:r="http://schemas.openxmlformats.org/officeDocument/2006/relationships" r:embed="rId2"/>
        <a:stretch>
          <a:fillRect/>
        </a:stretch>
      </xdr:blipFill>
      <xdr:spPr>
        <a:xfrm>
          <a:off x="723900" y="9124950"/>
          <a:ext cx="2932430" cy="7132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155575</xdr:colOff>
      <xdr:row>0</xdr:row>
      <xdr:rowOff>95250</xdr:rowOff>
    </xdr:from>
    <xdr:to>
      <xdr:col>27</xdr:col>
      <xdr:colOff>107950</xdr:colOff>
      <xdr:row>23</xdr:row>
      <xdr:rowOff>123825</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25</xdr:row>
      <xdr:rowOff>0</xdr:rowOff>
    </xdr:from>
    <xdr:to>
      <xdr:col>31</xdr:col>
      <xdr:colOff>161924</xdr:colOff>
      <xdr:row>44</xdr:row>
      <xdr:rowOff>47625</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47624</xdr:colOff>
      <xdr:row>2</xdr:row>
      <xdr:rowOff>228600</xdr:rowOff>
    </xdr:from>
    <xdr:to>
      <xdr:col>10</xdr:col>
      <xdr:colOff>66675</xdr:colOff>
      <xdr:row>4</xdr:row>
      <xdr:rowOff>9525</xdr:rowOff>
    </xdr:to>
    <xdr:sp macro="" textlink="">
      <xdr:nvSpPr>
        <xdr:cNvPr id="5" name="AutoShape 9">
          <a:extLst>
            <a:ext uri="{FF2B5EF4-FFF2-40B4-BE49-F238E27FC236}">
              <a16:creationId xmlns:a16="http://schemas.microsoft.com/office/drawing/2014/main" id="{00000000-0008-0000-0C00-000005000000}"/>
            </a:ext>
          </a:extLst>
        </xdr:cNvPr>
        <xdr:cNvSpPr>
          <a:spLocks noChangeArrowheads="1"/>
        </xdr:cNvSpPr>
      </xdr:nvSpPr>
      <xdr:spPr bwMode="auto">
        <a:xfrm>
          <a:off x="1190624" y="704850"/>
          <a:ext cx="1162051" cy="257175"/>
        </a:xfrm>
        <a:prstGeom prst="roundRect">
          <a:avLst>
            <a:gd name="adj" fmla="val 16667"/>
          </a:avLst>
        </a:prstGeom>
        <a:noFill/>
        <a:ln w="9525" algn="ctr">
          <a:solidFill>
            <a:srgbClr val="000000"/>
          </a:solidFill>
          <a:round/>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rPr>
            <a:t>現年課税分の収納率</a:t>
          </a:r>
        </a:p>
      </xdr:txBody>
    </xdr:sp>
    <xdr:clientData/>
  </xdr:twoCellAnchor>
  <xdr:twoCellAnchor>
    <xdr:from>
      <xdr:col>5</xdr:col>
      <xdr:colOff>57149</xdr:colOff>
      <xdr:row>7</xdr:row>
      <xdr:rowOff>200025</xdr:rowOff>
    </xdr:from>
    <xdr:to>
      <xdr:col>9</xdr:col>
      <xdr:colOff>200024</xdr:colOff>
      <xdr:row>8</xdr:row>
      <xdr:rowOff>228600</xdr:rowOff>
    </xdr:to>
    <xdr:sp macro="" textlink="">
      <xdr:nvSpPr>
        <xdr:cNvPr id="6" name="AutoShape 10">
          <a:extLst>
            <a:ext uri="{FF2B5EF4-FFF2-40B4-BE49-F238E27FC236}">
              <a16:creationId xmlns:a16="http://schemas.microsoft.com/office/drawing/2014/main" id="{00000000-0008-0000-0C00-000006000000}"/>
            </a:ext>
          </a:extLst>
        </xdr:cNvPr>
        <xdr:cNvSpPr>
          <a:spLocks noChangeArrowheads="1"/>
        </xdr:cNvSpPr>
      </xdr:nvSpPr>
      <xdr:spPr bwMode="auto">
        <a:xfrm>
          <a:off x="1200149" y="1866900"/>
          <a:ext cx="1057275" cy="266700"/>
        </a:xfrm>
        <a:prstGeom prst="roundRect">
          <a:avLst>
            <a:gd name="adj" fmla="val 16667"/>
          </a:avLst>
        </a:prstGeom>
        <a:noFill/>
        <a:ln w="9525" algn="ctr">
          <a:solidFill>
            <a:srgbClr val="000000"/>
          </a:solidFill>
          <a:round/>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rPr>
            <a:t>市税総計の収納率</a:t>
          </a:r>
        </a:p>
      </xdr:txBody>
    </xdr:sp>
    <xdr:clientData/>
  </xdr:twoCellAnchor>
  <xdr:twoCellAnchor>
    <xdr:from>
      <xdr:col>12</xdr:col>
      <xdr:colOff>164807</xdr:colOff>
      <xdr:row>44</xdr:row>
      <xdr:rowOff>0</xdr:rowOff>
    </xdr:from>
    <xdr:to>
      <xdr:col>15</xdr:col>
      <xdr:colOff>223718</xdr:colOff>
      <xdr:row>45</xdr:row>
      <xdr:rowOff>95249</xdr:rowOff>
    </xdr:to>
    <xdr:sp macro="" textlink="">
      <xdr:nvSpPr>
        <xdr:cNvPr id="7" name="Rectangle 17">
          <a:extLst>
            <a:ext uri="{FF2B5EF4-FFF2-40B4-BE49-F238E27FC236}">
              <a16:creationId xmlns:a16="http://schemas.microsoft.com/office/drawing/2014/main" id="{00000000-0008-0000-0C00-000007000000}"/>
            </a:ext>
          </a:extLst>
        </xdr:cNvPr>
        <xdr:cNvSpPr>
          <a:spLocks noChangeArrowheads="1"/>
        </xdr:cNvSpPr>
      </xdr:nvSpPr>
      <xdr:spPr bwMode="auto">
        <a:xfrm>
          <a:off x="2908007" y="10477500"/>
          <a:ext cx="744711" cy="333374"/>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rPr>
            <a:t>課税年度</a:t>
          </a:r>
        </a:p>
      </xdr:txBody>
    </xdr:sp>
    <xdr:clientData/>
  </xdr:twoCellAnchor>
  <xdr:twoCellAnchor>
    <xdr:from>
      <xdr:col>28</xdr:col>
      <xdr:colOff>184151</xdr:colOff>
      <xdr:row>9</xdr:row>
      <xdr:rowOff>117478</xdr:rowOff>
    </xdr:from>
    <xdr:to>
      <xdr:col>30</xdr:col>
      <xdr:colOff>225426</xdr:colOff>
      <xdr:row>21</xdr:row>
      <xdr:rowOff>120656</xdr:rowOff>
    </xdr:to>
    <xdr:grpSp>
      <xdr:nvGrpSpPr>
        <xdr:cNvPr id="8" name="Group 24">
          <a:extLst>
            <a:ext uri="{FF2B5EF4-FFF2-40B4-BE49-F238E27FC236}">
              <a16:creationId xmlns:a16="http://schemas.microsoft.com/office/drawing/2014/main" id="{00000000-0008-0000-0C00-000008000000}"/>
            </a:ext>
          </a:extLst>
        </xdr:cNvPr>
        <xdr:cNvGrpSpPr>
          <a:grpSpLocks/>
        </xdr:cNvGrpSpPr>
      </xdr:nvGrpSpPr>
      <xdr:grpSpPr bwMode="auto">
        <a:xfrm rot="5400000">
          <a:off x="5403850" y="3441704"/>
          <a:ext cx="2860678" cy="498475"/>
          <a:chOff x="581" y="572"/>
          <a:chExt cx="168" cy="56"/>
        </a:xfrm>
      </xdr:grpSpPr>
      <xdr:sp macro="" textlink="">
        <xdr:nvSpPr>
          <xdr:cNvPr id="9" name="Rectangle 25">
            <a:extLst>
              <a:ext uri="{FF2B5EF4-FFF2-40B4-BE49-F238E27FC236}">
                <a16:creationId xmlns:a16="http://schemas.microsoft.com/office/drawing/2014/main" id="{00000000-0008-0000-0C00-000009000000}"/>
              </a:ext>
            </a:extLst>
          </xdr:cNvPr>
          <xdr:cNvSpPr>
            <a:spLocks noChangeArrowheads="1"/>
          </xdr:cNvSpPr>
        </xdr:nvSpPr>
        <xdr:spPr bwMode="auto">
          <a:xfrm>
            <a:off x="591" y="603"/>
            <a:ext cx="20" cy="15"/>
          </a:xfrm>
          <a:prstGeom prst="rect">
            <a:avLst/>
          </a:prstGeom>
          <a:solidFill>
            <a:srgbClr val="FFC000"/>
          </a:solidFill>
          <a:ln w="9525" algn="ctr">
            <a:solidFill>
              <a:srgbClr val="000000"/>
            </a:solidFill>
            <a:miter lim="800000"/>
            <a:headEnd/>
            <a:tailEnd/>
          </a:ln>
        </xdr:spPr>
      </xdr:sp>
      <xdr:sp macro="" textlink="">
        <xdr:nvSpPr>
          <xdr:cNvPr id="10" name="Rectangle 26">
            <a:extLst>
              <a:ext uri="{FF2B5EF4-FFF2-40B4-BE49-F238E27FC236}">
                <a16:creationId xmlns:a16="http://schemas.microsoft.com/office/drawing/2014/main" id="{00000000-0008-0000-0C00-00000A000000}"/>
              </a:ext>
            </a:extLst>
          </xdr:cNvPr>
          <xdr:cNvSpPr>
            <a:spLocks noChangeArrowheads="1"/>
          </xdr:cNvSpPr>
        </xdr:nvSpPr>
        <xdr:spPr bwMode="auto">
          <a:xfrm>
            <a:off x="591" y="582"/>
            <a:ext cx="19" cy="15"/>
          </a:xfrm>
          <a:prstGeom prst="rect">
            <a:avLst/>
          </a:prstGeom>
          <a:solidFill>
            <a:srgbClr val="FFFFFF"/>
          </a:solidFill>
          <a:ln w="9525" algn="ctr">
            <a:solidFill>
              <a:srgbClr val="000000"/>
            </a:solidFill>
            <a:miter lim="800000"/>
            <a:headEnd/>
            <a:tailEnd/>
          </a:ln>
        </xdr:spPr>
      </xdr:sp>
      <xdr:sp macro="" textlink="">
        <xdr:nvSpPr>
          <xdr:cNvPr id="11" name="Text Box 27">
            <a:extLst>
              <a:ext uri="{FF2B5EF4-FFF2-40B4-BE49-F238E27FC236}">
                <a16:creationId xmlns:a16="http://schemas.microsoft.com/office/drawing/2014/main" id="{00000000-0008-0000-0C00-00000B000000}"/>
              </a:ext>
            </a:extLst>
          </xdr:cNvPr>
          <xdr:cNvSpPr txBox="1">
            <a:spLocks noChangeArrowheads="1"/>
          </xdr:cNvSpPr>
        </xdr:nvSpPr>
        <xdr:spPr bwMode="auto">
          <a:xfrm>
            <a:off x="615" y="602"/>
            <a:ext cx="132" cy="16"/>
          </a:xfrm>
          <a:prstGeom prst="rect">
            <a:avLst/>
          </a:prstGeom>
          <a:noFill/>
          <a:ln w="9525" algn="ctr">
            <a:no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rPr>
              <a:t>滞納繰越分の未収金</a:t>
            </a:r>
          </a:p>
        </xdr:txBody>
      </xdr:sp>
      <xdr:sp macro="" textlink="">
        <xdr:nvSpPr>
          <xdr:cNvPr id="12" name="Text Box 28">
            <a:extLst>
              <a:ext uri="{FF2B5EF4-FFF2-40B4-BE49-F238E27FC236}">
                <a16:creationId xmlns:a16="http://schemas.microsoft.com/office/drawing/2014/main" id="{00000000-0008-0000-0C00-00000C000000}"/>
              </a:ext>
            </a:extLst>
          </xdr:cNvPr>
          <xdr:cNvSpPr txBox="1">
            <a:spLocks noChangeArrowheads="1"/>
          </xdr:cNvSpPr>
        </xdr:nvSpPr>
        <xdr:spPr bwMode="auto">
          <a:xfrm>
            <a:off x="615" y="581"/>
            <a:ext cx="132" cy="16"/>
          </a:xfrm>
          <a:prstGeom prst="rect">
            <a:avLst/>
          </a:prstGeom>
          <a:noFill/>
          <a:ln w="9525" algn="ctr">
            <a:no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rPr>
              <a:t>現年課税分の未収金</a:t>
            </a:r>
          </a:p>
        </xdr:txBody>
      </xdr:sp>
      <xdr:sp macro="" textlink="">
        <xdr:nvSpPr>
          <xdr:cNvPr id="13" name="Rectangle 29">
            <a:extLst>
              <a:ext uri="{FF2B5EF4-FFF2-40B4-BE49-F238E27FC236}">
                <a16:creationId xmlns:a16="http://schemas.microsoft.com/office/drawing/2014/main" id="{00000000-0008-0000-0C00-00000D000000}"/>
              </a:ext>
            </a:extLst>
          </xdr:cNvPr>
          <xdr:cNvSpPr>
            <a:spLocks noChangeArrowheads="1"/>
          </xdr:cNvSpPr>
        </xdr:nvSpPr>
        <xdr:spPr bwMode="auto">
          <a:xfrm>
            <a:off x="581" y="572"/>
            <a:ext cx="168" cy="56"/>
          </a:xfrm>
          <a:prstGeom prst="rect">
            <a:avLst/>
          </a:prstGeom>
          <a:noFill/>
          <a:ln w="9525" algn="ctr">
            <a:solidFill>
              <a:srgbClr val="000000"/>
            </a:solidFill>
            <a:miter lim="800000"/>
            <a:headEnd/>
            <a:tailEnd/>
          </a:ln>
        </xdr:spPr>
      </xdr:sp>
    </xdr:grpSp>
    <xdr:clientData/>
  </xdr:twoCellAnchor>
  <xdr:twoCellAnchor>
    <xdr:from>
      <xdr:col>6</xdr:col>
      <xdr:colOff>179854</xdr:colOff>
      <xdr:row>65</xdr:row>
      <xdr:rowOff>24837</xdr:rowOff>
    </xdr:from>
    <xdr:to>
      <xdr:col>10</xdr:col>
      <xdr:colOff>149482</xdr:colOff>
      <xdr:row>72</xdr:row>
      <xdr:rowOff>6909</xdr:rowOff>
    </xdr:to>
    <xdr:sp macro="" textlink="">
      <xdr:nvSpPr>
        <xdr:cNvPr id="14" name="Rectangle 16">
          <a:extLst>
            <a:ext uri="{FF2B5EF4-FFF2-40B4-BE49-F238E27FC236}">
              <a16:creationId xmlns:a16="http://schemas.microsoft.com/office/drawing/2014/main" id="{00000000-0008-0000-0C00-00000E000000}"/>
            </a:ext>
          </a:extLst>
        </xdr:cNvPr>
        <xdr:cNvSpPr>
          <a:spLocks noChangeArrowheads="1"/>
        </xdr:cNvSpPr>
      </xdr:nvSpPr>
      <xdr:spPr bwMode="auto">
        <a:xfrm>
          <a:off x="3837454" y="12169212"/>
          <a:ext cx="2408028" cy="1115547"/>
        </a:xfrm>
        <a:prstGeom prst="rect">
          <a:avLst/>
        </a:prstGeom>
        <a:solidFill>
          <a:srgbClr val="FFFFFF"/>
        </a:solidFill>
        <a:ln w="9525">
          <a:solidFill>
            <a:srgbClr val="000000"/>
          </a:solidFill>
          <a:miter lim="800000"/>
          <a:headEnd/>
          <a:tailEnd/>
        </a:ln>
      </xdr:spPr>
    </xdr:sp>
    <xdr:clientData/>
  </xdr:twoCellAnchor>
  <xdr:twoCellAnchor>
    <xdr:from>
      <xdr:col>7</xdr:col>
      <xdr:colOff>5158</xdr:colOff>
      <xdr:row>70</xdr:row>
      <xdr:rowOff>132293</xdr:rowOff>
    </xdr:from>
    <xdr:to>
      <xdr:col>7</xdr:col>
      <xdr:colOff>177651</xdr:colOff>
      <xdr:row>71</xdr:row>
      <xdr:rowOff>131253</xdr:rowOff>
    </xdr:to>
    <xdr:sp macro="" textlink="">
      <xdr:nvSpPr>
        <xdr:cNvPr id="15" name="Rectangle 17">
          <a:extLst>
            <a:ext uri="{FF2B5EF4-FFF2-40B4-BE49-F238E27FC236}">
              <a16:creationId xmlns:a16="http://schemas.microsoft.com/office/drawing/2014/main" id="{00000000-0008-0000-0C00-00000F000000}"/>
            </a:ext>
          </a:extLst>
        </xdr:cNvPr>
        <xdr:cNvSpPr>
          <a:spLocks noChangeArrowheads="1"/>
        </xdr:cNvSpPr>
      </xdr:nvSpPr>
      <xdr:spPr bwMode="auto">
        <a:xfrm>
          <a:off x="4272358" y="13086293"/>
          <a:ext cx="172493" cy="160885"/>
        </a:xfrm>
        <a:prstGeom prst="rect">
          <a:avLst/>
        </a:prstGeom>
        <a:solidFill>
          <a:srgbClr val="9999FF"/>
        </a:solidFill>
        <a:ln w="9525">
          <a:solidFill>
            <a:srgbClr val="000000"/>
          </a:solidFill>
          <a:miter lim="800000"/>
          <a:headEnd/>
          <a:tailEnd/>
        </a:ln>
      </xdr:spPr>
    </xdr:sp>
    <xdr:clientData/>
  </xdr:twoCellAnchor>
  <xdr:twoCellAnchor>
    <xdr:from>
      <xdr:col>7</xdr:col>
      <xdr:colOff>5158</xdr:colOff>
      <xdr:row>69</xdr:row>
      <xdr:rowOff>80080</xdr:rowOff>
    </xdr:from>
    <xdr:to>
      <xdr:col>7</xdr:col>
      <xdr:colOff>177651</xdr:colOff>
      <xdr:row>70</xdr:row>
      <xdr:rowOff>79040</xdr:rowOff>
    </xdr:to>
    <xdr:sp macro="" textlink="">
      <xdr:nvSpPr>
        <xdr:cNvPr id="16" name="Rectangle 18" descr="20%">
          <a:extLst>
            <a:ext uri="{FF2B5EF4-FFF2-40B4-BE49-F238E27FC236}">
              <a16:creationId xmlns:a16="http://schemas.microsoft.com/office/drawing/2014/main" id="{00000000-0008-0000-0C00-000010000000}"/>
            </a:ext>
          </a:extLst>
        </xdr:cNvPr>
        <xdr:cNvSpPr>
          <a:spLocks noChangeArrowheads="1"/>
        </xdr:cNvSpPr>
      </xdr:nvSpPr>
      <xdr:spPr bwMode="auto">
        <a:xfrm>
          <a:off x="4272358" y="12872155"/>
          <a:ext cx="172493" cy="160885"/>
        </a:xfrm>
        <a:prstGeom prst="rect">
          <a:avLst/>
        </a:prstGeom>
        <a:pattFill prst="pct20">
          <a:fgClr>
            <a:srgbClr val="000000"/>
          </a:fgClr>
          <a:bgClr>
            <a:srgbClr val="FFFFFF"/>
          </a:bgClr>
        </a:pattFill>
        <a:ln w="9525">
          <a:solidFill>
            <a:srgbClr val="000000"/>
          </a:solidFill>
          <a:miter lim="800000"/>
          <a:headEnd/>
          <a:tailEnd/>
        </a:ln>
      </xdr:spPr>
    </xdr:sp>
    <xdr:clientData/>
  </xdr:twoCellAnchor>
  <xdr:twoCellAnchor>
    <xdr:from>
      <xdr:col>7</xdr:col>
      <xdr:colOff>5158</xdr:colOff>
      <xdr:row>68</xdr:row>
      <xdr:rowOff>38517</xdr:rowOff>
    </xdr:from>
    <xdr:to>
      <xdr:col>7</xdr:col>
      <xdr:colOff>177651</xdr:colOff>
      <xdr:row>69</xdr:row>
      <xdr:rowOff>37477</xdr:rowOff>
    </xdr:to>
    <xdr:sp macro="" textlink="">
      <xdr:nvSpPr>
        <xdr:cNvPr id="17" name="Rectangle 19">
          <a:extLst>
            <a:ext uri="{FF2B5EF4-FFF2-40B4-BE49-F238E27FC236}">
              <a16:creationId xmlns:a16="http://schemas.microsoft.com/office/drawing/2014/main" id="{00000000-0008-0000-0C00-000011000000}"/>
            </a:ext>
          </a:extLst>
        </xdr:cNvPr>
        <xdr:cNvSpPr>
          <a:spLocks noChangeArrowheads="1"/>
        </xdr:cNvSpPr>
      </xdr:nvSpPr>
      <xdr:spPr bwMode="auto">
        <a:xfrm>
          <a:off x="4272358" y="12668667"/>
          <a:ext cx="172493" cy="160885"/>
        </a:xfrm>
        <a:prstGeom prst="rect">
          <a:avLst/>
        </a:prstGeom>
        <a:solidFill>
          <a:srgbClr val="FFFF99"/>
        </a:solidFill>
        <a:ln w="9525">
          <a:solidFill>
            <a:srgbClr val="000000"/>
          </a:solidFill>
          <a:miter lim="800000"/>
          <a:headEnd/>
          <a:tailEnd/>
        </a:ln>
      </xdr:spPr>
    </xdr:sp>
    <xdr:clientData/>
  </xdr:twoCellAnchor>
  <xdr:twoCellAnchor>
    <xdr:from>
      <xdr:col>7</xdr:col>
      <xdr:colOff>5158</xdr:colOff>
      <xdr:row>66</xdr:row>
      <xdr:rowOff>168404</xdr:rowOff>
    </xdr:from>
    <xdr:to>
      <xdr:col>7</xdr:col>
      <xdr:colOff>177651</xdr:colOff>
      <xdr:row>67</xdr:row>
      <xdr:rowOff>167364</xdr:rowOff>
    </xdr:to>
    <xdr:sp macro="" textlink="">
      <xdr:nvSpPr>
        <xdr:cNvPr id="18" name="Rectangle 20" descr="30%">
          <a:extLst>
            <a:ext uri="{FF2B5EF4-FFF2-40B4-BE49-F238E27FC236}">
              <a16:creationId xmlns:a16="http://schemas.microsoft.com/office/drawing/2014/main" id="{00000000-0008-0000-0C00-000012000000}"/>
            </a:ext>
          </a:extLst>
        </xdr:cNvPr>
        <xdr:cNvSpPr>
          <a:spLocks noChangeArrowheads="1"/>
        </xdr:cNvSpPr>
      </xdr:nvSpPr>
      <xdr:spPr bwMode="auto">
        <a:xfrm>
          <a:off x="4272358" y="12465179"/>
          <a:ext cx="172493" cy="160885"/>
        </a:xfrm>
        <a:prstGeom prst="rect">
          <a:avLst/>
        </a:prstGeom>
        <a:pattFill prst="pct30">
          <a:fgClr>
            <a:srgbClr val="000000"/>
          </a:fgClr>
          <a:bgClr>
            <a:srgbClr val="FFFFFF"/>
          </a:bgClr>
        </a:pattFill>
        <a:ln w="9525">
          <a:solidFill>
            <a:srgbClr val="000000"/>
          </a:solidFill>
          <a:miter lim="800000"/>
          <a:headEnd/>
          <a:tailEnd/>
        </a:ln>
      </xdr:spPr>
    </xdr:sp>
    <xdr:clientData/>
  </xdr:twoCellAnchor>
  <xdr:twoCellAnchor>
    <xdr:from>
      <xdr:col>7</xdr:col>
      <xdr:colOff>5158</xdr:colOff>
      <xdr:row>65</xdr:row>
      <xdr:rowOff>126841</xdr:rowOff>
    </xdr:from>
    <xdr:to>
      <xdr:col>7</xdr:col>
      <xdr:colOff>177651</xdr:colOff>
      <xdr:row>66</xdr:row>
      <xdr:rowOff>125801</xdr:rowOff>
    </xdr:to>
    <xdr:sp macro="" textlink="">
      <xdr:nvSpPr>
        <xdr:cNvPr id="19" name="Rectangle 21">
          <a:extLst>
            <a:ext uri="{FF2B5EF4-FFF2-40B4-BE49-F238E27FC236}">
              <a16:creationId xmlns:a16="http://schemas.microsoft.com/office/drawing/2014/main" id="{00000000-0008-0000-0C00-000013000000}"/>
            </a:ext>
          </a:extLst>
        </xdr:cNvPr>
        <xdr:cNvSpPr>
          <a:spLocks noChangeArrowheads="1"/>
        </xdr:cNvSpPr>
      </xdr:nvSpPr>
      <xdr:spPr bwMode="auto">
        <a:xfrm>
          <a:off x="4272358" y="12271216"/>
          <a:ext cx="172493" cy="160885"/>
        </a:xfrm>
        <a:prstGeom prst="rect">
          <a:avLst/>
        </a:prstGeom>
        <a:solidFill>
          <a:srgbClr val="66FFCC"/>
        </a:solidFill>
        <a:ln w="9525">
          <a:solidFill>
            <a:srgbClr val="000000"/>
          </a:solidFill>
          <a:miter lim="800000"/>
          <a:headEnd/>
          <a:tailEnd/>
        </a:ln>
      </xdr:spPr>
    </xdr:sp>
    <xdr:clientData/>
  </xdr:twoCellAnchor>
  <xdr:twoCellAnchor>
    <xdr:from>
      <xdr:col>27</xdr:col>
      <xdr:colOff>95249</xdr:colOff>
      <xdr:row>33</xdr:row>
      <xdr:rowOff>153761</xdr:rowOff>
    </xdr:from>
    <xdr:to>
      <xdr:col>31</xdr:col>
      <xdr:colOff>118781</xdr:colOff>
      <xdr:row>40</xdr:row>
      <xdr:rowOff>135833</xdr:rowOff>
    </xdr:to>
    <xdr:grpSp>
      <xdr:nvGrpSpPr>
        <xdr:cNvPr id="20" name="Group 27">
          <a:extLst>
            <a:ext uri="{FF2B5EF4-FFF2-40B4-BE49-F238E27FC236}">
              <a16:creationId xmlns:a16="http://schemas.microsoft.com/office/drawing/2014/main" id="{00000000-0008-0000-0C00-000014000000}"/>
            </a:ext>
          </a:extLst>
        </xdr:cNvPr>
        <xdr:cNvGrpSpPr>
          <a:grpSpLocks/>
        </xdr:cNvGrpSpPr>
      </xdr:nvGrpSpPr>
      <xdr:grpSpPr bwMode="auto">
        <a:xfrm>
          <a:off x="6267449" y="8011886"/>
          <a:ext cx="937932" cy="1648947"/>
          <a:chOff x="748" y="862"/>
          <a:chExt cx="87" cy="111"/>
        </a:xfrm>
      </xdr:grpSpPr>
      <xdr:sp macro="" textlink="">
        <xdr:nvSpPr>
          <xdr:cNvPr id="21" name="Rectangle 16">
            <a:extLst>
              <a:ext uri="{FF2B5EF4-FFF2-40B4-BE49-F238E27FC236}">
                <a16:creationId xmlns:a16="http://schemas.microsoft.com/office/drawing/2014/main" id="{00000000-0008-0000-0C00-000015000000}"/>
              </a:ext>
            </a:extLst>
          </xdr:cNvPr>
          <xdr:cNvSpPr>
            <a:spLocks noChangeArrowheads="1"/>
          </xdr:cNvSpPr>
        </xdr:nvSpPr>
        <xdr:spPr bwMode="auto">
          <a:xfrm>
            <a:off x="748" y="862"/>
            <a:ext cx="82" cy="111"/>
          </a:xfrm>
          <a:prstGeom prst="rect">
            <a:avLst/>
          </a:prstGeom>
          <a:solidFill>
            <a:srgbClr val="FFFFFF"/>
          </a:solidFill>
          <a:ln w="9525">
            <a:solidFill>
              <a:srgbClr val="000000"/>
            </a:solidFill>
            <a:miter lim="800000"/>
            <a:headEnd/>
            <a:tailEnd/>
          </a:ln>
        </xdr:spPr>
      </xdr:sp>
      <xdr:sp macro="" textlink="">
        <xdr:nvSpPr>
          <xdr:cNvPr id="22" name="Rectangle 17">
            <a:extLst>
              <a:ext uri="{FF2B5EF4-FFF2-40B4-BE49-F238E27FC236}">
                <a16:creationId xmlns:a16="http://schemas.microsoft.com/office/drawing/2014/main" id="{00000000-0008-0000-0C00-000016000000}"/>
              </a:ext>
            </a:extLst>
          </xdr:cNvPr>
          <xdr:cNvSpPr>
            <a:spLocks noChangeArrowheads="1"/>
          </xdr:cNvSpPr>
        </xdr:nvSpPr>
        <xdr:spPr bwMode="auto">
          <a:xfrm>
            <a:off x="753" y="949"/>
            <a:ext cx="16" cy="16"/>
          </a:xfrm>
          <a:prstGeom prst="rect">
            <a:avLst/>
          </a:prstGeom>
          <a:solidFill>
            <a:srgbClr val="9999FF"/>
          </a:solidFill>
          <a:ln w="9525">
            <a:solidFill>
              <a:srgbClr val="000000"/>
            </a:solidFill>
            <a:miter lim="800000"/>
            <a:headEnd/>
            <a:tailEnd/>
          </a:ln>
        </xdr:spPr>
      </xdr:sp>
      <xdr:sp macro="" textlink="">
        <xdr:nvSpPr>
          <xdr:cNvPr id="23" name="Rectangle 18" descr="20%">
            <a:extLst>
              <a:ext uri="{FF2B5EF4-FFF2-40B4-BE49-F238E27FC236}">
                <a16:creationId xmlns:a16="http://schemas.microsoft.com/office/drawing/2014/main" id="{00000000-0008-0000-0C00-000017000000}"/>
              </a:ext>
            </a:extLst>
          </xdr:cNvPr>
          <xdr:cNvSpPr>
            <a:spLocks noChangeArrowheads="1"/>
          </xdr:cNvSpPr>
        </xdr:nvSpPr>
        <xdr:spPr bwMode="auto">
          <a:xfrm>
            <a:off x="753" y="928"/>
            <a:ext cx="16" cy="16"/>
          </a:xfrm>
          <a:prstGeom prst="rect">
            <a:avLst/>
          </a:prstGeom>
          <a:pattFill prst="pct20">
            <a:fgClr>
              <a:srgbClr val="000000"/>
            </a:fgClr>
            <a:bgClr>
              <a:srgbClr val="FFFFFF"/>
            </a:bgClr>
          </a:pattFill>
          <a:ln w="9525">
            <a:solidFill>
              <a:srgbClr val="000000"/>
            </a:solidFill>
            <a:miter lim="800000"/>
            <a:headEnd/>
            <a:tailEnd/>
          </a:ln>
        </xdr:spPr>
      </xdr:sp>
      <xdr:sp macro="" textlink="">
        <xdr:nvSpPr>
          <xdr:cNvPr id="24" name="Rectangle 19">
            <a:extLst>
              <a:ext uri="{FF2B5EF4-FFF2-40B4-BE49-F238E27FC236}">
                <a16:creationId xmlns:a16="http://schemas.microsoft.com/office/drawing/2014/main" id="{00000000-0008-0000-0C00-000018000000}"/>
              </a:ext>
            </a:extLst>
          </xdr:cNvPr>
          <xdr:cNvSpPr>
            <a:spLocks noChangeArrowheads="1"/>
          </xdr:cNvSpPr>
        </xdr:nvSpPr>
        <xdr:spPr bwMode="auto">
          <a:xfrm>
            <a:off x="753" y="908"/>
            <a:ext cx="16" cy="16"/>
          </a:xfrm>
          <a:prstGeom prst="rect">
            <a:avLst/>
          </a:prstGeom>
          <a:solidFill>
            <a:srgbClr val="FFFF99"/>
          </a:solidFill>
          <a:ln w="9525">
            <a:solidFill>
              <a:srgbClr val="000000"/>
            </a:solidFill>
            <a:miter lim="800000"/>
            <a:headEnd/>
            <a:tailEnd/>
          </a:ln>
        </xdr:spPr>
      </xdr:sp>
      <xdr:sp macro="" textlink="">
        <xdr:nvSpPr>
          <xdr:cNvPr id="25" name="Rectangle 20" descr="30%">
            <a:extLst>
              <a:ext uri="{FF2B5EF4-FFF2-40B4-BE49-F238E27FC236}">
                <a16:creationId xmlns:a16="http://schemas.microsoft.com/office/drawing/2014/main" id="{00000000-0008-0000-0C00-000019000000}"/>
              </a:ext>
            </a:extLst>
          </xdr:cNvPr>
          <xdr:cNvSpPr>
            <a:spLocks noChangeArrowheads="1"/>
          </xdr:cNvSpPr>
        </xdr:nvSpPr>
        <xdr:spPr bwMode="auto">
          <a:xfrm>
            <a:off x="753" y="888"/>
            <a:ext cx="16" cy="16"/>
          </a:xfrm>
          <a:prstGeom prst="rect">
            <a:avLst/>
          </a:prstGeom>
          <a:pattFill prst="pct30">
            <a:fgClr>
              <a:srgbClr val="000000"/>
            </a:fgClr>
            <a:bgClr>
              <a:srgbClr val="FFFFFF"/>
            </a:bgClr>
          </a:pattFill>
          <a:ln w="9525">
            <a:solidFill>
              <a:srgbClr val="000000"/>
            </a:solidFill>
            <a:miter lim="800000"/>
            <a:headEnd/>
            <a:tailEnd/>
          </a:ln>
        </xdr:spPr>
      </xdr:sp>
      <xdr:sp macro="" textlink="">
        <xdr:nvSpPr>
          <xdr:cNvPr id="26" name="Rectangle 21">
            <a:extLst>
              <a:ext uri="{FF2B5EF4-FFF2-40B4-BE49-F238E27FC236}">
                <a16:creationId xmlns:a16="http://schemas.microsoft.com/office/drawing/2014/main" id="{00000000-0008-0000-0C00-00001A000000}"/>
              </a:ext>
            </a:extLst>
          </xdr:cNvPr>
          <xdr:cNvSpPr>
            <a:spLocks noChangeArrowheads="1"/>
          </xdr:cNvSpPr>
        </xdr:nvSpPr>
        <xdr:spPr bwMode="auto">
          <a:xfrm>
            <a:off x="753" y="868"/>
            <a:ext cx="16" cy="16"/>
          </a:xfrm>
          <a:prstGeom prst="rect">
            <a:avLst/>
          </a:prstGeom>
          <a:solidFill>
            <a:srgbClr val="66FFCC"/>
          </a:solidFill>
          <a:ln w="9525">
            <a:solidFill>
              <a:srgbClr val="000000"/>
            </a:solidFill>
            <a:miter lim="800000"/>
            <a:headEnd/>
            <a:tailEnd/>
          </a:ln>
        </xdr:spPr>
      </xdr:sp>
      <xdr:sp macro="" textlink="">
        <xdr:nvSpPr>
          <xdr:cNvPr id="27" name="Text Box 22">
            <a:extLst>
              <a:ext uri="{FF2B5EF4-FFF2-40B4-BE49-F238E27FC236}">
                <a16:creationId xmlns:a16="http://schemas.microsoft.com/office/drawing/2014/main" id="{00000000-0008-0000-0C00-00001B000000}"/>
              </a:ext>
            </a:extLst>
          </xdr:cNvPr>
          <xdr:cNvSpPr txBox="1">
            <a:spLocks noChangeArrowheads="1"/>
          </xdr:cNvSpPr>
        </xdr:nvSpPr>
        <xdr:spPr bwMode="auto">
          <a:xfrm>
            <a:off x="771" y="868"/>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4</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28" name="Text Box 23">
            <a:extLst>
              <a:ext uri="{FF2B5EF4-FFF2-40B4-BE49-F238E27FC236}">
                <a16:creationId xmlns:a16="http://schemas.microsoft.com/office/drawing/2014/main" id="{00000000-0008-0000-0C00-00001C000000}"/>
              </a:ext>
            </a:extLst>
          </xdr:cNvPr>
          <xdr:cNvSpPr txBox="1">
            <a:spLocks noChangeArrowheads="1"/>
          </xdr:cNvSpPr>
        </xdr:nvSpPr>
        <xdr:spPr bwMode="auto">
          <a:xfrm>
            <a:off x="771" y="887"/>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3</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29" name="Text Box 24">
            <a:extLst>
              <a:ext uri="{FF2B5EF4-FFF2-40B4-BE49-F238E27FC236}">
                <a16:creationId xmlns:a16="http://schemas.microsoft.com/office/drawing/2014/main" id="{00000000-0008-0000-0C00-00001D000000}"/>
              </a:ext>
            </a:extLst>
          </xdr:cNvPr>
          <xdr:cNvSpPr txBox="1">
            <a:spLocks noChangeArrowheads="1"/>
          </xdr:cNvSpPr>
        </xdr:nvSpPr>
        <xdr:spPr bwMode="auto">
          <a:xfrm>
            <a:off x="771" y="907"/>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rPr>
              <a:t>繰越</a:t>
            </a:r>
            <a:r>
              <a:rPr lang="en-US" altLang="ja-JP" sz="900" b="0" i="0" u="none" strike="noStrike" baseline="0">
                <a:solidFill>
                  <a:srgbClr val="000000"/>
                </a:solidFill>
                <a:latin typeface="メイリオ" panose="020B0604030504040204" pitchFamily="50" charset="-128"/>
                <a:ea typeface="メイリオ" panose="020B0604030504040204" pitchFamily="50" charset="-128"/>
              </a:rPr>
              <a:t>2</a:t>
            </a:r>
            <a:r>
              <a:rPr lang="ja-JP" altLang="en-US" sz="900" b="0" i="0" u="none" strike="noStrike" baseline="0">
                <a:solidFill>
                  <a:srgbClr val="000000"/>
                </a:solidFill>
                <a:latin typeface="メイリオ" panose="020B0604030504040204" pitchFamily="50" charset="-128"/>
                <a:ea typeface="メイリオ" panose="020B0604030504040204" pitchFamily="50" charset="-128"/>
              </a:rPr>
              <a:t>年目</a:t>
            </a:r>
          </a:p>
        </xdr:txBody>
      </xdr:sp>
      <xdr:sp macro="" textlink="">
        <xdr:nvSpPr>
          <xdr:cNvPr id="30" name="Text Box 25">
            <a:extLst>
              <a:ext uri="{FF2B5EF4-FFF2-40B4-BE49-F238E27FC236}">
                <a16:creationId xmlns:a16="http://schemas.microsoft.com/office/drawing/2014/main" id="{00000000-0008-0000-0C00-00001E000000}"/>
              </a:ext>
            </a:extLst>
          </xdr:cNvPr>
          <xdr:cNvSpPr txBox="1">
            <a:spLocks noChangeArrowheads="1"/>
          </xdr:cNvSpPr>
        </xdr:nvSpPr>
        <xdr:spPr bwMode="auto">
          <a:xfrm>
            <a:off x="771" y="928"/>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rPr>
              <a:t>繰越</a:t>
            </a:r>
            <a:r>
              <a:rPr lang="en-US" altLang="ja-JP" sz="900" b="0" i="0" u="none" strike="noStrike" baseline="0">
                <a:solidFill>
                  <a:srgbClr val="000000"/>
                </a:solidFill>
                <a:latin typeface="メイリオ" panose="020B0604030504040204" pitchFamily="50" charset="-128"/>
                <a:ea typeface="メイリオ" panose="020B0604030504040204" pitchFamily="50" charset="-128"/>
              </a:rPr>
              <a:t>1</a:t>
            </a:r>
            <a:r>
              <a:rPr lang="ja-JP" altLang="en-US" sz="900" b="0" i="0" u="none" strike="noStrike" baseline="0">
                <a:solidFill>
                  <a:srgbClr val="000000"/>
                </a:solidFill>
                <a:latin typeface="メイリオ" panose="020B0604030504040204" pitchFamily="50" charset="-128"/>
                <a:ea typeface="メイリオ" panose="020B0604030504040204" pitchFamily="50" charset="-128"/>
              </a:rPr>
              <a:t>年目</a:t>
            </a:r>
          </a:p>
        </xdr:txBody>
      </xdr:sp>
      <xdr:sp macro="" textlink="">
        <xdr:nvSpPr>
          <xdr:cNvPr id="31" name="Text Box 26">
            <a:extLst>
              <a:ext uri="{FF2B5EF4-FFF2-40B4-BE49-F238E27FC236}">
                <a16:creationId xmlns:a16="http://schemas.microsoft.com/office/drawing/2014/main" id="{00000000-0008-0000-0C00-00001F000000}"/>
              </a:ext>
            </a:extLst>
          </xdr:cNvPr>
          <xdr:cNvSpPr txBox="1">
            <a:spLocks noChangeArrowheads="1"/>
          </xdr:cNvSpPr>
        </xdr:nvSpPr>
        <xdr:spPr bwMode="auto">
          <a:xfrm>
            <a:off x="771" y="949"/>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rPr>
              <a:t>課税年度</a:t>
            </a:r>
          </a:p>
        </xdr:txBody>
      </xdr:sp>
    </xdr:grpSp>
    <xdr:clientData/>
  </xdr:twoCellAnchor>
  <xdr:twoCellAnchor>
    <xdr:from>
      <xdr:col>2</xdr:col>
      <xdr:colOff>19050</xdr:colOff>
      <xdr:row>24</xdr:row>
      <xdr:rowOff>0</xdr:rowOff>
    </xdr:from>
    <xdr:to>
      <xdr:col>29</xdr:col>
      <xdr:colOff>133350</xdr:colOff>
      <xdr:row>25</xdr:row>
      <xdr:rowOff>0</xdr:rowOff>
    </xdr:to>
    <xdr:sp macro="" textlink="">
      <xdr:nvSpPr>
        <xdr:cNvPr id="32" name="正方形/長方形 31">
          <a:extLst>
            <a:ext uri="{FF2B5EF4-FFF2-40B4-BE49-F238E27FC236}">
              <a16:creationId xmlns:a16="http://schemas.microsoft.com/office/drawing/2014/main" id="{00000000-0008-0000-0C00-000020000000}"/>
            </a:ext>
          </a:extLst>
        </xdr:cNvPr>
        <xdr:cNvSpPr/>
      </xdr:nvSpPr>
      <xdr:spPr bwMode="auto">
        <a:xfrm>
          <a:off x="1238250" y="5295900"/>
          <a:ext cx="16573500"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　）書きは徴収猶予の特例の影響を除いたもの</a:t>
          </a:r>
          <a:endParaRPr kumimoji="1" lang="en-US" altLang="ja-JP" sz="1100">
            <a:latin typeface="メイリオ" panose="020B0604030504040204" pitchFamily="50" charset="-128"/>
            <a:ea typeface="メイリオ" panose="020B0604030504040204" pitchFamily="50" charset="-128"/>
          </a:endParaRPr>
        </a:p>
      </xdr:txBody>
    </xdr:sp>
    <xdr:clientData/>
  </xdr:twoCellAnchor>
  <xdr:twoCellAnchor>
    <xdr:from>
      <xdr:col>21</xdr:col>
      <xdr:colOff>209550</xdr:colOff>
      <xdr:row>4</xdr:row>
      <xdr:rowOff>133350</xdr:rowOff>
    </xdr:from>
    <xdr:to>
      <xdr:col>28</xdr:col>
      <xdr:colOff>28575</xdr:colOff>
      <xdr:row>6</xdr:row>
      <xdr:rowOff>114300</xdr:rowOff>
    </xdr:to>
    <xdr:sp macro="" textlink="">
      <xdr:nvSpPr>
        <xdr:cNvPr id="33" name="正方形/長方形 32">
          <a:extLst>
            <a:ext uri="{FF2B5EF4-FFF2-40B4-BE49-F238E27FC236}">
              <a16:creationId xmlns:a16="http://schemas.microsoft.com/office/drawing/2014/main" id="{00000000-0008-0000-0C00-000021000000}"/>
            </a:ext>
          </a:extLst>
        </xdr:cNvPr>
        <xdr:cNvSpPr/>
      </xdr:nvSpPr>
      <xdr:spPr bwMode="auto">
        <a:xfrm>
          <a:off x="5010150" y="1085850"/>
          <a:ext cx="1419225" cy="4572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99.4</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p>
        <a:p>
          <a:pPr algn="l"/>
          <a:endParaRPr kumimoji="1" lang="ja-JP" altLang="en-US" sz="1100"/>
        </a:p>
      </xdr:txBody>
    </xdr:sp>
    <xdr:clientData/>
  </xdr:twoCellAnchor>
  <xdr:twoCellAnchor>
    <xdr:from>
      <xdr:col>21</xdr:col>
      <xdr:colOff>209550</xdr:colOff>
      <xdr:row>6</xdr:row>
      <xdr:rowOff>171450</xdr:rowOff>
    </xdr:from>
    <xdr:to>
      <xdr:col>28</xdr:col>
      <xdr:colOff>28575</xdr:colOff>
      <xdr:row>8</xdr:row>
      <xdr:rowOff>152400</xdr:rowOff>
    </xdr:to>
    <xdr:sp macro="" textlink="">
      <xdr:nvSpPr>
        <xdr:cNvPr id="34" name="正方形/長方形 33">
          <a:extLst>
            <a:ext uri="{FF2B5EF4-FFF2-40B4-BE49-F238E27FC236}">
              <a16:creationId xmlns:a16="http://schemas.microsoft.com/office/drawing/2014/main" id="{00000000-0008-0000-0C00-000022000000}"/>
            </a:ext>
          </a:extLst>
        </xdr:cNvPr>
        <xdr:cNvSpPr/>
      </xdr:nvSpPr>
      <xdr:spPr bwMode="auto">
        <a:xfrm>
          <a:off x="5010150" y="1600200"/>
          <a:ext cx="1419225" cy="4572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98.6</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p>
        <a:p>
          <a:pPr algn="l"/>
          <a:endParaRPr kumimoji="1" lang="ja-JP" altLang="en-US" sz="1100"/>
        </a:p>
      </xdr:txBody>
    </xdr:sp>
    <xdr:clientData/>
  </xdr:twoCellAnchor>
  <xdr:twoCellAnchor>
    <xdr:from>
      <xdr:col>22</xdr:col>
      <xdr:colOff>123826</xdr:colOff>
      <xdr:row>62</xdr:row>
      <xdr:rowOff>66674</xdr:rowOff>
    </xdr:from>
    <xdr:to>
      <xdr:col>29</xdr:col>
      <xdr:colOff>200026</xdr:colOff>
      <xdr:row>64</xdr:row>
      <xdr:rowOff>171449</xdr:rowOff>
    </xdr:to>
    <xdr:sp macro="" textlink="">
      <xdr:nvSpPr>
        <xdr:cNvPr id="39" name="正方形/長方形 38">
          <a:extLst>
            <a:ext uri="{FF2B5EF4-FFF2-40B4-BE49-F238E27FC236}">
              <a16:creationId xmlns:a16="http://schemas.microsoft.com/office/drawing/2014/main" id="{00000000-0008-0000-0C00-000027000000}"/>
            </a:ext>
          </a:extLst>
        </xdr:cNvPr>
        <xdr:cNvSpPr/>
      </xdr:nvSpPr>
      <xdr:spPr bwMode="auto">
        <a:xfrm>
          <a:off x="13535026" y="11725274"/>
          <a:ext cx="4343400" cy="4191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baseline="0">
              <a:latin typeface="HG丸ｺﾞｼｯｸM-PRO" panose="020F0600000000000000" pitchFamily="50" charset="-128"/>
              <a:ea typeface="HG丸ｺﾞｼｯｸM-PRO" panose="020F0600000000000000" pitchFamily="50" charset="-128"/>
            </a:rPr>
            <a:t>  </a:t>
          </a:r>
          <a:r>
            <a:rPr kumimoji="1" lang="ja-JP" altLang="en-US" sz="1100">
              <a:latin typeface="HG丸ｺﾞｼｯｸM-PRO" panose="020F0600000000000000" pitchFamily="50" charset="-128"/>
              <a:ea typeface="HG丸ｺﾞｼｯｸM-PRO" panose="020F0600000000000000" pitchFamily="50" charset="-128"/>
            </a:rPr>
            <a:t>    ）</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33</xdr:col>
      <xdr:colOff>47626</xdr:colOff>
      <xdr:row>51</xdr:row>
      <xdr:rowOff>123824</xdr:rowOff>
    </xdr:from>
    <xdr:to>
      <xdr:col>40</xdr:col>
      <xdr:colOff>123826</xdr:colOff>
      <xdr:row>53</xdr:row>
      <xdr:rowOff>228599</xdr:rowOff>
    </xdr:to>
    <xdr:sp macro="" textlink="">
      <xdr:nvSpPr>
        <xdr:cNvPr id="40" name="正方形/長方形 39">
          <a:extLst>
            <a:ext uri="{FF2B5EF4-FFF2-40B4-BE49-F238E27FC236}">
              <a16:creationId xmlns:a16="http://schemas.microsoft.com/office/drawing/2014/main" id="{00000000-0008-0000-0C00-000028000000}"/>
            </a:ext>
          </a:extLst>
        </xdr:cNvPr>
        <xdr:cNvSpPr/>
      </xdr:nvSpPr>
      <xdr:spPr bwMode="auto">
        <a:xfrm>
          <a:off x="7591426" y="12268199"/>
          <a:ext cx="1676400" cy="581025"/>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22</xdr:col>
      <xdr:colOff>171450</xdr:colOff>
      <xdr:row>22</xdr:row>
      <xdr:rowOff>190501</xdr:rowOff>
    </xdr:from>
    <xdr:to>
      <xdr:col>26</xdr:col>
      <xdr:colOff>142875</xdr:colOff>
      <xdr:row>24</xdr:row>
      <xdr:rowOff>104775</xdr:rowOff>
    </xdr:to>
    <xdr:sp macro="" textlink="">
      <xdr:nvSpPr>
        <xdr:cNvPr id="44" name="大かっこ 43">
          <a:extLst>
            <a:ext uri="{FF2B5EF4-FFF2-40B4-BE49-F238E27FC236}">
              <a16:creationId xmlns:a16="http://schemas.microsoft.com/office/drawing/2014/main" id="{00000000-0008-0000-0C00-00002C000000}"/>
            </a:ext>
          </a:extLst>
        </xdr:cNvPr>
        <xdr:cNvSpPr/>
      </xdr:nvSpPr>
      <xdr:spPr bwMode="auto">
        <a:xfrm>
          <a:off x="5200650" y="5429251"/>
          <a:ext cx="885825" cy="390524"/>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lnSpc>
              <a:spcPts val="1200"/>
            </a:lnSpc>
          </a:pPr>
          <a:r>
            <a:rPr kumimoji="1" lang="ja-JP" altLang="ja-JP" sz="800">
              <a:effectLst/>
              <a:latin typeface="メイリオ" panose="020B0604030504040204" pitchFamily="50" charset="-128"/>
              <a:ea typeface="メイリオ" panose="020B0604030504040204" pitchFamily="50" charset="-128"/>
              <a:cs typeface="+mn-cs"/>
            </a:rPr>
            <a:t>徴収猶予の特例</a:t>
          </a:r>
          <a:endParaRPr lang="ja-JP" altLang="ja-JP" sz="800">
            <a:effectLst/>
            <a:latin typeface="メイリオ" panose="020B0604030504040204" pitchFamily="50" charset="-128"/>
            <a:ea typeface="メイリオ" panose="020B0604030504040204" pitchFamily="50" charset="-128"/>
          </a:endParaRPr>
        </a:p>
        <a:p>
          <a:pPr algn="ctr">
            <a:lnSpc>
              <a:spcPts val="1200"/>
            </a:lnSpc>
          </a:pPr>
          <a:r>
            <a:rPr kumimoji="1" lang="ja-JP" altLang="ja-JP" sz="800">
              <a:effectLst/>
              <a:latin typeface="メイリオ" panose="020B0604030504040204" pitchFamily="50" charset="-128"/>
              <a:ea typeface="メイリオ" panose="020B0604030504040204" pitchFamily="50" charset="-128"/>
              <a:cs typeface="+mn-cs"/>
            </a:rPr>
            <a:t>の影響除く</a:t>
          </a:r>
          <a:endParaRPr lang="ja-JP" altLang="ja-JP" sz="800">
            <a:effectLst/>
            <a:latin typeface="メイリオ" panose="020B0604030504040204" pitchFamily="50" charset="-128"/>
            <a:ea typeface="メイリオ" panose="020B0604030504040204" pitchFamily="50" charset="-128"/>
          </a:endParaRPr>
        </a:p>
      </xdr:txBody>
    </xdr:sp>
    <xdr:clientData/>
  </xdr:twoCellAnchor>
  <xdr:twoCellAnchor>
    <xdr:from>
      <xdr:col>23</xdr:col>
      <xdr:colOff>123825</xdr:colOff>
      <xdr:row>43</xdr:row>
      <xdr:rowOff>171450</xdr:rowOff>
    </xdr:from>
    <xdr:to>
      <xdr:col>27</xdr:col>
      <xdr:colOff>95250</xdr:colOff>
      <xdr:row>45</xdr:row>
      <xdr:rowOff>95249</xdr:rowOff>
    </xdr:to>
    <xdr:sp macro="" textlink="">
      <xdr:nvSpPr>
        <xdr:cNvPr id="47" name="大かっこ 46">
          <a:extLst>
            <a:ext uri="{FF2B5EF4-FFF2-40B4-BE49-F238E27FC236}">
              <a16:creationId xmlns:a16="http://schemas.microsoft.com/office/drawing/2014/main" id="{00000000-0008-0000-0C00-00002F000000}"/>
            </a:ext>
          </a:extLst>
        </xdr:cNvPr>
        <xdr:cNvSpPr/>
      </xdr:nvSpPr>
      <xdr:spPr bwMode="auto">
        <a:xfrm>
          <a:off x="5381625" y="10410825"/>
          <a:ext cx="885825" cy="400049"/>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lnSpc>
              <a:spcPts val="1200"/>
            </a:lnSpc>
          </a:pPr>
          <a:r>
            <a:rPr kumimoji="1" lang="ja-JP" altLang="ja-JP" sz="800">
              <a:effectLst/>
              <a:latin typeface="メイリオ" panose="020B0604030504040204" pitchFamily="50" charset="-128"/>
              <a:ea typeface="メイリオ" panose="020B0604030504040204" pitchFamily="50" charset="-128"/>
              <a:cs typeface="+mn-cs"/>
            </a:rPr>
            <a:t>徴収猶予の特例</a:t>
          </a:r>
          <a:endParaRPr lang="ja-JP" altLang="ja-JP" sz="800">
            <a:effectLst/>
            <a:latin typeface="メイリオ" panose="020B0604030504040204" pitchFamily="50" charset="-128"/>
            <a:ea typeface="メイリオ" panose="020B0604030504040204" pitchFamily="50" charset="-128"/>
          </a:endParaRPr>
        </a:p>
        <a:p>
          <a:pPr algn="ctr">
            <a:lnSpc>
              <a:spcPts val="1200"/>
            </a:lnSpc>
          </a:pPr>
          <a:r>
            <a:rPr kumimoji="1" lang="ja-JP" altLang="ja-JP" sz="800">
              <a:effectLst/>
              <a:latin typeface="メイリオ" panose="020B0604030504040204" pitchFamily="50" charset="-128"/>
              <a:ea typeface="メイリオ" panose="020B0604030504040204" pitchFamily="50" charset="-128"/>
              <a:cs typeface="+mn-cs"/>
            </a:rPr>
            <a:t>の影響除く</a:t>
          </a:r>
          <a:endParaRPr lang="ja-JP" altLang="ja-JP" sz="800">
            <a:effectLst/>
            <a:latin typeface="メイリオ" panose="020B0604030504040204" pitchFamily="50" charset="-128"/>
            <a:ea typeface="メイリオ" panose="020B0604030504040204" pitchFamily="50" charset="-128"/>
          </a:endParaRPr>
        </a:p>
      </xdr:txBody>
    </xdr:sp>
    <xdr:clientData/>
  </xdr:twoCellAnchor>
  <xdr:twoCellAnchor>
    <xdr:from>
      <xdr:col>22</xdr:col>
      <xdr:colOff>123825</xdr:colOff>
      <xdr:row>8</xdr:row>
      <xdr:rowOff>142875</xdr:rowOff>
    </xdr:from>
    <xdr:to>
      <xdr:col>22</xdr:col>
      <xdr:colOff>133350</xdr:colOff>
      <xdr:row>24</xdr:row>
      <xdr:rowOff>76200</xdr:rowOff>
    </xdr:to>
    <xdr:cxnSp macro="">
      <xdr:nvCxnSpPr>
        <xdr:cNvPr id="42" name="直線コネクタ 41">
          <a:extLst>
            <a:ext uri="{FF2B5EF4-FFF2-40B4-BE49-F238E27FC236}">
              <a16:creationId xmlns:a16="http://schemas.microsoft.com/office/drawing/2014/main" id="{00000000-0008-0000-0C00-00002A000000}"/>
            </a:ext>
          </a:extLst>
        </xdr:cNvPr>
        <xdr:cNvCxnSpPr/>
      </xdr:nvCxnSpPr>
      <xdr:spPr bwMode="auto">
        <a:xfrm flipH="1">
          <a:off x="5153025" y="2047875"/>
          <a:ext cx="9525" cy="3743325"/>
        </a:xfrm>
        <a:prstGeom prst="line">
          <a:avLst/>
        </a:prstGeom>
        <a:noFill/>
        <a:ln w="15875" cap="flat" cmpd="sng" algn="ctr">
          <a:solidFill>
            <a:srgbClr val="000000"/>
          </a:solidFill>
          <a:prstDash val="dash"/>
          <a:round/>
          <a:headEnd type="none" w="med" len="med"/>
          <a:tailEnd type="none" w="med" len="med"/>
        </a:ln>
        <a:effectLst/>
      </xdr:spPr>
    </xdr:cxnSp>
    <xdr:clientData/>
  </xdr:twoCellAnchor>
  <xdr:twoCellAnchor>
    <xdr:from>
      <xdr:col>23</xdr:col>
      <xdr:colOff>76200</xdr:colOff>
      <xdr:row>29</xdr:row>
      <xdr:rowOff>114300</xdr:rowOff>
    </xdr:from>
    <xdr:to>
      <xdr:col>23</xdr:col>
      <xdr:colOff>85725</xdr:colOff>
      <xdr:row>45</xdr:row>
      <xdr:rowOff>123375</xdr:rowOff>
    </xdr:to>
    <xdr:cxnSp macro="">
      <xdr:nvCxnSpPr>
        <xdr:cNvPr id="43" name="直線コネクタ 42">
          <a:extLst>
            <a:ext uri="{FF2B5EF4-FFF2-40B4-BE49-F238E27FC236}">
              <a16:creationId xmlns:a16="http://schemas.microsoft.com/office/drawing/2014/main" id="{00000000-0008-0000-0C00-00002B000000}"/>
            </a:ext>
          </a:extLst>
        </xdr:cNvPr>
        <xdr:cNvCxnSpPr/>
      </xdr:nvCxnSpPr>
      <xdr:spPr bwMode="auto">
        <a:xfrm>
          <a:off x="5334000" y="7019925"/>
          <a:ext cx="9525" cy="3819075"/>
        </a:xfrm>
        <a:prstGeom prst="line">
          <a:avLst/>
        </a:prstGeom>
        <a:noFill/>
        <a:ln w="15875" cap="flat" cmpd="sng" algn="ctr">
          <a:solidFill>
            <a:srgbClr val="000000"/>
          </a:solidFill>
          <a:prstDash val="dash"/>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ZR002C\OA-da0015$\Users\i4826688\AppData\Local\Temp\Temp15_&#19968;&#24335;.zip\09-1&#12288;&#21442;&#32771;&#28155;&#20184;&#65288;&#21454;&#32013;&#29575;&#25512;&#3122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5921851/AppData/Local/Microsoft/Windows/INetCache/Content.Outlook/0AW10RZX/&#26222;&#36890;&#20250;&#35336;&#12503;&#12524;&#12473;&#36039;&#260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i5825374/AppData/Local/Microsoft/Windows/INetCache/Content.Outlook/E0OCWH7U/&#12304;&#20462;&#27491;&#20013;&#12305;&#26222;&#36890;&#20250;&#35336;&#12503;&#12524;&#12473;&#36039;&#26009;&#6529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新年度"/>
      <sheetName val="課税年度別収入歩合"/>
      <sheetName val="21①"/>
      <sheetName val="21②"/>
      <sheetName val="22①"/>
      <sheetName val="22②"/>
      <sheetName val="説明用"/>
      <sheetName val="ＢＤ"/>
      <sheetName val="収納率の推移"/>
    </sheetNames>
    <sheetDataSet>
      <sheetData sheetId="0" refreshError="1"/>
      <sheetData sheetId="1">
        <row r="82">
          <cell r="F82">
            <v>1E-3</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用"/>
      <sheetName val="ＢＤ"/>
      <sheetName val="【没】課税年度別収入歩合"/>
      <sheetName val="最新年度"/>
      <sheetName val="21①"/>
      <sheetName val="21②"/>
      <sheetName val="22①"/>
      <sheetName val="22②"/>
      <sheetName val="23①"/>
      <sheetName val="23②"/>
      <sheetName val="24①"/>
      <sheetName val="24②"/>
      <sheetName val="25①"/>
      <sheetName val="25②"/>
      <sheetName val="26①"/>
      <sheetName val="26② "/>
      <sheetName val="27① "/>
      <sheetName val="27②  "/>
      <sheetName val="28①  "/>
      <sheetName val="28②   "/>
      <sheetName val="収納率の推移"/>
    </sheetNames>
    <sheetDataSet>
      <sheetData sheetId="0"/>
      <sheetData sheetId="1"/>
      <sheetData sheetId="2">
        <row r="83">
          <cell r="B83">
            <v>0.98599999999999999</v>
          </cell>
          <cell r="C83">
            <v>5.0000000000000001E-3</v>
          </cell>
          <cell r="D83">
            <v>2E-3</v>
          </cell>
          <cell r="E83">
            <v>1E-3</v>
          </cell>
          <cell r="F83">
            <v>1E-3</v>
          </cell>
        </row>
        <row r="84">
          <cell r="B84">
            <v>0.98599999999999999</v>
          </cell>
          <cell r="C84">
            <v>5.0000000000000001E-3</v>
          </cell>
          <cell r="D84">
            <v>2E-3</v>
          </cell>
          <cell r="E84">
            <v>1E-3</v>
          </cell>
          <cell r="F84">
            <v>1E-3</v>
          </cell>
        </row>
        <row r="85">
          <cell r="B85">
            <v>0.98499999999999999</v>
          </cell>
          <cell r="C85">
            <v>6.0000000000000001E-3</v>
          </cell>
          <cell r="D85">
            <v>2E-3</v>
          </cell>
          <cell r="E85">
            <v>1E-3</v>
          </cell>
          <cell r="F85">
            <v>1E-3</v>
          </cell>
        </row>
        <row r="86">
          <cell r="B86">
            <v>0.98699999999999999</v>
          </cell>
          <cell r="C86">
            <v>5.0000000000000001E-3</v>
          </cell>
          <cell r="D86">
            <v>2E-3</v>
          </cell>
          <cell r="E86">
            <v>1E-3</v>
          </cell>
          <cell r="F86">
            <v>0</v>
          </cell>
        </row>
        <row r="87">
          <cell r="B87">
            <v>0.98899999999999999</v>
          </cell>
          <cell r="C87">
            <v>5.0000000000000001E-3</v>
          </cell>
          <cell r="D87">
            <v>1E-3</v>
          </cell>
          <cell r="E87">
            <v>1E-3</v>
          </cell>
        </row>
        <row r="88">
          <cell r="B88">
            <v>0.99099999999999999</v>
          </cell>
          <cell r="C88">
            <v>4.0000000000000001E-3</v>
          </cell>
          <cell r="D88">
            <v>1E-3</v>
          </cell>
          <cell r="E88">
            <v>1E-3</v>
          </cell>
          <cell r="F88">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没】課税年度別収入歩合"/>
      <sheetName val="Sheet1"/>
      <sheetName val="21①"/>
      <sheetName val="21②"/>
      <sheetName val="22①"/>
      <sheetName val="22②"/>
      <sheetName val="23①"/>
      <sheetName val="23②"/>
      <sheetName val="24①"/>
      <sheetName val="24②"/>
      <sheetName val="25①"/>
      <sheetName val="25②"/>
      <sheetName val="26①"/>
      <sheetName val="26② "/>
      <sheetName val="27① "/>
      <sheetName val="27②  "/>
      <sheetName val="28①  "/>
      <sheetName val="28②   "/>
      <sheetName val="収納率の推移"/>
    </sheetNames>
    <sheetDataSet>
      <sheetData sheetId="0">
        <row r="83">
          <cell r="B83">
            <v>0.98599999999999999</v>
          </cell>
          <cell r="C83">
            <v>5.0000000000000001E-3</v>
          </cell>
          <cell r="D83">
            <v>2E-3</v>
          </cell>
          <cell r="E83">
            <v>1E-3</v>
          </cell>
          <cell r="F83">
            <v>1E-3</v>
          </cell>
        </row>
        <row r="84">
          <cell r="B84">
            <v>0.98599999999999999</v>
          </cell>
          <cell r="C84">
            <v>5.0000000000000001E-3</v>
          </cell>
          <cell r="D84">
            <v>2E-3</v>
          </cell>
          <cell r="E84">
            <v>1E-3</v>
          </cell>
          <cell r="F84">
            <v>1E-3</v>
          </cell>
        </row>
        <row r="85">
          <cell r="B85">
            <v>0.98499999999999999</v>
          </cell>
          <cell r="C85">
            <v>6.0000000000000001E-3</v>
          </cell>
          <cell r="D85">
            <v>2E-3</v>
          </cell>
          <cell r="E85">
            <v>1E-3</v>
          </cell>
          <cell r="F85">
            <v>1E-3</v>
          </cell>
        </row>
        <row r="86">
          <cell r="B86">
            <v>0.98699999999999999</v>
          </cell>
          <cell r="C86">
            <v>5.0000000000000001E-3</v>
          </cell>
          <cell r="D86">
            <v>2E-3</v>
          </cell>
          <cell r="E86">
            <v>1E-3</v>
          </cell>
          <cell r="F86">
            <v>0</v>
          </cell>
        </row>
        <row r="87">
          <cell r="B87">
            <v>0.98899999999999999</v>
          </cell>
          <cell r="C87">
            <v>5.0000000000000001E-3</v>
          </cell>
          <cell r="D87">
            <v>1E-3</v>
          </cell>
          <cell r="E87">
            <v>1E-3</v>
          </cell>
        </row>
        <row r="88">
          <cell r="B88">
            <v>0.99099999999999999</v>
          </cell>
          <cell r="C88">
            <v>4.0000000000000001E-3</v>
          </cell>
          <cell r="D88">
            <v>1E-3</v>
          </cell>
          <cell r="E88">
            <v>1E-3</v>
          </cell>
          <cell r="F88">
            <v>0</v>
          </cell>
        </row>
      </sheetData>
      <sheetData sheetId="1" refreshError="1"/>
      <sheetData sheetId="2">
        <row r="39">
          <cell r="B39">
            <v>627167</v>
          </cell>
        </row>
      </sheetData>
      <sheetData sheetId="3" refreshError="1"/>
      <sheetData sheetId="4">
        <row r="39">
          <cell r="B39">
            <v>627558</v>
          </cell>
        </row>
      </sheetData>
      <sheetData sheetId="5">
        <row r="5">
          <cell r="H5">
            <v>348</v>
          </cell>
        </row>
        <row r="6">
          <cell r="H6">
            <v>735</v>
          </cell>
        </row>
        <row r="7">
          <cell r="H7">
            <v>1337</v>
          </cell>
        </row>
      </sheetData>
      <sheetData sheetId="6">
        <row r="39">
          <cell r="B39">
            <v>636694</v>
          </cell>
        </row>
      </sheetData>
      <sheetData sheetId="7">
        <row r="5">
          <cell r="H5">
            <v>468</v>
          </cell>
        </row>
        <row r="6">
          <cell r="H6">
            <v>750</v>
          </cell>
        </row>
      </sheetData>
      <sheetData sheetId="8">
        <row r="39">
          <cell r="B39">
            <v>627027</v>
          </cell>
        </row>
      </sheetData>
      <sheetData sheetId="9">
        <row r="5">
          <cell r="H5">
            <v>506</v>
          </cell>
        </row>
      </sheetData>
      <sheetData sheetId="10">
        <row r="39">
          <cell r="B39">
            <v>641765</v>
          </cell>
        </row>
      </sheetData>
      <sheetData sheetId="11">
        <row r="5">
          <cell r="H5">
            <v>482</v>
          </cell>
        </row>
      </sheetData>
      <sheetData sheetId="12">
        <row r="39">
          <cell r="B39">
            <v>660105</v>
          </cell>
        </row>
      </sheetData>
      <sheetData sheetId="13">
        <row r="5">
          <cell r="H5">
            <v>270</v>
          </cell>
        </row>
      </sheetData>
      <sheetData sheetId="14">
        <row r="39">
          <cell r="B39">
            <v>660348</v>
          </cell>
        </row>
      </sheetData>
      <sheetData sheetId="15">
        <row r="5">
          <cell r="H5">
            <v>271</v>
          </cell>
        </row>
      </sheetData>
      <sheetData sheetId="16">
        <row r="39">
          <cell r="B39">
            <v>659834</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txDef>
      <a:spPr bwMode="auto">
        <a:noFill/>
        <a:ln w="9525">
          <a:noFill/>
          <a:miter lim="800000"/>
          <a:headEnd/>
          <a:tailEnd/>
        </a:ln>
      </a:spPr>
      <a:bodyPr vertOverflow="clip" wrap="square" lIns="27432" tIns="18288" rIns="27432" bIns="18288" anchor="ctr" upright="1"/>
      <a:lstStyle>
        <a:defPPr algn="ctr" rtl="0">
          <a:defRPr sz="10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3:G14"/>
  <sheetViews>
    <sheetView zoomScale="85" zoomScaleNormal="85" workbookViewId="0">
      <selection activeCell="C6" sqref="C6"/>
    </sheetView>
  </sheetViews>
  <sheetFormatPr defaultRowHeight="13.5"/>
  <cols>
    <col min="1" max="1" width="9.140625" style="47"/>
    <col min="2" max="2" width="13.5703125" style="47" customWidth="1"/>
    <col min="3" max="4" width="16.42578125" style="47" customWidth="1"/>
    <col min="5" max="7" width="14.28515625" style="47" customWidth="1"/>
    <col min="8" max="16384" width="9.140625" style="47"/>
  </cols>
  <sheetData>
    <row r="3" spans="2:7" ht="18.75">
      <c r="B3" s="518"/>
      <c r="C3" s="518"/>
      <c r="D3" s="518"/>
      <c r="E3" s="518"/>
      <c r="F3" s="518"/>
      <c r="G3" s="519" t="s">
        <v>137</v>
      </c>
    </row>
    <row r="4" spans="2:7" ht="39" customHeight="1">
      <c r="B4" s="520"/>
      <c r="C4" s="521" t="s">
        <v>138</v>
      </c>
      <c r="D4" s="521" t="s">
        <v>139</v>
      </c>
      <c r="E4" s="522" t="s">
        <v>140</v>
      </c>
      <c r="F4" s="523" t="s">
        <v>141</v>
      </c>
      <c r="G4" s="521" t="s">
        <v>124</v>
      </c>
    </row>
    <row r="5" spans="2:7" ht="33.75" hidden="1" customHeight="1">
      <c r="B5" s="521" t="s">
        <v>142</v>
      </c>
      <c r="C5" s="524">
        <v>1555121</v>
      </c>
      <c r="D5" s="524">
        <v>1552859</v>
      </c>
      <c r="E5" s="524">
        <f>C5-D5</f>
        <v>2262</v>
      </c>
      <c r="F5" s="524">
        <v>1813</v>
      </c>
      <c r="G5" s="524">
        <f>E5-F5</f>
        <v>449</v>
      </c>
    </row>
    <row r="6" spans="2:7" ht="33.75" customHeight="1">
      <c r="B6" s="521" t="s">
        <v>328</v>
      </c>
      <c r="C6" s="524">
        <v>1764214</v>
      </c>
      <c r="D6" s="524">
        <v>1756789</v>
      </c>
      <c r="E6" s="524">
        <v>7425</v>
      </c>
      <c r="F6" s="524">
        <v>4753</v>
      </c>
      <c r="G6" s="524">
        <f>E6-F6</f>
        <v>2672</v>
      </c>
    </row>
    <row r="7" spans="2:7" ht="33.75" customHeight="1">
      <c r="B7" s="521" t="s">
        <v>378</v>
      </c>
      <c r="C7" s="524">
        <v>2042685</v>
      </c>
      <c r="D7" s="524">
        <v>2014653</v>
      </c>
      <c r="E7" s="524">
        <v>28032</v>
      </c>
      <c r="F7" s="524">
        <v>14991</v>
      </c>
      <c r="G7" s="524">
        <f>E7-F7</f>
        <v>13041</v>
      </c>
    </row>
    <row r="8" spans="2:7" ht="33.75" customHeight="1">
      <c r="B8" s="521" t="s">
        <v>143</v>
      </c>
      <c r="C8" s="525">
        <f>C7-C6</f>
        <v>278471</v>
      </c>
      <c r="D8" s="525">
        <f>D7-D6</f>
        <v>257864</v>
      </c>
      <c r="E8" s="525">
        <f>E7-E6</f>
        <v>20607</v>
      </c>
      <c r="F8" s="525">
        <f>F7-F6</f>
        <v>10238</v>
      </c>
      <c r="G8" s="525">
        <f>G7-G6</f>
        <v>10369</v>
      </c>
    </row>
    <row r="9" spans="2:7" ht="31.5" customHeight="1">
      <c r="B9" s="536"/>
      <c r="C9" s="536"/>
      <c r="D9" s="536"/>
      <c r="E9" s="536"/>
      <c r="F9" s="536"/>
    </row>
    <row r="10" spans="2:7">
      <c r="C10" s="47" t="s">
        <v>285</v>
      </c>
    </row>
    <row r="12" spans="2:7" s="48" customFormat="1" ht="10.7" customHeight="1"/>
    <row r="13" spans="2:7" s="48" customFormat="1" ht="12.75"/>
    <row r="14" spans="2:7" s="48" customFormat="1" ht="14.25" customHeight="1"/>
  </sheetData>
  <mergeCells count="1">
    <mergeCell ref="B9:F9"/>
  </mergeCells>
  <phoneticPr fontId="9"/>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dimension ref="A3:O42"/>
  <sheetViews>
    <sheetView workbookViewId="0">
      <selection activeCell="D5" sqref="D5"/>
    </sheetView>
  </sheetViews>
  <sheetFormatPr defaultRowHeight="13.5" outlineLevelRow="1"/>
  <cols>
    <col min="1" max="1" width="13.5703125" style="189" customWidth="1"/>
    <col min="2" max="2" width="9.140625" style="189"/>
    <col min="3" max="7" width="11.140625" style="189" customWidth="1"/>
    <col min="8" max="8" width="11.140625" style="189" hidden="1" customWidth="1"/>
    <col min="9" max="15" width="9.140625" style="189" hidden="1" customWidth="1"/>
    <col min="16" max="16" width="1.42578125" style="189" customWidth="1"/>
    <col min="17" max="16384" width="9.140625" style="189"/>
  </cols>
  <sheetData>
    <row r="3" spans="1:15">
      <c r="A3" s="675"/>
      <c r="B3" s="675"/>
      <c r="C3" s="190" t="s">
        <v>249</v>
      </c>
      <c r="D3" s="190" t="s">
        <v>208</v>
      </c>
      <c r="E3" s="190" t="s">
        <v>226</v>
      </c>
      <c r="F3" s="190" t="s">
        <v>364</v>
      </c>
      <c r="G3" s="190" t="s">
        <v>365</v>
      </c>
      <c r="H3" s="190"/>
      <c r="I3" s="190" t="s">
        <v>250</v>
      </c>
      <c r="J3" s="190" t="s">
        <v>251</v>
      </c>
      <c r="K3" s="190" t="s">
        <v>247</v>
      </c>
      <c r="L3" s="190" t="s">
        <v>248</v>
      </c>
      <c r="M3" s="190" t="s">
        <v>249</v>
      </c>
      <c r="N3" s="190" t="s">
        <v>208</v>
      </c>
      <c r="O3" s="190" t="s">
        <v>226</v>
      </c>
    </row>
    <row r="4" spans="1:15">
      <c r="A4" s="223" t="s">
        <v>252</v>
      </c>
      <c r="B4" s="223"/>
      <c r="C4" s="223">
        <v>119</v>
      </c>
      <c r="D4" s="223">
        <v>101</v>
      </c>
      <c r="E4" s="223">
        <v>96</v>
      </c>
      <c r="F4" s="223">
        <v>101</v>
      </c>
      <c r="G4" s="223">
        <v>199</v>
      </c>
      <c r="H4" s="223"/>
      <c r="I4" s="223"/>
      <c r="J4" s="223"/>
      <c r="K4" s="223"/>
      <c r="L4" s="223"/>
      <c r="M4" s="223"/>
      <c r="N4" s="223"/>
      <c r="O4" s="223"/>
    </row>
    <row r="5" spans="1:15">
      <c r="A5" s="223" t="s">
        <v>253</v>
      </c>
      <c r="B5" s="223"/>
      <c r="C5" s="223">
        <v>40</v>
      </c>
      <c r="D5" s="223">
        <v>38</v>
      </c>
      <c r="E5" s="223">
        <v>44</v>
      </c>
      <c r="F5" s="223">
        <v>52</v>
      </c>
      <c r="G5" s="223">
        <v>145</v>
      </c>
      <c r="H5" s="223"/>
      <c r="I5" s="223"/>
      <c r="J5" s="223"/>
      <c r="K5" s="223"/>
      <c r="L5" s="223"/>
      <c r="M5" s="223"/>
      <c r="N5" s="223"/>
      <c r="O5" s="223"/>
    </row>
    <row r="6" spans="1:15">
      <c r="A6" s="223" t="s">
        <v>254</v>
      </c>
      <c r="B6" s="223"/>
      <c r="C6" s="224">
        <v>79</v>
      </c>
      <c r="D6" s="224">
        <v>63</v>
      </c>
      <c r="E6" s="224">
        <v>52</v>
      </c>
      <c r="F6" s="224">
        <v>49</v>
      </c>
      <c r="G6" s="224">
        <v>54</v>
      </c>
      <c r="H6" s="224"/>
      <c r="I6" s="224"/>
      <c r="J6" s="224"/>
      <c r="K6" s="224"/>
      <c r="L6" s="224"/>
      <c r="M6" s="224"/>
      <c r="N6" s="224"/>
      <c r="O6" s="223"/>
    </row>
    <row r="7" spans="1:15">
      <c r="A7" s="223" t="s">
        <v>255</v>
      </c>
      <c r="B7" s="223"/>
      <c r="C7" s="193">
        <v>0.99399999999999999</v>
      </c>
      <c r="D7" s="193">
        <v>0.99399999999999999</v>
      </c>
      <c r="E7" s="193">
        <v>0.99399999999999999</v>
      </c>
      <c r="F7" s="193">
        <v>0.99299999999999999</v>
      </c>
      <c r="G7" s="193">
        <v>0.98099999999999998</v>
      </c>
      <c r="H7" s="193"/>
      <c r="I7" s="193"/>
      <c r="J7" s="193"/>
      <c r="K7" s="193"/>
      <c r="L7" s="193"/>
      <c r="M7" s="193"/>
      <c r="N7" s="193"/>
      <c r="O7" s="193"/>
    </row>
    <row r="8" spans="1:15">
      <c r="A8" s="223" t="s">
        <v>256</v>
      </c>
      <c r="B8" s="223"/>
      <c r="C8" s="193">
        <v>0.97899999999999998</v>
      </c>
      <c r="D8" s="193">
        <v>0.98199999999999998</v>
      </c>
      <c r="E8" s="193">
        <v>0.98499999999999999</v>
      </c>
      <c r="F8" s="193">
        <v>0.98599999999999999</v>
      </c>
      <c r="G8" s="193">
        <v>0.97299999999999998</v>
      </c>
      <c r="H8" s="193"/>
      <c r="I8" s="193"/>
      <c r="J8" s="193"/>
      <c r="K8" s="193"/>
      <c r="L8" s="193"/>
      <c r="M8" s="193"/>
      <c r="N8" s="193"/>
      <c r="O8" s="193"/>
    </row>
    <row r="9" spans="1:15">
      <c r="A9" s="189" t="s">
        <v>257</v>
      </c>
    </row>
    <row r="11" spans="1:15">
      <c r="A11" s="194"/>
      <c r="B11" s="194" t="s">
        <v>258</v>
      </c>
      <c r="C11" s="194" t="s">
        <v>259</v>
      </c>
      <c r="D11" s="194" t="s">
        <v>260</v>
      </c>
      <c r="E11" s="194" t="s">
        <v>261</v>
      </c>
      <c r="F11" s="194" t="s">
        <v>262</v>
      </c>
      <c r="G11" s="194" t="s">
        <v>263</v>
      </c>
    </row>
    <row r="12" spans="1:15" hidden="1" outlineLevel="1">
      <c r="A12" s="194" t="s">
        <v>264</v>
      </c>
      <c r="B12" s="195">
        <f>ROUND(98.9%,3)</f>
        <v>0.98899999999999999</v>
      </c>
      <c r="C12" s="195">
        <f>ROUND(0.41%,3)</f>
        <v>4.0000000000000001E-3</v>
      </c>
      <c r="D12" s="195">
        <f>ROUND(0.1%,3)</f>
        <v>1E-3</v>
      </c>
      <c r="E12" s="195">
        <f>ROUND(0.05%,3)</f>
        <v>1E-3</v>
      </c>
      <c r="F12" s="195">
        <f>ROUND(0.04%,3)</f>
        <v>0</v>
      </c>
      <c r="G12" s="195">
        <f t="shared" ref="G12:G23" si="0">SUM(B12:F12)</f>
        <v>0.995</v>
      </c>
    </row>
    <row r="13" spans="1:15" hidden="1" outlineLevel="1">
      <c r="A13" s="194" t="s">
        <v>265</v>
      </c>
      <c r="B13" s="195">
        <f>ROUND(98.38%,3)</f>
        <v>0.98399999999999999</v>
      </c>
      <c r="C13" s="195">
        <f>ROUND(0.62%,3)</f>
        <v>6.0000000000000001E-3</v>
      </c>
      <c r="D13" s="195">
        <f>ROUND(0.14%,3)</f>
        <v>1E-3</v>
      </c>
      <c r="E13" s="195">
        <f>ROUND(0.07%,3)</f>
        <v>1E-3</v>
      </c>
      <c r="F13" s="195">
        <f>ROUND(0.06%,3)</f>
        <v>1E-3</v>
      </c>
      <c r="G13" s="195">
        <f t="shared" si="0"/>
        <v>0.99299999999999999</v>
      </c>
    </row>
    <row r="14" spans="1:15" hidden="1" outlineLevel="1">
      <c r="A14" s="194" t="s">
        <v>266</v>
      </c>
      <c r="B14" s="195">
        <f>ROUND(98.1%,3)</f>
        <v>0.98099999999999998</v>
      </c>
      <c r="C14" s="195">
        <f>ROUND(0.75%,3)</f>
        <v>8.0000000000000002E-3</v>
      </c>
      <c r="D14" s="195">
        <f>ROUND(0.19%,3)</f>
        <v>2E-3</v>
      </c>
      <c r="E14" s="195">
        <f>ROUND(0.09%,3)</f>
        <v>1E-3</v>
      </c>
      <c r="F14" s="195">
        <f>ROUND(0.06%,3)</f>
        <v>1E-3</v>
      </c>
      <c r="G14" s="195">
        <f t="shared" si="0"/>
        <v>0.99299999999999999</v>
      </c>
    </row>
    <row r="15" spans="1:15" hidden="1" outlineLevel="1">
      <c r="A15" s="194" t="s">
        <v>267</v>
      </c>
      <c r="B15" s="195">
        <f>ROUND(97.91%,3)</f>
        <v>0.97899999999999998</v>
      </c>
      <c r="C15" s="195">
        <f>ROUND(0.78%,3)</f>
        <v>8.0000000000000002E-3</v>
      </c>
      <c r="D15" s="195">
        <f>ROUND(0.21%,3)</f>
        <v>2E-3</v>
      </c>
      <c r="E15" s="195">
        <f>ROUND(0.13%,3)</f>
        <v>1E-3</v>
      </c>
      <c r="F15" s="195">
        <f>ROUND(0.05%,3)</f>
        <v>1E-3</v>
      </c>
      <c r="G15" s="195">
        <f t="shared" si="0"/>
        <v>0.99099999999999999</v>
      </c>
    </row>
    <row r="16" spans="1:15" hidden="1" outlineLevel="1">
      <c r="A16" s="194" t="s">
        <v>268</v>
      </c>
      <c r="B16" s="195">
        <f>ROUND(97.83%,3)</f>
        <v>0.97799999999999998</v>
      </c>
      <c r="C16" s="195">
        <f>ROUND(0.8%,3)</f>
        <v>8.0000000000000002E-3</v>
      </c>
      <c r="D16" s="195">
        <f>ROUND(0.24%,3)</f>
        <v>2E-3</v>
      </c>
      <c r="E16" s="195">
        <f>ROUND(0.1%,3)</f>
        <v>1E-3</v>
      </c>
      <c r="F16" s="195">
        <f>ROUND(0.06%,3)</f>
        <v>1E-3</v>
      </c>
      <c r="G16" s="195">
        <f t="shared" si="0"/>
        <v>0.99</v>
      </c>
    </row>
    <row r="17" spans="1:7" hidden="1" outlineLevel="1">
      <c r="A17" s="194" t="s">
        <v>269</v>
      </c>
      <c r="B17" s="195">
        <f>ROUND(97.94%,3)</f>
        <v>0.97899999999999998</v>
      </c>
      <c r="C17" s="195">
        <f>ROUND(0.74%,3)</f>
        <v>7.0000000000000001E-3</v>
      </c>
      <c r="D17" s="195">
        <f>ROUND(0.21%,3)</f>
        <v>2E-3</v>
      </c>
      <c r="E17" s="195">
        <f>ROUND(0.09%,3)</f>
        <v>1E-3</v>
      </c>
      <c r="F17" s="195">
        <f>ROUND(0.04%,3)</f>
        <v>0</v>
      </c>
      <c r="G17" s="195">
        <f t="shared" si="0"/>
        <v>0.98899999999999999</v>
      </c>
    </row>
    <row r="18" spans="1:7" hidden="1" outlineLevel="1">
      <c r="A18" s="194" t="s">
        <v>270</v>
      </c>
      <c r="B18" s="195">
        <f>ROUND(97.84%,3)</f>
        <v>0.97799999999999998</v>
      </c>
      <c r="C18" s="195">
        <f>ROUND(0.74%,3)</f>
        <v>7.0000000000000001E-3</v>
      </c>
      <c r="D18" s="195">
        <f>ROUND(0.22%,3)</f>
        <v>2E-3</v>
      </c>
      <c r="E18" s="195">
        <f>ROUND(0.1%,3)</f>
        <v>1E-3</v>
      </c>
      <c r="F18" s="195">
        <f>ROUND(0.06%,3)</f>
        <v>1E-3</v>
      </c>
      <c r="G18" s="195">
        <f t="shared" si="0"/>
        <v>0.98899999999999999</v>
      </c>
    </row>
    <row r="19" spans="1:7" hidden="1" outlineLevel="1">
      <c r="A19" s="194" t="s">
        <v>271</v>
      </c>
      <c r="B19" s="195">
        <f>ROUND(97.69%,3)</f>
        <v>0.97699999999999998</v>
      </c>
      <c r="C19" s="195">
        <f>ROUND(0.85%,3)</f>
        <v>8.9999999999999993E-3</v>
      </c>
      <c r="D19" s="195">
        <f>ROUND(0.23%,3)</f>
        <v>2E-3</v>
      </c>
      <c r="E19" s="195">
        <f>ROUND(0.11%,3)</f>
        <v>1E-3</v>
      </c>
      <c r="F19" s="195">
        <f>ROUND(0.06%,3)</f>
        <v>1E-3</v>
      </c>
      <c r="G19" s="195">
        <f t="shared" si="0"/>
        <v>0.99</v>
      </c>
    </row>
    <row r="20" spans="1:7" hidden="1" outlineLevel="1">
      <c r="A20" s="194" t="s">
        <v>272</v>
      </c>
      <c r="B20" s="195">
        <f>ROUND(97.76%,3)</f>
        <v>0.97799999999999998</v>
      </c>
      <c r="C20" s="195">
        <f>ROUND(0.73%,3)</f>
        <v>7.0000000000000001E-3</v>
      </c>
      <c r="D20" s="195">
        <f>ROUND(0.21%,3)</f>
        <v>2E-3</v>
      </c>
      <c r="E20" s="195">
        <f>ROUND(0.11%,3)</f>
        <v>1E-3</v>
      </c>
      <c r="F20" s="195">
        <f>ROUND(0.09%,3)</f>
        <v>1E-3</v>
      </c>
      <c r="G20" s="195">
        <f t="shared" si="0"/>
        <v>0.98899999999999999</v>
      </c>
    </row>
    <row r="21" spans="1:7" hidden="1" outlineLevel="1">
      <c r="A21" s="194" t="s">
        <v>273</v>
      </c>
      <c r="B21" s="195">
        <f>ROUND(97.91%,3)</f>
        <v>0.97899999999999998</v>
      </c>
      <c r="C21" s="195">
        <f>ROUND(0.69%,3)</f>
        <v>7.0000000000000001E-3</v>
      </c>
      <c r="D21" s="195">
        <f>ROUND(0.23%,3)</f>
        <v>2E-3</v>
      </c>
      <c r="E21" s="195">
        <f>ROUND(0.14%,3)</f>
        <v>1E-3</v>
      </c>
      <c r="F21" s="195">
        <f>ROUND(0.08%,3)</f>
        <v>1E-3</v>
      </c>
      <c r="G21" s="195">
        <f t="shared" si="0"/>
        <v>0.99</v>
      </c>
    </row>
    <row r="22" spans="1:7" hidden="1" outlineLevel="1">
      <c r="A22" s="194" t="s">
        <v>274</v>
      </c>
      <c r="B22" s="195">
        <f>ROUND(98%,3)</f>
        <v>0.98</v>
      </c>
      <c r="C22" s="195">
        <f>ROUND(0.7%,3)</f>
        <v>7.0000000000000001E-3</v>
      </c>
      <c r="D22" s="195">
        <f>ROUND(0.25%,3)</f>
        <v>3.0000000000000001E-3</v>
      </c>
      <c r="E22" s="195">
        <f>ROUND(0.13%,3)</f>
        <v>1E-3</v>
      </c>
      <c r="F22" s="195">
        <v>1E-3</v>
      </c>
      <c r="G22" s="195">
        <f t="shared" si="0"/>
        <v>0.99199999999999999</v>
      </c>
    </row>
    <row r="23" spans="1:7" hidden="1" outlineLevel="1">
      <c r="A23" s="194" t="s">
        <v>275</v>
      </c>
      <c r="B23" s="195">
        <f>ROUND(98.01%,3)</f>
        <v>0.98</v>
      </c>
      <c r="C23" s="195">
        <f>ROUND(0.75%,3)</f>
        <v>8.0000000000000002E-3</v>
      </c>
      <c r="D23" s="195">
        <f>ROUND(0.24%,3)</f>
        <v>2E-3</v>
      </c>
      <c r="E23" s="195">
        <v>1E-3</v>
      </c>
      <c r="F23" s="195">
        <v>1E-3</v>
      </c>
      <c r="G23" s="195">
        <f t="shared" si="0"/>
        <v>0.99199999999999999</v>
      </c>
    </row>
    <row r="24" spans="1:7" hidden="1">
      <c r="A24" s="194" t="s">
        <v>276</v>
      </c>
      <c r="B24" s="195">
        <v>0.98699999999999999</v>
      </c>
      <c r="C24" s="195">
        <v>6.0000000000000001E-3</v>
      </c>
      <c r="D24" s="195">
        <v>1E-3</v>
      </c>
      <c r="E24" s="195">
        <v>1E-3</v>
      </c>
      <c r="F24" s="195">
        <v>1E-3</v>
      </c>
      <c r="G24" s="195">
        <v>0.99539999999999995</v>
      </c>
    </row>
    <row r="25" spans="1:7" hidden="1">
      <c r="A25" s="194" t="s">
        <v>277</v>
      </c>
      <c r="B25" s="195">
        <v>0.98799999999999999</v>
      </c>
      <c r="C25" s="195">
        <v>5.0000000000000001E-3</v>
      </c>
      <c r="D25" s="195">
        <v>1E-3</v>
      </c>
      <c r="E25" s="195">
        <v>1E-3</v>
      </c>
      <c r="F25" s="195">
        <f>[1]課税年度別収入歩合!F82</f>
        <v>1E-3</v>
      </c>
      <c r="G25" s="196">
        <f t="shared" ref="G25:G27" si="1">SUM(B25:F25)</f>
        <v>0.996</v>
      </c>
    </row>
    <row r="26" spans="1:7" hidden="1">
      <c r="A26" s="197" t="s">
        <v>278</v>
      </c>
      <c r="B26" s="195">
        <f>[2]【没】課税年度別収入歩合!B83</f>
        <v>0.98599999999999999</v>
      </c>
      <c r="C26" s="195">
        <f>[2]【没】課税年度別収入歩合!C83</f>
        <v>5.0000000000000001E-3</v>
      </c>
      <c r="D26" s="195">
        <f>[2]【没】課税年度別収入歩合!D83</f>
        <v>2E-3</v>
      </c>
      <c r="E26" s="195">
        <f>[2]【没】課税年度別収入歩合!E83</f>
        <v>1E-3</v>
      </c>
      <c r="F26" s="195">
        <f>[2]【没】課税年度別収入歩合!F83</f>
        <v>1E-3</v>
      </c>
      <c r="G26" s="196">
        <f t="shared" si="1"/>
        <v>0.995</v>
      </c>
    </row>
    <row r="27" spans="1:7" hidden="1">
      <c r="A27" s="197" t="s">
        <v>142</v>
      </c>
      <c r="B27" s="195">
        <f>[2]【没】課税年度別収入歩合!B84</f>
        <v>0.98599999999999999</v>
      </c>
      <c r="C27" s="195">
        <f>[2]【没】課税年度別収入歩合!C84</f>
        <v>5.0000000000000001E-3</v>
      </c>
      <c r="D27" s="195">
        <f>[2]【没】課税年度別収入歩合!D84</f>
        <v>2E-3</v>
      </c>
      <c r="E27" s="195">
        <f>[2]【没】課税年度別収入歩合!E84</f>
        <v>1E-3</v>
      </c>
      <c r="F27" s="225">
        <f>[2]【没】課税年度別収入歩合!F84</f>
        <v>1E-3</v>
      </c>
      <c r="G27" s="196">
        <f t="shared" si="1"/>
        <v>0.995</v>
      </c>
    </row>
    <row r="28" spans="1:7" hidden="1">
      <c r="A28" s="197" t="s">
        <v>279</v>
      </c>
      <c r="B28" s="195">
        <f>[2]【没】課税年度別収入歩合!B85</f>
        <v>0.98499999999999999</v>
      </c>
      <c r="C28" s="195">
        <f>[2]【没】課税年度別収入歩合!C85</f>
        <v>6.0000000000000001E-3</v>
      </c>
      <c r="D28" s="195">
        <f>[2]【没】課税年度別収入歩合!D85</f>
        <v>2E-3</v>
      </c>
      <c r="E28" s="195">
        <f>[2]【没】課税年度別収入歩合!E85</f>
        <v>1E-3</v>
      </c>
      <c r="F28" s="195">
        <f>[2]【没】課税年度別収入歩合!F85</f>
        <v>1E-3</v>
      </c>
      <c r="G28" s="196">
        <f>SUM(B28:F28)</f>
        <v>0.995</v>
      </c>
    </row>
    <row r="29" spans="1:7" hidden="1">
      <c r="A29" s="197" t="s">
        <v>280</v>
      </c>
      <c r="B29" s="195">
        <f>[2]【没】課税年度別収入歩合!B86</f>
        <v>0.98699999999999999</v>
      </c>
      <c r="C29" s="195">
        <f>[2]【没】課税年度別収入歩合!C86</f>
        <v>5.0000000000000001E-3</v>
      </c>
      <c r="D29" s="195">
        <f>[2]【没】課税年度別収入歩合!D86</f>
        <v>2E-3</v>
      </c>
      <c r="E29" s="195">
        <f>[2]【没】課税年度別収入歩合!E86</f>
        <v>1E-3</v>
      </c>
      <c r="F29" s="195">
        <f>[2]【没】課税年度別収入歩合!F86</f>
        <v>0</v>
      </c>
      <c r="G29" s="196">
        <f>SUM(B29:F29)</f>
        <v>0.995</v>
      </c>
    </row>
    <row r="30" spans="1:7" hidden="1">
      <c r="A30" s="197" t="s">
        <v>281</v>
      </c>
      <c r="B30" s="195">
        <f>[2]【没】課税年度別収入歩合!B87</f>
        <v>0.98899999999999999</v>
      </c>
      <c r="C30" s="195">
        <f>[2]【没】課税年度別収入歩合!C87</f>
        <v>5.0000000000000001E-3</v>
      </c>
      <c r="D30" s="195">
        <f>[2]【没】課税年度別収入歩合!D87</f>
        <v>1E-3</v>
      </c>
      <c r="E30" s="195">
        <f>[2]【没】課税年度別収入歩合!E87</f>
        <v>1E-3</v>
      </c>
      <c r="F30" s="195">
        <v>0</v>
      </c>
      <c r="G30" s="196">
        <f>SUM(B30:F30)</f>
        <v>0.996</v>
      </c>
    </row>
    <row r="31" spans="1:7" hidden="1">
      <c r="A31" s="197" t="s">
        <v>250</v>
      </c>
      <c r="B31" s="195">
        <f>[2]【没】課税年度別収入歩合!B88</f>
        <v>0.99099999999999999</v>
      </c>
      <c r="C31" s="195">
        <f>[2]【没】課税年度別収入歩合!C88</f>
        <v>4.0000000000000001E-3</v>
      </c>
      <c r="D31" s="195">
        <f>[2]【没】課税年度別収入歩合!D88</f>
        <v>1E-3</v>
      </c>
      <c r="E31" s="195">
        <f>[2]【没】課税年度別収入歩合!E88</f>
        <v>1E-3</v>
      </c>
      <c r="F31" s="195">
        <f>[2]【没】課税年度別収入歩合!F88</f>
        <v>0</v>
      </c>
      <c r="G31" s="196">
        <f>SUM(B31:F31)</f>
        <v>0.997</v>
      </c>
    </row>
    <row r="32" spans="1:7" ht="13.5" hidden="1" customHeight="1">
      <c r="A32" s="197" t="s">
        <v>251</v>
      </c>
      <c r="B32" s="195">
        <v>0.99180000000000001</v>
      </c>
      <c r="C32" s="195">
        <v>3.0000000000000001E-3</v>
      </c>
      <c r="D32" s="195">
        <v>1E-3</v>
      </c>
      <c r="E32" s="195">
        <v>1E-3</v>
      </c>
      <c r="F32" s="199">
        <v>2.9999999999999997E-4</v>
      </c>
      <c r="G32" s="196">
        <f>SUM(B32:F32)</f>
        <v>0.99709999999999999</v>
      </c>
    </row>
    <row r="33" spans="1:7" ht="13.5" hidden="1" customHeight="1">
      <c r="A33" s="197" t="s">
        <v>248</v>
      </c>
      <c r="B33" s="195">
        <v>0.99299999999999999</v>
      </c>
      <c r="C33" s="195">
        <v>3.0000000000000001E-3</v>
      </c>
      <c r="D33" s="195">
        <v>1E-3</v>
      </c>
      <c r="E33" s="199">
        <v>4.0000000000000002E-4</v>
      </c>
      <c r="F33" s="199">
        <v>2.0000000000000001E-4</v>
      </c>
      <c r="G33" s="196">
        <f t="shared" ref="G33:G38" si="2">SUM(B33:F33)</f>
        <v>0.99759999999999993</v>
      </c>
    </row>
    <row r="34" spans="1:7" ht="13.5" customHeight="1">
      <c r="A34" s="197" t="s">
        <v>249</v>
      </c>
      <c r="B34" s="195">
        <v>0.99390000000000001</v>
      </c>
      <c r="C34" s="195">
        <v>3.0000000000000001E-3</v>
      </c>
      <c r="D34" s="195">
        <v>8.0000000000000004E-4</v>
      </c>
      <c r="E34" s="199">
        <v>4.0000000000000002E-4</v>
      </c>
      <c r="F34" s="199">
        <v>1E-4</v>
      </c>
      <c r="G34" s="196">
        <f t="shared" si="2"/>
        <v>0.99819999999999998</v>
      </c>
    </row>
    <row r="35" spans="1:7" ht="13.5" customHeight="1">
      <c r="A35" s="197" t="s">
        <v>208</v>
      </c>
      <c r="B35" s="195">
        <v>0.99429999999999996</v>
      </c>
      <c r="C35" s="195">
        <v>2.8E-3</v>
      </c>
      <c r="D35" s="195">
        <v>1E-3</v>
      </c>
      <c r="E35" s="199">
        <v>2.9999999999999997E-4</v>
      </c>
      <c r="F35" s="200"/>
      <c r="G35" s="196">
        <f t="shared" si="2"/>
        <v>0.99839999999999995</v>
      </c>
    </row>
    <row r="36" spans="1:7" ht="14.25" customHeight="1">
      <c r="A36" s="197" t="s">
        <v>226</v>
      </c>
      <c r="B36" s="195">
        <v>0.99399999999999999</v>
      </c>
      <c r="C36" s="195">
        <v>2.8999999999999998E-3</v>
      </c>
      <c r="D36" s="195">
        <v>8.0000000000000004E-4</v>
      </c>
      <c r="E36" s="195"/>
      <c r="F36" s="195"/>
      <c r="G36" s="196">
        <f t="shared" si="2"/>
        <v>0.99770000000000003</v>
      </c>
    </row>
    <row r="37" spans="1:7" ht="15" customHeight="1">
      <c r="A37" s="197" t="s">
        <v>364</v>
      </c>
      <c r="B37" s="195">
        <v>0.99299999999999999</v>
      </c>
      <c r="C37" s="195">
        <v>3.5999999999999999E-3</v>
      </c>
      <c r="D37" s="195"/>
      <c r="E37" s="195"/>
      <c r="F37" s="195"/>
      <c r="G37" s="196">
        <f t="shared" si="2"/>
        <v>0.99660000000000004</v>
      </c>
    </row>
    <row r="38" spans="1:7" ht="15" customHeight="1">
      <c r="A38" s="197" t="s">
        <v>366</v>
      </c>
      <c r="B38" s="195">
        <v>0.98080000000000001</v>
      </c>
      <c r="C38" s="195"/>
      <c r="D38" s="195"/>
      <c r="E38" s="195"/>
      <c r="F38" s="195"/>
      <c r="G38" s="196">
        <f t="shared" si="2"/>
        <v>0.98080000000000001</v>
      </c>
    </row>
    <row r="39" spans="1:7">
      <c r="A39" s="189" t="s">
        <v>282</v>
      </c>
    </row>
    <row r="41" spans="1:7">
      <c r="A41" s="189" t="s">
        <v>283</v>
      </c>
    </row>
    <row r="42" spans="1:7">
      <c r="A42" s="189" t="s">
        <v>284</v>
      </c>
    </row>
  </sheetData>
  <mergeCells count="1">
    <mergeCell ref="A3:B3"/>
  </mergeCells>
  <phoneticPr fontId="9"/>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Normal="70" zoomScaleSheetLayoutView="100" workbookViewId="0"/>
  </sheetViews>
  <sheetFormatPr defaultRowHeight="18.75"/>
  <cols>
    <col min="1" max="41" width="3.42578125" style="408" customWidth="1"/>
    <col min="42" max="16384" width="9.140625" style="408"/>
  </cols>
  <sheetData/>
  <phoneticPr fontId="9"/>
  <pageMargins left="0.78740157480314965" right="0.31496062992125984" top="1.0236220472440944" bottom="0.43307086614173229" header="0.51181102362204722" footer="0.23622047244094491"/>
  <pageSetup paperSize="9" scale="86" orientation="portrait" horizontalDpi="300" verticalDpi="300" r:id="rId1"/>
  <headerFooter alignWithMargins="0">
    <oddHeader>&amp;L&amp;"メイリオ,レギュラー"&amp;18○参考：市税の収納状況について</oddHead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3:P43"/>
  <sheetViews>
    <sheetView topLeftCell="A8" workbookViewId="0">
      <selection activeCell="G5" sqref="G5"/>
    </sheetView>
  </sheetViews>
  <sheetFormatPr defaultRowHeight="13.5" outlineLevelRow="1"/>
  <cols>
    <col min="1" max="1" width="13.5703125" style="189" customWidth="1"/>
    <col min="2" max="2" width="9.140625" style="189"/>
    <col min="3" max="8" width="11.140625" style="189" customWidth="1"/>
    <col min="9" max="9" width="11.140625" style="189" hidden="1" customWidth="1"/>
    <col min="10" max="16" width="9.140625" style="189" hidden="1" customWidth="1"/>
    <col min="17" max="17" width="1.42578125" style="189" customWidth="1"/>
    <col min="18" max="16384" width="9.140625" style="189"/>
  </cols>
  <sheetData>
    <row r="3" spans="1:16">
      <c r="A3" s="675"/>
      <c r="B3" s="675"/>
      <c r="C3" s="190" t="s">
        <v>249</v>
      </c>
      <c r="D3" s="190" t="s">
        <v>208</v>
      </c>
      <c r="E3" s="190" t="s">
        <v>226</v>
      </c>
      <c r="F3" s="190" t="s">
        <v>364</v>
      </c>
      <c r="G3" s="190" t="s">
        <v>365</v>
      </c>
      <c r="H3" s="190" t="s">
        <v>365</v>
      </c>
      <c r="I3" s="190"/>
      <c r="J3" s="190" t="s">
        <v>250</v>
      </c>
      <c r="K3" s="190" t="s">
        <v>251</v>
      </c>
      <c r="L3" s="190" t="s">
        <v>247</v>
      </c>
      <c r="M3" s="190" t="s">
        <v>248</v>
      </c>
      <c r="N3" s="190" t="s">
        <v>249</v>
      </c>
      <c r="O3" s="190" t="s">
        <v>208</v>
      </c>
      <c r="P3" s="190" t="s">
        <v>226</v>
      </c>
    </row>
    <row r="4" spans="1:16">
      <c r="A4" s="226" t="s">
        <v>252</v>
      </c>
      <c r="B4" s="226"/>
      <c r="C4" s="226">
        <v>119</v>
      </c>
      <c r="D4" s="226">
        <v>101</v>
      </c>
      <c r="E4" s="226">
        <v>96</v>
      </c>
      <c r="F4" s="226">
        <v>101</v>
      </c>
      <c r="G4" s="226">
        <v>199</v>
      </c>
      <c r="H4" s="226">
        <v>98</v>
      </c>
      <c r="I4" s="226"/>
      <c r="J4" s="226"/>
      <c r="K4" s="226"/>
      <c r="L4" s="226"/>
      <c r="M4" s="226"/>
      <c r="N4" s="226"/>
      <c r="O4" s="226"/>
      <c r="P4" s="226"/>
    </row>
    <row r="5" spans="1:16">
      <c r="A5" s="226" t="s">
        <v>253</v>
      </c>
      <c r="B5" s="226"/>
      <c r="C5" s="191">
        <v>40</v>
      </c>
      <c r="D5" s="191">
        <v>38</v>
      </c>
      <c r="E5" s="191">
        <v>44</v>
      </c>
      <c r="F5" s="191">
        <v>52</v>
      </c>
      <c r="G5" s="191">
        <v>145</v>
      </c>
      <c r="H5" s="191">
        <v>45</v>
      </c>
      <c r="I5" s="191"/>
      <c r="J5" s="191"/>
      <c r="K5" s="191"/>
      <c r="L5" s="191"/>
      <c r="M5" s="191"/>
      <c r="N5" s="191"/>
      <c r="O5" s="191"/>
      <c r="P5" s="226"/>
    </row>
    <row r="6" spans="1:16">
      <c r="A6" s="226" t="s">
        <v>254</v>
      </c>
      <c r="B6" s="226"/>
      <c r="C6" s="192">
        <v>79</v>
      </c>
      <c r="D6" s="192">
        <v>63</v>
      </c>
      <c r="E6" s="192">
        <v>52</v>
      </c>
      <c r="F6" s="192">
        <v>49</v>
      </c>
      <c r="G6" s="192">
        <v>54</v>
      </c>
      <c r="H6" s="192">
        <v>53</v>
      </c>
      <c r="I6" s="192"/>
      <c r="J6" s="192"/>
      <c r="K6" s="192"/>
      <c r="L6" s="192"/>
      <c r="M6" s="192"/>
      <c r="N6" s="192"/>
      <c r="O6" s="192"/>
      <c r="P6" s="226"/>
    </row>
    <row r="7" spans="1:16">
      <c r="A7" s="226" t="s">
        <v>255</v>
      </c>
      <c r="B7" s="226"/>
      <c r="C7" s="193">
        <v>0.99399999999999999</v>
      </c>
      <c r="D7" s="193">
        <v>0.99399999999999999</v>
      </c>
      <c r="E7" s="193">
        <v>0.99399999999999999</v>
      </c>
      <c r="F7" s="193">
        <v>0.99299999999999999</v>
      </c>
      <c r="G7" s="193">
        <v>0.98099999999999998</v>
      </c>
      <c r="H7" s="193"/>
      <c r="I7" s="193"/>
      <c r="J7" s="193"/>
      <c r="K7" s="193"/>
      <c r="L7" s="193"/>
      <c r="M7" s="193"/>
      <c r="N7" s="193"/>
      <c r="O7" s="193"/>
      <c r="P7" s="193"/>
    </row>
    <row r="8" spans="1:16">
      <c r="A8" s="226" t="s">
        <v>256</v>
      </c>
      <c r="B8" s="226"/>
      <c r="C8" s="193">
        <v>0.97899999999999998</v>
      </c>
      <c r="D8" s="193">
        <v>0.98199999999999998</v>
      </c>
      <c r="E8" s="193">
        <v>0.98499999999999999</v>
      </c>
      <c r="F8" s="193">
        <v>0.98599999999999999</v>
      </c>
      <c r="G8" s="193">
        <v>0.97299999999999998</v>
      </c>
      <c r="H8" s="193"/>
      <c r="I8" s="193"/>
      <c r="J8" s="193"/>
      <c r="K8" s="193"/>
      <c r="L8" s="193"/>
      <c r="M8" s="193"/>
      <c r="N8" s="193"/>
      <c r="O8" s="193"/>
      <c r="P8" s="193"/>
    </row>
    <row r="9" spans="1:16">
      <c r="A9" s="189" t="s">
        <v>257</v>
      </c>
    </row>
    <row r="11" spans="1:16">
      <c r="A11" s="194"/>
      <c r="B11" s="194" t="s">
        <v>258</v>
      </c>
      <c r="C11" s="194" t="s">
        <v>259</v>
      </c>
      <c r="D11" s="194" t="s">
        <v>260</v>
      </c>
      <c r="E11" s="194" t="s">
        <v>261</v>
      </c>
      <c r="F11" s="194" t="s">
        <v>262</v>
      </c>
      <c r="G11" s="194" t="s">
        <v>263</v>
      </c>
      <c r="H11" s="194" t="s">
        <v>263</v>
      </c>
    </row>
    <row r="12" spans="1:16" hidden="1" outlineLevel="1">
      <c r="A12" s="194" t="s">
        <v>264</v>
      </c>
      <c r="B12" s="195">
        <f>ROUND(98.9%,3)</f>
        <v>0.98899999999999999</v>
      </c>
      <c r="C12" s="195">
        <f>ROUND(0.41%,3)</f>
        <v>4.0000000000000001E-3</v>
      </c>
      <c r="D12" s="195">
        <f>ROUND(0.1%,3)</f>
        <v>1E-3</v>
      </c>
      <c r="E12" s="195">
        <f>ROUND(0.05%,3)</f>
        <v>1E-3</v>
      </c>
      <c r="F12" s="195">
        <f>ROUND(0.04%,3)</f>
        <v>0</v>
      </c>
      <c r="G12" s="195">
        <f t="shared" ref="G12:G23" si="0">SUM(A12:E12)</f>
        <v>0.995</v>
      </c>
      <c r="H12" s="195">
        <f t="shared" ref="H12:H23" si="1">SUM(B12:F12)</f>
        <v>0.995</v>
      </c>
    </row>
    <row r="13" spans="1:16" hidden="1" outlineLevel="1">
      <c r="A13" s="194" t="s">
        <v>265</v>
      </c>
      <c r="B13" s="195">
        <f>ROUND(98.38%,3)</f>
        <v>0.98399999999999999</v>
      </c>
      <c r="C13" s="195">
        <f>ROUND(0.62%,3)</f>
        <v>6.0000000000000001E-3</v>
      </c>
      <c r="D13" s="195">
        <f>ROUND(0.14%,3)</f>
        <v>1E-3</v>
      </c>
      <c r="E13" s="195">
        <f>ROUND(0.07%,3)</f>
        <v>1E-3</v>
      </c>
      <c r="F13" s="195">
        <f>ROUND(0.06%,3)</f>
        <v>1E-3</v>
      </c>
      <c r="G13" s="195">
        <f t="shared" si="0"/>
        <v>0.99199999999999999</v>
      </c>
      <c r="H13" s="195">
        <f t="shared" si="1"/>
        <v>0.99299999999999999</v>
      </c>
    </row>
    <row r="14" spans="1:16" hidden="1" outlineLevel="1">
      <c r="A14" s="194" t="s">
        <v>266</v>
      </c>
      <c r="B14" s="195">
        <f>ROUND(98.1%,3)</f>
        <v>0.98099999999999998</v>
      </c>
      <c r="C14" s="195">
        <f>ROUND(0.75%,3)</f>
        <v>8.0000000000000002E-3</v>
      </c>
      <c r="D14" s="195">
        <f>ROUND(0.19%,3)</f>
        <v>2E-3</v>
      </c>
      <c r="E14" s="195">
        <f>ROUND(0.09%,3)</f>
        <v>1E-3</v>
      </c>
      <c r="F14" s="195">
        <f>ROUND(0.06%,3)</f>
        <v>1E-3</v>
      </c>
      <c r="G14" s="195">
        <f t="shared" si="0"/>
        <v>0.99199999999999999</v>
      </c>
      <c r="H14" s="195">
        <f t="shared" si="1"/>
        <v>0.99299999999999999</v>
      </c>
    </row>
    <row r="15" spans="1:16" hidden="1" outlineLevel="1">
      <c r="A15" s="194" t="s">
        <v>267</v>
      </c>
      <c r="B15" s="195">
        <f>ROUND(97.91%,3)</f>
        <v>0.97899999999999998</v>
      </c>
      <c r="C15" s="195">
        <f>ROUND(0.78%,3)</f>
        <v>8.0000000000000002E-3</v>
      </c>
      <c r="D15" s="195">
        <f>ROUND(0.21%,3)</f>
        <v>2E-3</v>
      </c>
      <c r="E15" s="195">
        <f>ROUND(0.13%,3)</f>
        <v>1E-3</v>
      </c>
      <c r="F15" s="195">
        <f>ROUND(0.05%,3)</f>
        <v>1E-3</v>
      </c>
      <c r="G15" s="195">
        <f t="shared" si="0"/>
        <v>0.99</v>
      </c>
      <c r="H15" s="195">
        <f t="shared" si="1"/>
        <v>0.99099999999999999</v>
      </c>
    </row>
    <row r="16" spans="1:16" hidden="1" outlineLevel="1">
      <c r="A16" s="194" t="s">
        <v>268</v>
      </c>
      <c r="B16" s="195">
        <f>ROUND(97.83%,3)</f>
        <v>0.97799999999999998</v>
      </c>
      <c r="C16" s="195">
        <f>ROUND(0.8%,3)</f>
        <v>8.0000000000000002E-3</v>
      </c>
      <c r="D16" s="195">
        <f>ROUND(0.24%,3)</f>
        <v>2E-3</v>
      </c>
      <c r="E16" s="195">
        <f>ROUND(0.1%,3)</f>
        <v>1E-3</v>
      </c>
      <c r="F16" s="195">
        <f>ROUND(0.06%,3)</f>
        <v>1E-3</v>
      </c>
      <c r="G16" s="195">
        <f t="shared" si="0"/>
        <v>0.98899999999999999</v>
      </c>
      <c r="H16" s="195">
        <f t="shared" si="1"/>
        <v>0.99</v>
      </c>
    </row>
    <row r="17" spans="1:8" hidden="1" outlineLevel="1">
      <c r="A17" s="194" t="s">
        <v>269</v>
      </c>
      <c r="B17" s="195">
        <f>ROUND(97.94%,3)</f>
        <v>0.97899999999999998</v>
      </c>
      <c r="C17" s="195">
        <f>ROUND(0.74%,3)</f>
        <v>7.0000000000000001E-3</v>
      </c>
      <c r="D17" s="195">
        <f>ROUND(0.21%,3)</f>
        <v>2E-3</v>
      </c>
      <c r="E17" s="195">
        <f>ROUND(0.09%,3)</f>
        <v>1E-3</v>
      </c>
      <c r="F17" s="195">
        <f>ROUND(0.04%,3)</f>
        <v>0</v>
      </c>
      <c r="G17" s="195">
        <f t="shared" si="0"/>
        <v>0.98899999999999999</v>
      </c>
      <c r="H17" s="195">
        <f t="shared" si="1"/>
        <v>0.98899999999999999</v>
      </c>
    </row>
    <row r="18" spans="1:8" hidden="1" outlineLevel="1">
      <c r="A18" s="194" t="s">
        <v>270</v>
      </c>
      <c r="B18" s="195">
        <f>ROUND(97.84%,3)</f>
        <v>0.97799999999999998</v>
      </c>
      <c r="C18" s="195">
        <f>ROUND(0.74%,3)</f>
        <v>7.0000000000000001E-3</v>
      </c>
      <c r="D18" s="195">
        <f>ROUND(0.22%,3)</f>
        <v>2E-3</v>
      </c>
      <c r="E18" s="195">
        <f>ROUND(0.1%,3)</f>
        <v>1E-3</v>
      </c>
      <c r="F18" s="195">
        <f>ROUND(0.06%,3)</f>
        <v>1E-3</v>
      </c>
      <c r="G18" s="195">
        <f t="shared" si="0"/>
        <v>0.98799999999999999</v>
      </c>
      <c r="H18" s="195">
        <f t="shared" si="1"/>
        <v>0.98899999999999999</v>
      </c>
    </row>
    <row r="19" spans="1:8" hidden="1" outlineLevel="1">
      <c r="A19" s="194" t="s">
        <v>271</v>
      </c>
      <c r="B19" s="195">
        <f>ROUND(97.69%,3)</f>
        <v>0.97699999999999998</v>
      </c>
      <c r="C19" s="195">
        <f>ROUND(0.85%,3)</f>
        <v>8.9999999999999993E-3</v>
      </c>
      <c r="D19" s="195">
        <f>ROUND(0.23%,3)</f>
        <v>2E-3</v>
      </c>
      <c r="E19" s="195">
        <f>ROUND(0.11%,3)</f>
        <v>1E-3</v>
      </c>
      <c r="F19" s="195">
        <f>ROUND(0.06%,3)</f>
        <v>1E-3</v>
      </c>
      <c r="G19" s="195">
        <f t="shared" si="0"/>
        <v>0.98899999999999999</v>
      </c>
      <c r="H19" s="195">
        <f t="shared" si="1"/>
        <v>0.99</v>
      </c>
    </row>
    <row r="20" spans="1:8" hidden="1" outlineLevel="1">
      <c r="A20" s="194" t="s">
        <v>272</v>
      </c>
      <c r="B20" s="195">
        <f>ROUND(97.76%,3)</f>
        <v>0.97799999999999998</v>
      </c>
      <c r="C20" s="195">
        <f>ROUND(0.73%,3)</f>
        <v>7.0000000000000001E-3</v>
      </c>
      <c r="D20" s="195">
        <f>ROUND(0.21%,3)</f>
        <v>2E-3</v>
      </c>
      <c r="E20" s="195">
        <f>ROUND(0.11%,3)</f>
        <v>1E-3</v>
      </c>
      <c r="F20" s="195">
        <f>ROUND(0.09%,3)</f>
        <v>1E-3</v>
      </c>
      <c r="G20" s="195">
        <f t="shared" si="0"/>
        <v>0.98799999999999999</v>
      </c>
      <c r="H20" s="195">
        <f t="shared" si="1"/>
        <v>0.98899999999999999</v>
      </c>
    </row>
    <row r="21" spans="1:8" hidden="1" outlineLevel="1">
      <c r="A21" s="194" t="s">
        <v>273</v>
      </c>
      <c r="B21" s="195">
        <f>ROUND(97.91%,3)</f>
        <v>0.97899999999999998</v>
      </c>
      <c r="C21" s="195">
        <f>ROUND(0.69%,3)</f>
        <v>7.0000000000000001E-3</v>
      </c>
      <c r="D21" s="195">
        <f>ROUND(0.23%,3)</f>
        <v>2E-3</v>
      </c>
      <c r="E21" s="195">
        <f>ROUND(0.14%,3)</f>
        <v>1E-3</v>
      </c>
      <c r="F21" s="195">
        <f>ROUND(0.08%,3)</f>
        <v>1E-3</v>
      </c>
      <c r="G21" s="195">
        <f t="shared" si="0"/>
        <v>0.98899999999999999</v>
      </c>
      <c r="H21" s="195">
        <f t="shared" si="1"/>
        <v>0.99</v>
      </c>
    </row>
    <row r="22" spans="1:8" hidden="1" outlineLevel="1">
      <c r="A22" s="194" t="s">
        <v>274</v>
      </c>
      <c r="B22" s="195">
        <f>ROUND(98%,3)</f>
        <v>0.98</v>
      </c>
      <c r="C22" s="195">
        <f>ROUND(0.7%,3)</f>
        <v>7.0000000000000001E-3</v>
      </c>
      <c r="D22" s="195">
        <f>ROUND(0.25%,3)</f>
        <v>3.0000000000000001E-3</v>
      </c>
      <c r="E22" s="195">
        <f>ROUND(0.13%,3)</f>
        <v>1E-3</v>
      </c>
      <c r="F22" s="195">
        <v>1E-3</v>
      </c>
      <c r="G22" s="195">
        <f t="shared" si="0"/>
        <v>0.99099999999999999</v>
      </c>
      <c r="H22" s="195">
        <f t="shared" si="1"/>
        <v>0.99199999999999999</v>
      </c>
    </row>
    <row r="23" spans="1:8" hidden="1" outlineLevel="1">
      <c r="A23" s="194" t="s">
        <v>275</v>
      </c>
      <c r="B23" s="195">
        <f>ROUND(98.01%,3)</f>
        <v>0.98</v>
      </c>
      <c r="C23" s="195">
        <f>ROUND(0.75%,3)</f>
        <v>8.0000000000000002E-3</v>
      </c>
      <c r="D23" s="195">
        <f>ROUND(0.24%,3)</f>
        <v>2E-3</v>
      </c>
      <c r="E23" s="195">
        <v>1E-3</v>
      </c>
      <c r="F23" s="195">
        <v>1E-3</v>
      </c>
      <c r="G23" s="195">
        <f t="shared" si="0"/>
        <v>0.99099999999999999</v>
      </c>
      <c r="H23" s="195">
        <f t="shared" si="1"/>
        <v>0.99199999999999999</v>
      </c>
    </row>
    <row r="24" spans="1:8" hidden="1">
      <c r="A24" s="194" t="s">
        <v>276</v>
      </c>
      <c r="B24" s="195">
        <v>0.98699999999999999</v>
      </c>
      <c r="C24" s="195">
        <v>6.0000000000000001E-3</v>
      </c>
      <c r="D24" s="195">
        <v>1E-3</v>
      </c>
      <c r="E24" s="195">
        <v>1E-3</v>
      </c>
      <c r="F24" s="195">
        <v>1E-3</v>
      </c>
      <c r="G24" s="195">
        <v>0.99539999999999995</v>
      </c>
      <c r="H24" s="195">
        <v>0.99539999999999995</v>
      </c>
    </row>
    <row r="25" spans="1:8" hidden="1">
      <c r="A25" s="194" t="s">
        <v>277</v>
      </c>
      <c r="B25" s="195">
        <v>0.98799999999999999</v>
      </c>
      <c r="C25" s="195">
        <v>5.0000000000000001E-3</v>
      </c>
      <c r="D25" s="195">
        <v>1E-3</v>
      </c>
      <c r="E25" s="195">
        <v>1E-3</v>
      </c>
      <c r="F25" s="195">
        <f>[1]課税年度別収入歩合!F82</f>
        <v>1E-3</v>
      </c>
      <c r="G25" s="196">
        <f t="shared" ref="G25:G39" si="2">SUM(A25:E25)</f>
        <v>0.995</v>
      </c>
      <c r="H25" s="196">
        <f t="shared" ref="H25:H39" si="3">SUM(B25:F25)</f>
        <v>0.996</v>
      </c>
    </row>
    <row r="26" spans="1:8" hidden="1">
      <c r="A26" s="197" t="s">
        <v>278</v>
      </c>
      <c r="B26" s="195">
        <f>[3]【没】課税年度別収入歩合!B83</f>
        <v>0.98599999999999999</v>
      </c>
      <c r="C26" s="195">
        <f>[3]【没】課税年度別収入歩合!C83</f>
        <v>5.0000000000000001E-3</v>
      </c>
      <c r="D26" s="195">
        <f>[3]【没】課税年度別収入歩合!D83</f>
        <v>2E-3</v>
      </c>
      <c r="E26" s="195">
        <f>[3]【没】課税年度別収入歩合!E83</f>
        <v>1E-3</v>
      </c>
      <c r="F26" s="195">
        <f>[3]【没】課税年度別収入歩合!F83</f>
        <v>1E-3</v>
      </c>
      <c r="G26" s="196">
        <f t="shared" si="2"/>
        <v>0.99399999999999999</v>
      </c>
      <c r="H26" s="196">
        <f t="shared" si="3"/>
        <v>0.995</v>
      </c>
    </row>
    <row r="27" spans="1:8" hidden="1">
      <c r="A27" s="197" t="s">
        <v>142</v>
      </c>
      <c r="B27" s="195">
        <f>[3]【没】課税年度別収入歩合!B84</f>
        <v>0.98599999999999999</v>
      </c>
      <c r="C27" s="195">
        <f>[3]【没】課税年度別収入歩合!C84</f>
        <v>5.0000000000000001E-3</v>
      </c>
      <c r="D27" s="195">
        <f>[3]【没】課税年度別収入歩合!D84</f>
        <v>2E-3</v>
      </c>
      <c r="E27" s="195">
        <f>[3]【没】課税年度別収入歩合!E84</f>
        <v>1E-3</v>
      </c>
      <c r="F27" s="198">
        <f>[3]【没】課税年度別収入歩合!F84</f>
        <v>1E-3</v>
      </c>
      <c r="G27" s="196">
        <f t="shared" si="2"/>
        <v>0.99399999999999999</v>
      </c>
      <c r="H27" s="196">
        <f t="shared" si="3"/>
        <v>0.995</v>
      </c>
    </row>
    <row r="28" spans="1:8" hidden="1">
      <c r="A28" s="197" t="s">
        <v>279</v>
      </c>
      <c r="B28" s="195">
        <f>[3]【没】課税年度別収入歩合!B85</f>
        <v>0.98499999999999999</v>
      </c>
      <c r="C28" s="195">
        <f>[3]【没】課税年度別収入歩合!C85</f>
        <v>6.0000000000000001E-3</v>
      </c>
      <c r="D28" s="195">
        <f>[3]【没】課税年度別収入歩合!D85</f>
        <v>2E-3</v>
      </c>
      <c r="E28" s="195">
        <f>[3]【没】課税年度別収入歩合!E85</f>
        <v>1E-3</v>
      </c>
      <c r="F28" s="195">
        <f>[3]【没】課税年度別収入歩合!F85</f>
        <v>1E-3</v>
      </c>
      <c r="G28" s="196">
        <f t="shared" si="2"/>
        <v>0.99399999999999999</v>
      </c>
      <c r="H28" s="196">
        <f t="shared" si="3"/>
        <v>0.995</v>
      </c>
    </row>
    <row r="29" spans="1:8" hidden="1">
      <c r="A29" s="197" t="s">
        <v>280</v>
      </c>
      <c r="B29" s="195">
        <f>[3]【没】課税年度別収入歩合!B86</f>
        <v>0.98699999999999999</v>
      </c>
      <c r="C29" s="195">
        <f>[3]【没】課税年度別収入歩合!C86</f>
        <v>5.0000000000000001E-3</v>
      </c>
      <c r="D29" s="195">
        <f>[3]【没】課税年度別収入歩合!D86</f>
        <v>2E-3</v>
      </c>
      <c r="E29" s="195">
        <f>[3]【没】課税年度別収入歩合!E86</f>
        <v>1E-3</v>
      </c>
      <c r="F29" s="195">
        <f>[3]【没】課税年度別収入歩合!F86</f>
        <v>0</v>
      </c>
      <c r="G29" s="196">
        <f t="shared" si="2"/>
        <v>0.995</v>
      </c>
      <c r="H29" s="196">
        <f t="shared" si="3"/>
        <v>0.995</v>
      </c>
    </row>
    <row r="30" spans="1:8" hidden="1">
      <c r="A30" s="197" t="s">
        <v>281</v>
      </c>
      <c r="B30" s="195">
        <f>[3]【没】課税年度別収入歩合!B87</f>
        <v>0.98899999999999999</v>
      </c>
      <c r="C30" s="195">
        <f>[3]【没】課税年度別収入歩合!C87</f>
        <v>5.0000000000000001E-3</v>
      </c>
      <c r="D30" s="195">
        <f>[3]【没】課税年度別収入歩合!D87</f>
        <v>1E-3</v>
      </c>
      <c r="E30" s="195">
        <f>[3]【没】課税年度別収入歩合!E87</f>
        <v>1E-3</v>
      </c>
      <c r="F30" s="195">
        <v>0</v>
      </c>
      <c r="G30" s="196">
        <f t="shared" si="2"/>
        <v>0.996</v>
      </c>
      <c r="H30" s="196">
        <f t="shared" si="3"/>
        <v>0.996</v>
      </c>
    </row>
    <row r="31" spans="1:8" hidden="1">
      <c r="A31" s="197" t="s">
        <v>250</v>
      </c>
      <c r="B31" s="195">
        <f>[3]【没】課税年度別収入歩合!B88</f>
        <v>0.99099999999999999</v>
      </c>
      <c r="C31" s="195">
        <f>[3]【没】課税年度別収入歩合!C88</f>
        <v>4.0000000000000001E-3</v>
      </c>
      <c r="D31" s="195">
        <f>[3]【没】課税年度別収入歩合!D88</f>
        <v>1E-3</v>
      </c>
      <c r="E31" s="195">
        <f>[3]【没】課税年度別収入歩合!E88</f>
        <v>1E-3</v>
      </c>
      <c r="F31" s="195">
        <f>[3]【没】課税年度別収入歩合!F88</f>
        <v>0</v>
      </c>
      <c r="G31" s="196">
        <f t="shared" si="2"/>
        <v>0.997</v>
      </c>
      <c r="H31" s="196">
        <f t="shared" si="3"/>
        <v>0.997</v>
      </c>
    </row>
    <row r="32" spans="1:8" ht="13.5" hidden="1" customHeight="1">
      <c r="A32" s="197" t="s">
        <v>251</v>
      </c>
      <c r="B32" s="195">
        <v>0.99180000000000001</v>
      </c>
      <c r="C32" s="195">
        <v>3.0000000000000001E-3</v>
      </c>
      <c r="D32" s="195">
        <v>1E-3</v>
      </c>
      <c r="E32" s="195">
        <v>1E-3</v>
      </c>
      <c r="F32" s="199">
        <v>2.9999999999999997E-4</v>
      </c>
      <c r="G32" s="196">
        <f t="shared" si="2"/>
        <v>0.99680000000000002</v>
      </c>
      <c r="H32" s="196">
        <f t="shared" si="3"/>
        <v>0.99709999999999999</v>
      </c>
    </row>
    <row r="33" spans="1:8" ht="13.5" hidden="1" customHeight="1">
      <c r="A33" s="197" t="s">
        <v>248</v>
      </c>
      <c r="B33" s="195">
        <v>0.99299999999999999</v>
      </c>
      <c r="C33" s="195">
        <v>3.0000000000000001E-3</v>
      </c>
      <c r="D33" s="195">
        <v>1E-3</v>
      </c>
      <c r="E33" s="199">
        <v>4.0000000000000002E-4</v>
      </c>
      <c r="F33" s="199">
        <v>2.0000000000000001E-4</v>
      </c>
      <c r="G33" s="196">
        <f t="shared" si="2"/>
        <v>0.99739999999999995</v>
      </c>
      <c r="H33" s="196">
        <f t="shared" si="3"/>
        <v>0.99759999999999993</v>
      </c>
    </row>
    <row r="34" spans="1:8" ht="13.5" customHeight="1">
      <c r="A34" s="197" t="s">
        <v>249</v>
      </c>
      <c r="B34" s="195">
        <v>0.99390000000000001</v>
      </c>
      <c r="C34" s="195">
        <v>3.0000000000000001E-3</v>
      </c>
      <c r="D34" s="195">
        <v>8.0000000000000004E-4</v>
      </c>
      <c r="E34" s="199">
        <v>4.0000000000000002E-4</v>
      </c>
      <c r="F34" s="199">
        <v>1E-4</v>
      </c>
      <c r="G34" s="196">
        <f t="shared" si="2"/>
        <v>0.99809999999999999</v>
      </c>
      <c r="H34" s="196">
        <f t="shared" si="3"/>
        <v>0.99819999999999998</v>
      </c>
    </row>
    <row r="35" spans="1:8" ht="13.5" customHeight="1">
      <c r="A35" s="197" t="s">
        <v>208</v>
      </c>
      <c r="B35" s="195">
        <v>0.99429999999999996</v>
      </c>
      <c r="C35" s="195">
        <v>2.8E-3</v>
      </c>
      <c r="D35" s="195">
        <v>1E-3</v>
      </c>
      <c r="E35" s="199">
        <v>2.9999999999999997E-4</v>
      </c>
      <c r="F35" s="200"/>
      <c r="G35" s="196">
        <f t="shared" si="2"/>
        <v>0.99839999999999995</v>
      </c>
      <c r="H35" s="196">
        <f t="shared" si="3"/>
        <v>0.99839999999999995</v>
      </c>
    </row>
    <row r="36" spans="1:8" ht="14.25" customHeight="1">
      <c r="A36" s="197" t="s">
        <v>226</v>
      </c>
      <c r="B36" s="195">
        <v>0.99399999999999999</v>
      </c>
      <c r="C36" s="195">
        <v>2.8999999999999998E-3</v>
      </c>
      <c r="D36" s="195">
        <v>8.0000000000000004E-4</v>
      </c>
      <c r="E36" s="195"/>
      <c r="F36" s="195"/>
      <c r="G36" s="196">
        <f t="shared" si="2"/>
        <v>0.99770000000000003</v>
      </c>
      <c r="H36" s="196">
        <f t="shared" si="3"/>
        <v>0.99770000000000003</v>
      </c>
    </row>
    <row r="37" spans="1:8" ht="15" customHeight="1">
      <c r="A37" s="197" t="s">
        <v>364</v>
      </c>
      <c r="B37" s="195">
        <v>0.99299999999999999</v>
      </c>
      <c r="C37" s="195">
        <v>3.5999999999999999E-3</v>
      </c>
      <c r="D37" s="195"/>
      <c r="E37" s="195"/>
      <c r="F37" s="195"/>
      <c r="G37" s="196">
        <f t="shared" si="2"/>
        <v>0.99660000000000004</v>
      </c>
      <c r="H37" s="196">
        <f t="shared" si="3"/>
        <v>0.99660000000000004</v>
      </c>
    </row>
    <row r="38" spans="1:8" ht="15" customHeight="1">
      <c r="A38" s="197" t="s">
        <v>366</v>
      </c>
      <c r="B38" s="195">
        <v>0.98080000000000001</v>
      </c>
      <c r="C38" s="195"/>
      <c r="D38" s="195"/>
      <c r="E38" s="195"/>
      <c r="F38" s="195"/>
      <c r="G38" s="196">
        <f t="shared" si="2"/>
        <v>0.98080000000000001</v>
      </c>
      <c r="H38" s="196">
        <f t="shared" si="3"/>
        <v>0.98080000000000001</v>
      </c>
    </row>
    <row r="39" spans="1:8">
      <c r="A39" s="197" t="s">
        <v>366</v>
      </c>
      <c r="B39" s="195">
        <v>0.99390000000000001</v>
      </c>
      <c r="C39" s="195"/>
      <c r="D39" s="195"/>
      <c r="E39" s="195"/>
      <c r="F39" s="195"/>
      <c r="G39" s="196">
        <f t="shared" si="2"/>
        <v>0.99390000000000001</v>
      </c>
      <c r="H39" s="196">
        <f t="shared" si="3"/>
        <v>0.99390000000000001</v>
      </c>
    </row>
    <row r="40" spans="1:8">
      <c r="A40" s="189" t="s">
        <v>282</v>
      </c>
    </row>
    <row r="42" spans="1:8">
      <c r="A42" s="189" t="s">
        <v>283</v>
      </c>
    </row>
    <row r="43" spans="1:8">
      <c r="A43" s="189" t="s">
        <v>284</v>
      </c>
    </row>
  </sheetData>
  <mergeCells count="1">
    <mergeCell ref="A3:B3"/>
  </mergeCells>
  <phoneticPr fontId="9"/>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outlinePr summaryBelow="0" summaryRight="0"/>
    <pageSetUpPr autoPageBreaks="0" fitToPage="1"/>
  </sheetPr>
  <dimension ref="A1:N71"/>
  <sheetViews>
    <sheetView view="pageBreakPreview" zoomScaleNormal="100" zoomScaleSheetLayoutView="100" workbookViewId="0">
      <pane ySplit="8" topLeftCell="A9" activePane="bottomLeft" state="frozen"/>
      <selection activeCell="M44" sqref="M44"/>
      <selection pane="bottomLeft"/>
    </sheetView>
  </sheetViews>
  <sheetFormatPr defaultColWidth="9.85546875" defaultRowHeight="12.75"/>
  <cols>
    <col min="1" max="1" width="4.28515625" style="3" customWidth="1"/>
    <col min="2" max="2" width="11.85546875" style="3" customWidth="1"/>
    <col min="3" max="4" width="14.28515625" style="3" customWidth="1"/>
    <col min="5" max="5" width="10" style="3" customWidth="1"/>
    <col min="6" max="6" width="14.28515625" style="3" customWidth="1"/>
    <col min="7" max="7" width="2.85546875" style="3" customWidth="1"/>
    <col min="8" max="8" width="7.140625" style="4" customWidth="1"/>
    <col min="9" max="9" width="14.28515625" style="4" customWidth="1"/>
    <col min="10" max="10" width="14.28515625" style="3" customWidth="1"/>
    <col min="11" max="11" width="2.85546875" style="3" customWidth="1"/>
    <col min="12" max="12" width="7.85546875" style="4" customWidth="1"/>
    <col min="13" max="13" width="10" style="3" customWidth="1"/>
    <col min="14" max="14" width="14.28515625" style="4" customWidth="1"/>
    <col min="15" max="253" width="9.85546875" style="4" customWidth="1"/>
    <col min="254" max="16384" width="9.85546875" style="4"/>
  </cols>
  <sheetData>
    <row r="1" spans="1:14" ht="10.7" customHeight="1"/>
    <row r="2" spans="1:14" ht="10.7" customHeight="1"/>
    <row r="3" spans="1:14">
      <c r="A3" s="5" t="s">
        <v>13</v>
      </c>
    </row>
    <row r="4" spans="1:14">
      <c r="B4" s="49"/>
      <c r="C4" s="49"/>
      <c r="D4" s="49"/>
      <c r="E4" s="49"/>
      <c r="F4" s="49"/>
      <c r="G4" s="49"/>
      <c r="H4" s="49"/>
      <c r="I4" s="49"/>
      <c r="J4" s="49"/>
      <c r="K4" s="49"/>
      <c r="L4" s="49"/>
      <c r="N4" s="49" t="s">
        <v>27</v>
      </c>
    </row>
    <row r="5" spans="1:14">
      <c r="A5" s="5" t="s">
        <v>0</v>
      </c>
      <c r="B5" s="683" t="s">
        <v>98</v>
      </c>
      <c r="C5" s="6"/>
      <c r="D5" s="7"/>
      <c r="E5" s="8"/>
      <c r="F5" s="6"/>
      <c r="G5" s="9"/>
      <c r="H5" s="10"/>
      <c r="I5" s="6"/>
      <c r="J5" s="38" t="s">
        <v>14</v>
      </c>
      <c r="K5" s="11"/>
      <c r="L5" s="10"/>
      <c r="M5" s="52"/>
      <c r="N5" s="58"/>
    </row>
    <row r="6" spans="1:14">
      <c r="B6" s="684"/>
      <c r="C6" s="13" t="s">
        <v>28</v>
      </c>
      <c r="D6" s="13"/>
      <c r="E6" s="13"/>
      <c r="F6" s="13" t="s">
        <v>29</v>
      </c>
      <c r="G6" s="679" t="s">
        <v>15</v>
      </c>
      <c r="H6" s="680"/>
      <c r="I6" s="36" t="s">
        <v>101</v>
      </c>
      <c r="J6" s="36" t="s">
        <v>16</v>
      </c>
      <c r="K6" s="679" t="s">
        <v>17</v>
      </c>
      <c r="L6" s="680"/>
      <c r="M6" s="53" t="s">
        <v>99</v>
      </c>
      <c r="N6" s="59" t="s">
        <v>12</v>
      </c>
    </row>
    <row r="7" spans="1:14">
      <c r="B7" s="684"/>
      <c r="C7" s="12"/>
      <c r="D7" s="13" t="s">
        <v>30</v>
      </c>
      <c r="E7" s="13" t="s">
        <v>31</v>
      </c>
      <c r="F7" s="12"/>
      <c r="G7" s="679" t="s">
        <v>18</v>
      </c>
      <c r="H7" s="680"/>
      <c r="I7" s="36" t="s">
        <v>102</v>
      </c>
      <c r="J7" s="36" t="s">
        <v>19</v>
      </c>
      <c r="K7" s="679" t="s">
        <v>20</v>
      </c>
      <c r="L7" s="680"/>
      <c r="M7" s="53" t="s">
        <v>100</v>
      </c>
      <c r="N7" s="59" t="s">
        <v>149</v>
      </c>
    </row>
    <row r="8" spans="1:14">
      <c r="A8" s="5" t="s">
        <v>0</v>
      </c>
      <c r="B8" s="685"/>
      <c r="C8" s="15"/>
      <c r="D8" s="15"/>
      <c r="E8" s="15"/>
      <c r="F8" s="15"/>
      <c r="G8" s="681" t="s">
        <v>21</v>
      </c>
      <c r="H8" s="682"/>
      <c r="I8" s="37" t="s">
        <v>22</v>
      </c>
      <c r="J8" s="37" t="s">
        <v>23</v>
      </c>
      <c r="K8" s="681" t="s">
        <v>24</v>
      </c>
      <c r="L8" s="682"/>
      <c r="M8" s="54"/>
      <c r="N8" s="61"/>
    </row>
    <row r="9" spans="1:14" ht="16.5" hidden="1" customHeight="1">
      <c r="A9" s="5" t="s">
        <v>0</v>
      </c>
      <c r="B9" s="16" t="s">
        <v>25</v>
      </c>
      <c r="C9" s="17">
        <v>1220774</v>
      </c>
      <c r="D9" s="17">
        <v>620983</v>
      </c>
      <c r="E9" s="18">
        <v>50.9</v>
      </c>
      <c r="F9" s="17">
        <v>1219740</v>
      </c>
      <c r="G9" s="19"/>
      <c r="H9" s="20">
        <v>10.6</v>
      </c>
      <c r="I9" s="17">
        <v>1034</v>
      </c>
      <c r="J9" s="17">
        <v>1438</v>
      </c>
      <c r="K9" s="19" t="s">
        <v>32</v>
      </c>
      <c r="L9" s="21">
        <v>404</v>
      </c>
      <c r="M9" s="55">
        <v>84.9</v>
      </c>
      <c r="N9" s="60">
        <v>876239</v>
      </c>
    </row>
    <row r="10" spans="1:14" ht="16.5" hidden="1" customHeight="1">
      <c r="A10" s="5" t="s">
        <v>0</v>
      </c>
      <c r="B10" s="16" t="s">
        <v>26</v>
      </c>
      <c r="C10" s="17">
        <v>1265525</v>
      </c>
      <c r="D10" s="17">
        <v>679786</v>
      </c>
      <c r="E10" s="18">
        <v>53.7</v>
      </c>
      <c r="F10" s="17">
        <v>1264163</v>
      </c>
      <c r="G10" s="19"/>
      <c r="H10" s="20">
        <v>3.6</v>
      </c>
      <c r="I10" s="17">
        <v>1362</v>
      </c>
      <c r="J10" s="17">
        <v>1710</v>
      </c>
      <c r="K10" s="19" t="s">
        <v>32</v>
      </c>
      <c r="L10" s="21">
        <v>348</v>
      </c>
      <c r="M10" s="55">
        <v>77.3</v>
      </c>
      <c r="N10" s="60">
        <v>879291</v>
      </c>
    </row>
    <row r="11" spans="1:14" ht="16.5" customHeight="1">
      <c r="A11" s="5" t="s">
        <v>0</v>
      </c>
      <c r="B11" s="16" t="s">
        <v>294</v>
      </c>
      <c r="C11" s="17">
        <v>1382248</v>
      </c>
      <c r="D11" s="17">
        <v>724201</v>
      </c>
      <c r="E11" s="18">
        <v>52.4</v>
      </c>
      <c r="F11" s="17">
        <v>1379368</v>
      </c>
      <c r="G11" s="19"/>
      <c r="H11" s="20">
        <v>9.1</v>
      </c>
      <c r="I11" s="17">
        <v>2880</v>
      </c>
      <c r="J11" s="17">
        <v>1651</v>
      </c>
      <c r="K11" s="19"/>
      <c r="L11" s="22">
        <v>1229</v>
      </c>
      <c r="M11" s="55">
        <v>72</v>
      </c>
      <c r="N11" s="207">
        <v>870719</v>
      </c>
    </row>
    <row r="12" spans="1:14" ht="16.5" customHeight="1">
      <c r="A12" s="5" t="s">
        <v>0</v>
      </c>
      <c r="B12" s="16" t="s">
        <v>295</v>
      </c>
      <c r="C12" s="17">
        <v>1488594</v>
      </c>
      <c r="D12" s="17">
        <v>736281</v>
      </c>
      <c r="E12" s="18">
        <v>49.5</v>
      </c>
      <c r="F12" s="17">
        <v>1486053</v>
      </c>
      <c r="G12" s="19"/>
      <c r="H12" s="20">
        <v>7.7</v>
      </c>
      <c r="I12" s="17">
        <v>2541</v>
      </c>
      <c r="J12" s="17">
        <v>1358</v>
      </c>
      <c r="K12" s="19"/>
      <c r="L12" s="22">
        <v>1183</v>
      </c>
      <c r="M12" s="55">
        <v>71.5</v>
      </c>
      <c r="N12" s="207">
        <v>895350</v>
      </c>
    </row>
    <row r="13" spans="1:14" ht="16.5" customHeight="1">
      <c r="A13" s="5" t="s">
        <v>0</v>
      </c>
      <c r="B13" s="16" t="s">
        <v>296</v>
      </c>
      <c r="C13" s="17">
        <v>1531260</v>
      </c>
      <c r="D13" s="17">
        <v>767474</v>
      </c>
      <c r="E13" s="18">
        <v>50.1</v>
      </c>
      <c r="F13" s="17">
        <v>1528288</v>
      </c>
      <c r="G13" s="19"/>
      <c r="H13" s="20">
        <v>2.8</v>
      </c>
      <c r="I13" s="17">
        <v>2972</v>
      </c>
      <c r="J13" s="17">
        <v>1464</v>
      </c>
      <c r="K13" s="19"/>
      <c r="L13" s="22">
        <v>1508</v>
      </c>
      <c r="M13" s="55">
        <v>71.400000000000006</v>
      </c>
      <c r="N13" s="207">
        <v>893649</v>
      </c>
    </row>
    <row r="14" spans="1:14" ht="16.5" customHeight="1">
      <c r="A14" s="5" t="s">
        <v>0</v>
      </c>
      <c r="B14" s="16" t="s">
        <v>297</v>
      </c>
      <c r="C14" s="17">
        <v>1683780</v>
      </c>
      <c r="D14" s="17">
        <v>759701</v>
      </c>
      <c r="E14" s="18">
        <v>45.1</v>
      </c>
      <c r="F14" s="17">
        <v>1680665</v>
      </c>
      <c r="G14" s="19"/>
      <c r="H14" s="20">
        <v>10</v>
      </c>
      <c r="I14" s="17">
        <v>3115</v>
      </c>
      <c r="J14" s="17">
        <v>2280</v>
      </c>
      <c r="K14" s="19"/>
      <c r="L14" s="21">
        <v>835</v>
      </c>
      <c r="M14" s="55">
        <v>78.3</v>
      </c>
      <c r="N14" s="207">
        <v>1003877</v>
      </c>
    </row>
    <row r="15" spans="1:14" ht="16.5" customHeight="1">
      <c r="A15" s="5" t="s">
        <v>0</v>
      </c>
      <c r="B15" s="16" t="s">
        <v>298</v>
      </c>
      <c r="C15" s="17">
        <v>1782630</v>
      </c>
      <c r="D15" s="17">
        <v>727123</v>
      </c>
      <c r="E15" s="18">
        <v>40.799999999999997</v>
      </c>
      <c r="F15" s="17">
        <v>1775550</v>
      </c>
      <c r="G15" s="19"/>
      <c r="H15" s="20">
        <v>5.6</v>
      </c>
      <c r="I15" s="17">
        <v>7080</v>
      </c>
      <c r="J15" s="17">
        <v>6443</v>
      </c>
      <c r="K15" s="19"/>
      <c r="L15" s="21">
        <v>637</v>
      </c>
      <c r="M15" s="55">
        <v>87.9</v>
      </c>
      <c r="N15" s="207">
        <v>1108380</v>
      </c>
    </row>
    <row r="16" spans="1:14" ht="16.5" customHeight="1">
      <c r="A16" s="5" t="s">
        <v>0</v>
      </c>
      <c r="B16" s="16" t="s">
        <v>299</v>
      </c>
      <c r="C16" s="23">
        <v>1821553</v>
      </c>
      <c r="D16" s="23">
        <v>704115</v>
      </c>
      <c r="E16" s="24">
        <v>38.700000000000003</v>
      </c>
      <c r="F16" s="23">
        <v>1808682</v>
      </c>
      <c r="G16" s="25"/>
      <c r="H16" s="26">
        <v>1.9</v>
      </c>
      <c r="I16" s="23">
        <v>12871</v>
      </c>
      <c r="J16" s="23">
        <v>12441</v>
      </c>
      <c r="K16" s="25"/>
      <c r="L16" s="27">
        <v>430</v>
      </c>
      <c r="M16" s="56">
        <v>92.7</v>
      </c>
      <c r="N16" s="207">
        <v>1286618</v>
      </c>
    </row>
    <row r="17" spans="1:14" ht="16.5" customHeight="1">
      <c r="A17" s="5" t="s">
        <v>0</v>
      </c>
      <c r="B17" s="16" t="s">
        <v>300</v>
      </c>
      <c r="C17" s="23">
        <v>1911868</v>
      </c>
      <c r="D17" s="23">
        <v>735307</v>
      </c>
      <c r="E17" s="24">
        <v>38.5</v>
      </c>
      <c r="F17" s="23">
        <v>1902861</v>
      </c>
      <c r="G17" s="25"/>
      <c r="H17" s="26">
        <v>5.2</v>
      </c>
      <c r="I17" s="23">
        <v>9007</v>
      </c>
      <c r="J17" s="23">
        <v>8282</v>
      </c>
      <c r="K17" s="25"/>
      <c r="L17" s="27">
        <v>725</v>
      </c>
      <c r="M17" s="56">
        <v>90.9</v>
      </c>
      <c r="N17" s="207">
        <v>1526173</v>
      </c>
    </row>
    <row r="18" spans="1:14" ht="16.5" customHeight="1">
      <c r="A18" s="5" t="s">
        <v>0</v>
      </c>
      <c r="B18" s="16" t="s">
        <v>301</v>
      </c>
      <c r="C18" s="23">
        <v>1857783</v>
      </c>
      <c r="D18" s="23">
        <v>777637</v>
      </c>
      <c r="E18" s="24">
        <v>41.9</v>
      </c>
      <c r="F18" s="23">
        <v>1844325</v>
      </c>
      <c r="G18" s="25" t="s">
        <v>32</v>
      </c>
      <c r="H18" s="26">
        <v>3.1</v>
      </c>
      <c r="I18" s="23">
        <v>13458</v>
      </c>
      <c r="J18" s="23">
        <v>12541</v>
      </c>
      <c r="K18" s="25"/>
      <c r="L18" s="27">
        <v>917</v>
      </c>
      <c r="M18" s="56">
        <v>90.2</v>
      </c>
      <c r="N18" s="207">
        <v>1738255</v>
      </c>
    </row>
    <row r="19" spans="1:14" ht="16.5" customHeight="1">
      <c r="A19" s="5" t="s">
        <v>0</v>
      </c>
      <c r="B19" s="16" t="s">
        <v>302</v>
      </c>
      <c r="C19" s="23">
        <v>1860889</v>
      </c>
      <c r="D19" s="23">
        <v>775187</v>
      </c>
      <c r="E19" s="24">
        <v>41.7</v>
      </c>
      <c r="F19" s="23">
        <v>1852409</v>
      </c>
      <c r="G19" s="25"/>
      <c r="H19" s="26">
        <v>0.4</v>
      </c>
      <c r="I19" s="23">
        <v>8480</v>
      </c>
      <c r="J19" s="23">
        <v>7690</v>
      </c>
      <c r="K19" s="25"/>
      <c r="L19" s="27">
        <v>790</v>
      </c>
      <c r="M19" s="56">
        <v>95.4</v>
      </c>
      <c r="N19" s="207">
        <v>1962349</v>
      </c>
    </row>
    <row r="20" spans="1:14" ht="16.5" customHeight="1">
      <c r="A20" s="5" t="s">
        <v>0</v>
      </c>
      <c r="B20" s="14" t="s">
        <v>303</v>
      </c>
      <c r="C20" s="23">
        <v>1985575</v>
      </c>
      <c r="D20" s="23">
        <v>738656</v>
      </c>
      <c r="E20" s="24">
        <v>37.200000000000003</v>
      </c>
      <c r="F20" s="23">
        <v>1971451</v>
      </c>
      <c r="G20" s="25"/>
      <c r="H20" s="26">
        <v>6.4</v>
      </c>
      <c r="I20" s="23">
        <v>14124</v>
      </c>
      <c r="J20" s="23">
        <v>13602</v>
      </c>
      <c r="K20" s="25"/>
      <c r="L20" s="27">
        <v>522</v>
      </c>
      <c r="M20" s="56">
        <v>97.8</v>
      </c>
      <c r="N20" s="207">
        <v>2279721</v>
      </c>
    </row>
    <row r="21" spans="1:14" ht="16.5" customHeight="1">
      <c r="A21" s="5" t="s">
        <v>0</v>
      </c>
      <c r="B21" s="14" t="s">
        <v>304</v>
      </c>
      <c r="C21" s="23">
        <v>1910330</v>
      </c>
      <c r="D21" s="23">
        <v>712955</v>
      </c>
      <c r="E21" s="24">
        <v>37.299999999999997</v>
      </c>
      <c r="F21" s="23">
        <v>1906029</v>
      </c>
      <c r="G21" s="25" t="s">
        <v>32</v>
      </c>
      <c r="H21" s="26">
        <v>3.3</v>
      </c>
      <c r="I21" s="23">
        <v>4301</v>
      </c>
      <c r="J21" s="23">
        <v>3939</v>
      </c>
      <c r="K21" s="25"/>
      <c r="L21" s="27">
        <v>362</v>
      </c>
      <c r="M21" s="56">
        <v>99.4</v>
      </c>
      <c r="N21" s="207">
        <v>2431273</v>
      </c>
    </row>
    <row r="22" spans="1:14" ht="16.5" customHeight="1">
      <c r="A22" s="5" t="s">
        <v>0</v>
      </c>
      <c r="B22" s="14" t="s">
        <v>305</v>
      </c>
      <c r="C22" s="23">
        <v>1869632</v>
      </c>
      <c r="D22" s="23">
        <v>686522</v>
      </c>
      <c r="E22" s="24">
        <v>36.700000000000003</v>
      </c>
      <c r="F22" s="23">
        <v>1860866</v>
      </c>
      <c r="G22" s="25" t="s">
        <v>32</v>
      </c>
      <c r="H22" s="26">
        <v>2.4</v>
      </c>
      <c r="I22" s="23">
        <v>8766</v>
      </c>
      <c r="J22" s="23">
        <v>8390</v>
      </c>
      <c r="K22" s="25"/>
      <c r="L22" s="27">
        <v>376</v>
      </c>
      <c r="M22" s="56">
        <v>99.8</v>
      </c>
      <c r="N22" s="207">
        <v>2532886</v>
      </c>
    </row>
    <row r="23" spans="1:14" ht="16.5" customHeight="1">
      <c r="B23" s="14" t="s">
        <v>306</v>
      </c>
      <c r="C23" s="23">
        <v>1862127</v>
      </c>
      <c r="D23" s="23">
        <v>665501</v>
      </c>
      <c r="E23" s="24">
        <v>35.700000000000003</v>
      </c>
      <c r="F23" s="23">
        <v>1857703</v>
      </c>
      <c r="G23" s="25" t="s">
        <v>32</v>
      </c>
      <c r="H23" s="26">
        <v>0.2</v>
      </c>
      <c r="I23" s="23">
        <v>4424</v>
      </c>
      <c r="J23" s="23">
        <v>4114</v>
      </c>
      <c r="K23" s="25"/>
      <c r="L23" s="27">
        <v>310</v>
      </c>
      <c r="M23" s="56">
        <v>99.8</v>
      </c>
      <c r="N23" s="207">
        <v>2628930</v>
      </c>
    </row>
    <row r="24" spans="1:14" ht="16.5" customHeight="1">
      <c r="B24" s="14" t="s">
        <v>307</v>
      </c>
      <c r="C24" s="23">
        <v>1790706</v>
      </c>
      <c r="D24" s="23">
        <v>635039</v>
      </c>
      <c r="E24" s="24">
        <v>35.5</v>
      </c>
      <c r="F24" s="23">
        <v>1787971</v>
      </c>
      <c r="G24" s="25" t="s">
        <v>32</v>
      </c>
      <c r="H24" s="26">
        <v>3.8</v>
      </c>
      <c r="I24" s="23">
        <v>2735</v>
      </c>
      <c r="J24" s="23">
        <v>2489</v>
      </c>
      <c r="K24" s="25"/>
      <c r="L24" s="27">
        <v>246</v>
      </c>
      <c r="M24" s="56">
        <v>103.1</v>
      </c>
      <c r="N24" s="207">
        <v>2716248</v>
      </c>
    </row>
    <row r="25" spans="1:14" ht="16.5" customHeight="1">
      <c r="B25" s="14" t="s">
        <v>308</v>
      </c>
      <c r="C25" s="23">
        <v>1722657</v>
      </c>
      <c r="D25" s="23">
        <v>613049</v>
      </c>
      <c r="E25" s="24">
        <v>35.6</v>
      </c>
      <c r="F25" s="23">
        <v>1719987</v>
      </c>
      <c r="G25" s="25" t="s">
        <v>32</v>
      </c>
      <c r="H25" s="26">
        <v>3.8</v>
      </c>
      <c r="I25" s="23">
        <v>2670</v>
      </c>
      <c r="J25" s="23">
        <v>2478</v>
      </c>
      <c r="K25" s="25"/>
      <c r="L25" s="27">
        <v>192</v>
      </c>
      <c r="M25" s="56">
        <v>102.5</v>
      </c>
      <c r="N25" s="207">
        <v>2809765</v>
      </c>
    </row>
    <row r="26" spans="1:14" ht="16.5" customHeight="1">
      <c r="B26" s="14" t="s">
        <v>309</v>
      </c>
      <c r="C26" s="23">
        <v>1703865</v>
      </c>
      <c r="D26" s="23">
        <v>618500</v>
      </c>
      <c r="E26" s="24">
        <v>36.299999999999997</v>
      </c>
      <c r="F26" s="23">
        <v>1701951</v>
      </c>
      <c r="G26" s="25" t="s">
        <v>32</v>
      </c>
      <c r="H26" s="26">
        <v>1</v>
      </c>
      <c r="I26" s="23">
        <v>1914</v>
      </c>
      <c r="J26" s="23">
        <v>1685</v>
      </c>
      <c r="K26" s="25"/>
      <c r="L26" s="27">
        <v>229</v>
      </c>
      <c r="M26" s="56">
        <v>103.6</v>
      </c>
      <c r="N26" s="207">
        <v>2868808</v>
      </c>
    </row>
    <row r="27" spans="1:14" ht="16.5" customHeight="1">
      <c r="B27" s="14" t="s">
        <v>310</v>
      </c>
      <c r="C27" s="23">
        <v>1666375</v>
      </c>
      <c r="D27" s="23">
        <v>628573</v>
      </c>
      <c r="E27" s="24">
        <v>37.700000000000003</v>
      </c>
      <c r="F27" s="23">
        <v>1664689</v>
      </c>
      <c r="G27" s="25" t="s">
        <v>32</v>
      </c>
      <c r="H27" s="26">
        <v>2.2000000000000002</v>
      </c>
      <c r="I27" s="23">
        <v>1686</v>
      </c>
      <c r="J27" s="23">
        <v>1432</v>
      </c>
      <c r="K27" s="25"/>
      <c r="L27" s="27">
        <v>254</v>
      </c>
      <c r="M27" s="56">
        <v>101.7</v>
      </c>
      <c r="N27" s="207">
        <v>2916377</v>
      </c>
    </row>
    <row r="28" spans="1:14" ht="16.5" customHeight="1">
      <c r="B28" s="14" t="s">
        <v>311</v>
      </c>
      <c r="C28" s="23">
        <v>1590506</v>
      </c>
      <c r="D28" s="23">
        <v>652624</v>
      </c>
      <c r="E28" s="24">
        <v>41</v>
      </c>
      <c r="F28" s="23">
        <v>1587643</v>
      </c>
      <c r="G28" s="25" t="s">
        <v>32</v>
      </c>
      <c r="H28" s="26">
        <v>4.5999999999999996</v>
      </c>
      <c r="I28" s="23">
        <v>2863</v>
      </c>
      <c r="J28" s="23">
        <v>2497</v>
      </c>
      <c r="K28" s="25"/>
      <c r="L28" s="27">
        <v>366</v>
      </c>
      <c r="M28" s="56">
        <v>99.7</v>
      </c>
      <c r="N28" s="207">
        <v>2849274</v>
      </c>
    </row>
    <row r="29" spans="1:14" ht="16.5" customHeight="1">
      <c r="B29" s="14" t="s">
        <v>312</v>
      </c>
      <c r="C29" s="23">
        <v>1577285</v>
      </c>
      <c r="D29" s="23">
        <v>678485</v>
      </c>
      <c r="E29" s="24">
        <v>43</v>
      </c>
      <c r="F29" s="23">
        <v>1573282</v>
      </c>
      <c r="G29" s="25" t="s">
        <v>32</v>
      </c>
      <c r="H29" s="26">
        <v>0.9</v>
      </c>
      <c r="I29" s="23">
        <v>4003</v>
      </c>
      <c r="J29" s="23">
        <v>3569</v>
      </c>
      <c r="K29" s="25"/>
      <c r="L29" s="27">
        <v>434</v>
      </c>
      <c r="M29" s="56">
        <v>99.9</v>
      </c>
      <c r="N29" s="207">
        <v>2833410</v>
      </c>
    </row>
    <row r="30" spans="1:14" ht="16.5" customHeight="1">
      <c r="B30" s="14" t="s">
        <v>313</v>
      </c>
      <c r="C30" s="23">
        <v>1555121</v>
      </c>
      <c r="D30" s="23">
        <v>670787</v>
      </c>
      <c r="E30" s="24">
        <v>43.1</v>
      </c>
      <c r="F30" s="23">
        <v>1552859</v>
      </c>
      <c r="G30" s="25" t="s">
        <v>32</v>
      </c>
      <c r="H30" s="26">
        <v>1.3</v>
      </c>
      <c r="I30" s="23">
        <v>2262</v>
      </c>
      <c r="J30" s="23">
        <v>1813</v>
      </c>
      <c r="K30" s="25"/>
      <c r="L30" s="27">
        <v>449</v>
      </c>
      <c r="M30" s="56">
        <v>99.2</v>
      </c>
      <c r="N30" s="207">
        <v>2814500</v>
      </c>
    </row>
    <row r="31" spans="1:14" ht="16.5" customHeight="1">
      <c r="B31" s="14" t="s">
        <v>314</v>
      </c>
      <c r="C31" s="23">
        <v>1671647</v>
      </c>
      <c r="D31" s="23">
        <v>623613</v>
      </c>
      <c r="E31" s="24">
        <v>37.299999999999997</v>
      </c>
      <c r="F31" s="23">
        <v>1669763</v>
      </c>
      <c r="G31" s="25"/>
      <c r="H31" s="26">
        <v>7.5</v>
      </c>
      <c r="I31" s="23">
        <v>1884</v>
      </c>
      <c r="J31" s="23">
        <v>1495</v>
      </c>
      <c r="K31" s="25"/>
      <c r="L31" s="27">
        <v>389</v>
      </c>
      <c r="M31" s="56">
        <v>100.2</v>
      </c>
      <c r="N31" s="207">
        <v>2797041</v>
      </c>
    </row>
    <row r="32" spans="1:14" ht="16.5" customHeight="1">
      <c r="A32" s="40"/>
      <c r="B32" s="14" t="s">
        <v>315</v>
      </c>
      <c r="C32" s="42">
        <v>1642643</v>
      </c>
      <c r="D32" s="42">
        <v>626018</v>
      </c>
      <c r="E32" s="43">
        <v>38.1</v>
      </c>
      <c r="F32" s="42">
        <v>1641235</v>
      </c>
      <c r="G32" s="44" t="s">
        <v>32</v>
      </c>
      <c r="H32" s="45">
        <v>1.7</v>
      </c>
      <c r="I32" s="42">
        <f>C32-F32</f>
        <v>1408</v>
      </c>
      <c r="J32" s="42">
        <v>1000</v>
      </c>
      <c r="K32" s="44"/>
      <c r="L32" s="46">
        <f>I32-J32</f>
        <v>408</v>
      </c>
      <c r="M32" s="57">
        <v>99.4</v>
      </c>
      <c r="N32" s="208">
        <v>2770468</v>
      </c>
    </row>
    <row r="33" spans="1:14" ht="16.5" customHeight="1">
      <c r="A33" s="5"/>
      <c r="B33" s="14" t="s">
        <v>316</v>
      </c>
      <c r="C33" s="42">
        <v>1651156</v>
      </c>
      <c r="D33" s="42">
        <v>636066</v>
      </c>
      <c r="E33" s="43">
        <v>38.5</v>
      </c>
      <c r="F33" s="42">
        <v>1649897</v>
      </c>
      <c r="G33" s="44"/>
      <c r="H33" s="45">
        <v>0.5</v>
      </c>
      <c r="I33" s="42">
        <f>C33-F33</f>
        <v>1259</v>
      </c>
      <c r="J33" s="42">
        <v>806</v>
      </c>
      <c r="K33" s="44"/>
      <c r="L33" s="46">
        <f>I33-J33</f>
        <v>453</v>
      </c>
      <c r="M33" s="57">
        <v>99.5</v>
      </c>
      <c r="N33" s="207">
        <v>2745021</v>
      </c>
    </row>
    <row r="34" spans="1:14" ht="15" hidden="1" customHeight="1">
      <c r="A34" s="5"/>
      <c r="B34" s="688" t="s">
        <v>317</v>
      </c>
      <c r="C34" s="66">
        <v>1582165</v>
      </c>
      <c r="D34" s="687">
        <v>627006</v>
      </c>
      <c r="E34" s="686">
        <v>36.9</v>
      </c>
      <c r="F34" s="66">
        <v>1580639</v>
      </c>
      <c r="G34" s="67" t="s">
        <v>153</v>
      </c>
      <c r="H34" s="68" t="s">
        <v>154</v>
      </c>
      <c r="I34" s="687">
        <f>C34-F34</f>
        <v>1526</v>
      </c>
      <c r="J34" s="687">
        <v>1115</v>
      </c>
      <c r="K34" s="62"/>
      <c r="L34" s="692">
        <f>I34-J34</f>
        <v>411</v>
      </c>
      <c r="M34" s="691">
        <v>101.9</v>
      </c>
      <c r="N34" s="689">
        <v>2660209</v>
      </c>
    </row>
    <row r="35" spans="1:14" ht="16.5" customHeight="1">
      <c r="B35" s="688"/>
      <c r="C35" s="69">
        <v>1700781</v>
      </c>
      <c r="D35" s="687"/>
      <c r="E35" s="686"/>
      <c r="F35" s="69">
        <v>1699255</v>
      </c>
      <c r="G35" s="44"/>
      <c r="H35" s="64">
        <v>3</v>
      </c>
      <c r="I35" s="687"/>
      <c r="J35" s="687"/>
      <c r="K35" s="63"/>
      <c r="L35" s="692"/>
      <c r="M35" s="691"/>
      <c r="N35" s="690"/>
    </row>
    <row r="36" spans="1:14" ht="16.5" customHeight="1">
      <c r="A36" s="5"/>
      <c r="B36" s="41" t="s">
        <v>318</v>
      </c>
      <c r="C36" s="42">
        <v>1675766</v>
      </c>
      <c r="D36" s="42">
        <v>641870</v>
      </c>
      <c r="E36" s="43">
        <v>38.299999999999997</v>
      </c>
      <c r="F36" s="42">
        <v>1650402</v>
      </c>
      <c r="G36" s="44" t="s">
        <v>32</v>
      </c>
      <c r="H36" s="45">
        <v>2.9</v>
      </c>
      <c r="I36" s="42">
        <f t="shared" ref="I36:I42" si="0">C36-F36</f>
        <v>25364</v>
      </c>
      <c r="J36" s="42">
        <v>1141</v>
      </c>
      <c r="K36" s="44"/>
      <c r="L36" s="205">
        <f t="shared" ref="L36:L42" si="1">I36-J36</f>
        <v>24223</v>
      </c>
      <c r="M36" s="57">
        <v>98.3</v>
      </c>
      <c r="N36" s="207">
        <v>2578573</v>
      </c>
    </row>
    <row r="37" spans="1:14" ht="16.5" customHeight="1">
      <c r="A37" s="5"/>
      <c r="B37" s="41" t="s">
        <v>319</v>
      </c>
      <c r="C37" s="108">
        <v>1641158</v>
      </c>
      <c r="D37" s="108">
        <v>659256</v>
      </c>
      <c r="E37" s="109">
        <v>40.170172524522322</v>
      </c>
      <c r="F37" s="108">
        <v>1635843</v>
      </c>
      <c r="G37" s="44" t="s">
        <v>32</v>
      </c>
      <c r="H37" s="111">
        <v>0.88214871285904894</v>
      </c>
      <c r="I37" s="108">
        <f t="shared" si="0"/>
        <v>5315</v>
      </c>
      <c r="J37" s="108">
        <v>4881</v>
      </c>
      <c r="K37" s="110"/>
      <c r="L37" s="46">
        <f t="shared" si="1"/>
        <v>434</v>
      </c>
      <c r="M37" s="57">
        <v>98.8</v>
      </c>
      <c r="N37" s="209">
        <v>2473326</v>
      </c>
    </row>
    <row r="38" spans="1:14" ht="16.5" customHeight="1">
      <c r="A38" s="5"/>
      <c r="B38" s="41" t="s">
        <v>320</v>
      </c>
      <c r="C38" s="108">
        <v>1631983</v>
      </c>
      <c r="D38" s="108">
        <v>660088</v>
      </c>
      <c r="E38" s="109">
        <v>40.4</v>
      </c>
      <c r="F38" s="108">
        <v>1630073</v>
      </c>
      <c r="G38" s="44" t="s">
        <v>32</v>
      </c>
      <c r="H38" s="111">
        <v>0.4</v>
      </c>
      <c r="I38" s="108">
        <f t="shared" si="0"/>
        <v>1910</v>
      </c>
      <c r="J38" s="108">
        <v>1509</v>
      </c>
      <c r="K38" s="110"/>
      <c r="L38" s="46">
        <f t="shared" si="1"/>
        <v>401</v>
      </c>
      <c r="M38" s="57">
        <v>97.6</v>
      </c>
      <c r="N38" s="209">
        <v>2327170</v>
      </c>
    </row>
    <row r="39" spans="1:14" ht="16.5" customHeight="1">
      <c r="A39" s="5"/>
      <c r="B39" s="41" t="s">
        <v>321</v>
      </c>
      <c r="C39" s="108">
        <v>1574838</v>
      </c>
      <c r="D39" s="108">
        <v>659473</v>
      </c>
      <c r="E39" s="109">
        <v>41.9</v>
      </c>
      <c r="F39" s="108">
        <v>1572848</v>
      </c>
      <c r="G39" s="44" t="s">
        <v>32</v>
      </c>
      <c r="H39" s="111">
        <v>3.5</v>
      </c>
      <c r="I39" s="108">
        <f t="shared" si="0"/>
        <v>1990</v>
      </c>
      <c r="J39" s="108">
        <v>1590</v>
      </c>
      <c r="K39" s="110"/>
      <c r="L39" s="46">
        <f t="shared" si="1"/>
        <v>400</v>
      </c>
      <c r="M39" s="57">
        <v>100.1</v>
      </c>
      <c r="N39" s="209">
        <v>2185864</v>
      </c>
    </row>
    <row r="40" spans="1:14" ht="16.5" customHeight="1">
      <c r="A40" s="5"/>
      <c r="B40" s="41" t="s">
        <v>322</v>
      </c>
      <c r="C40" s="108">
        <v>1742817</v>
      </c>
      <c r="D40" s="108">
        <v>675404</v>
      </c>
      <c r="E40" s="109">
        <v>38.799999999999997</v>
      </c>
      <c r="F40" s="108">
        <v>1740813</v>
      </c>
      <c r="G40" s="44"/>
      <c r="H40" s="111">
        <v>10.7</v>
      </c>
      <c r="I40" s="108">
        <f t="shared" si="0"/>
        <v>2004</v>
      </c>
      <c r="J40" s="108">
        <v>1584</v>
      </c>
      <c r="K40" s="110"/>
      <c r="L40" s="46">
        <f t="shared" si="1"/>
        <v>420</v>
      </c>
      <c r="M40" s="57">
        <v>98.3</v>
      </c>
      <c r="N40" s="209">
        <v>2069777</v>
      </c>
    </row>
    <row r="41" spans="1:14" ht="16.5" customHeight="1">
      <c r="A41" s="5"/>
      <c r="B41" s="41" t="s">
        <v>323</v>
      </c>
      <c r="C41" s="108">
        <v>1761138</v>
      </c>
      <c r="D41" s="108">
        <v>737441</v>
      </c>
      <c r="E41" s="109">
        <v>41.9</v>
      </c>
      <c r="F41" s="108">
        <v>1758572</v>
      </c>
      <c r="G41" s="44"/>
      <c r="H41" s="111">
        <v>1</v>
      </c>
      <c r="I41" s="108">
        <f t="shared" ref="I41" si="2">C41-F41</f>
        <v>2566</v>
      </c>
      <c r="J41" s="108">
        <v>2137</v>
      </c>
      <c r="K41" s="110"/>
      <c r="L41" s="46">
        <f t="shared" ref="L41" si="3">I41-J41</f>
        <v>429</v>
      </c>
      <c r="M41" s="57">
        <v>96.9</v>
      </c>
      <c r="N41" s="209">
        <v>1906256</v>
      </c>
    </row>
    <row r="42" spans="1:14" ht="16.5" customHeight="1">
      <c r="A42" s="5"/>
      <c r="B42" s="41" t="s">
        <v>324</v>
      </c>
      <c r="C42" s="108">
        <v>1764214</v>
      </c>
      <c r="D42" s="108">
        <v>776114</v>
      </c>
      <c r="E42" s="109">
        <v>44</v>
      </c>
      <c r="F42" s="108">
        <v>1756789</v>
      </c>
      <c r="G42" s="44" t="s">
        <v>32</v>
      </c>
      <c r="H42" s="111">
        <v>0.1</v>
      </c>
      <c r="I42" s="108">
        <f t="shared" si="0"/>
        <v>7425</v>
      </c>
      <c r="J42" s="108">
        <v>4753</v>
      </c>
      <c r="K42" s="110"/>
      <c r="L42" s="206">
        <f t="shared" si="1"/>
        <v>2672</v>
      </c>
      <c r="M42" s="57">
        <v>93.4</v>
      </c>
      <c r="N42" s="209">
        <v>1802867</v>
      </c>
    </row>
    <row r="43" spans="1:14" ht="16.5" customHeight="1">
      <c r="A43" s="5"/>
      <c r="B43" s="41" t="s">
        <v>358</v>
      </c>
      <c r="C43" s="108">
        <v>2042685</v>
      </c>
      <c r="D43" s="108">
        <v>744663</v>
      </c>
      <c r="E43" s="109">
        <v>36.4</v>
      </c>
      <c r="F43" s="108">
        <v>2014653</v>
      </c>
      <c r="G43" s="44"/>
      <c r="H43" s="111">
        <v>14.7</v>
      </c>
      <c r="I43" s="108">
        <f t="shared" ref="I43" si="4">C43-F43</f>
        <v>28032</v>
      </c>
      <c r="J43" s="108">
        <v>14991</v>
      </c>
      <c r="K43" s="110"/>
      <c r="L43" s="206">
        <f t="shared" ref="L43" si="5">I43-J43</f>
        <v>13041</v>
      </c>
      <c r="M43" s="57">
        <v>94.3</v>
      </c>
      <c r="N43" s="221">
        <v>1734635</v>
      </c>
    </row>
    <row r="44" spans="1:14">
      <c r="A44" s="5"/>
      <c r="B44" s="65"/>
      <c r="C44" s="29"/>
      <c r="D44" s="29"/>
      <c r="E44" s="29"/>
    </row>
    <row r="45" spans="1:14" ht="14.25" customHeight="1">
      <c r="A45" s="5"/>
      <c r="B45" s="28"/>
      <c r="C45" s="30"/>
      <c r="D45" s="30"/>
      <c r="E45" s="30"/>
      <c r="G45" s="676"/>
      <c r="H45" s="676"/>
    </row>
    <row r="46" spans="1:14" ht="14.25" customHeight="1">
      <c r="A46" s="5"/>
      <c r="B46" s="28"/>
      <c r="C46" s="30"/>
      <c r="D46" s="30"/>
      <c r="E46" s="30"/>
      <c r="G46" s="31"/>
      <c r="H46" s="32"/>
    </row>
    <row r="47" spans="1:14" ht="14.25" customHeight="1">
      <c r="B47" s="28"/>
      <c r="C47" s="30"/>
      <c r="D47" s="30"/>
      <c r="E47" s="30"/>
      <c r="G47" s="678"/>
      <c r="H47" s="678"/>
    </row>
    <row r="48" spans="1:14" ht="14.25" customHeight="1">
      <c r="B48" s="28"/>
      <c r="C48" s="30"/>
      <c r="D48" s="30"/>
      <c r="E48" s="30"/>
      <c r="G48" s="31"/>
      <c r="H48" s="32"/>
    </row>
    <row r="49" spans="1:8" ht="14.25" customHeight="1">
      <c r="A49" s="5"/>
      <c r="B49" s="28"/>
      <c r="C49" s="30"/>
      <c r="D49" s="30"/>
      <c r="E49" s="30"/>
      <c r="G49" s="676"/>
      <c r="H49" s="676"/>
    </row>
    <row r="50" spans="1:8" ht="14.25" customHeight="1">
      <c r="A50" s="5"/>
      <c r="B50" s="28"/>
      <c r="C50" s="30"/>
      <c r="D50" s="30"/>
      <c r="E50" s="30"/>
      <c r="G50" s="31"/>
      <c r="H50" s="32"/>
    </row>
    <row r="51" spans="1:8" ht="14.25" customHeight="1">
      <c r="B51" s="28"/>
      <c r="C51" s="30"/>
      <c r="D51" s="30"/>
      <c r="E51" s="30"/>
      <c r="G51" s="676"/>
      <c r="H51" s="676"/>
    </row>
    <row r="52" spans="1:8" ht="14.25" customHeight="1">
      <c r="B52" s="28"/>
      <c r="C52" s="30"/>
      <c r="D52" s="30"/>
      <c r="E52" s="30"/>
      <c r="G52" s="31"/>
      <c r="H52" s="32"/>
    </row>
    <row r="53" spans="1:8" ht="14.25" customHeight="1">
      <c r="A53" s="5"/>
      <c r="B53" s="28"/>
      <c r="C53" s="30"/>
      <c r="D53" s="30"/>
      <c r="E53" s="30"/>
      <c r="G53" s="676"/>
      <c r="H53" s="676"/>
    </row>
    <row r="54" spans="1:8" ht="14.25" customHeight="1">
      <c r="A54" s="5"/>
      <c r="B54" s="28"/>
      <c r="C54" s="30"/>
      <c r="D54" s="30"/>
      <c r="E54" s="30"/>
      <c r="G54" s="31"/>
      <c r="H54" s="32"/>
    </row>
    <row r="55" spans="1:8" ht="14.25" customHeight="1">
      <c r="B55" s="28"/>
      <c r="C55" s="30"/>
      <c r="D55" s="30"/>
      <c r="E55" s="30"/>
      <c r="G55" s="676"/>
      <c r="H55" s="676"/>
    </row>
    <row r="56" spans="1:8" ht="14.25" customHeight="1">
      <c r="B56" s="28"/>
      <c r="C56" s="30"/>
      <c r="D56" s="30"/>
      <c r="E56" s="30"/>
      <c r="G56" s="31"/>
      <c r="H56" s="32"/>
    </row>
    <row r="57" spans="1:8" ht="14.25" customHeight="1">
      <c r="A57" s="5"/>
      <c r="B57" s="28"/>
      <c r="C57" s="30"/>
      <c r="D57" s="30"/>
      <c r="E57" s="30"/>
      <c r="G57" s="676"/>
      <c r="H57" s="676"/>
    </row>
    <row r="58" spans="1:8" ht="14.25" customHeight="1">
      <c r="A58" s="5"/>
      <c r="B58" s="28"/>
      <c r="C58" s="30"/>
      <c r="D58" s="30"/>
      <c r="E58" s="30"/>
      <c r="G58" s="31"/>
      <c r="H58" s="32"/>
    </row>
    <row r="59" spans="1:8" ht="14.25" customHeight="1">
      <c r="B59" s="28"/>
      <c r="C59" s="30"/>
      <c r="D59" s="30"/>
      <c r="E59" s="30"/>
      <c r="G59" s="676"/>
      <c r="H59" s="676"/>
    </row>
    <row r="60" spans="1:8" ht="14.25" customHeight="1">
      <c r="B60" s="28"/>
      <c r="C60" s="30"/>
      <c r="D60" s="30"/>
      <c r="E60" s="30"/>
      <c r="G60" s="31"/>
      <c r="H60" s="32"/>
    </row>
    <row r="61" spans="1:8" ht="14.25" customHeight="1">
      <c r="A61" s="5"/>
      <c r="B61" s="28"/>
      <c r="C61" s="30"/>
      <c r="D61" s="30"/>
      <c r="E61" s="30"/>
      <c r="G61" s="676"/>
      <c r="H61" s="677"/>
    </row>
    <row r="62" spans="1:8" ht="14.25" customHeight="1">
      <c r="A62" s="5"/>
      <c r="B62" s="28"/>
      <c r="C62" s="30"/>
      <c r="D62" s="30"/>
      <c r="E62" s="30"/>
      <c r="G62" s="31"/>
      <c r="H62" s="32"/>
    </row>
    <row r="63" spans="1:8" ht="14.25" customHeight="1">
      <c r="C63" s="30"/>
      <c r="D63" s="30"/>
      <c r="E63" s="30"/>
      <c r="G63" s="676"/>
      <c r="H63" s="677"/>
    </row>
    <row r="64" spans="1:8" ht="10.7" customHeight="1"/>
    <row r="65" spans="1:1">
      <c r="A65" s="5"/>
    </row>
    <row r="66" spans="1:1" ht="10.7" customHeight="1"/>
    <row r="67" spans="1:1">
      <c r="A67" s="5"/>
    </row>
    <row r="68" spans="1:1">
      <c r="A68" s="5"/>
    </row>
    <row r="69" spans="1:1">
      <c r="A69" s="5"/>
    </row>
    <row r="70" spans="1:1">
      <c r="A70" s="5"/>
    </row>
    <row r="71" spans="1:1">
      <c r="A71" s="5"/>
    </row>
  </sheetData>
  <mergeCells count="25">
    <mergeCell ref="N34:N35"/>
    <mergeCell ref="M34:M35"/>
    <mergeCell ref="L34:L35"/>
    <mergeCell ref="J34:J35"/>
    <mergeCell ref="I34:I35"/>
    <mergeCell ref="K6:L6"/>
    <mergeCell ref="K7:L7"/>
    <mergeCell ref="K8:L8"/>
    <mergeCell ref="B5:B8"/>
    <mergeCell ref="G45:H45"/>
    <mergeCell ref="E34:E35"/>
    <mergeCell ref="D34:D35"/>
    <mergeCell ref="B34:B35"/>
    <mergeCell ref="G47:H47"/>
    <mergeCell ref="G49:H49"/>
    <mergeCell ref="G6:H6"/>
    <mergeCell ref="G7:H7"/>
    <mergeCell ref="G8:H8"/>
    <mergeCell ref="G59:H59"/>
    <mergeCell ref="G61:H61"/>
    <mergeCell ref="G63:H63"/>
    <mergeCell ref="G51:H51"/>
    <mergeCell ref="G53:H53"/>
    <mergeCell ref="G55:H55"/>
    <mergeCell ref="G57:H57"/>
  </mergeCells>
  <phoneticPr fontId="9"/>
  <printOptions verticalCentered="1"/>
  <pageMargins left="0.62992125984251968" right="0.31496062992125984" top="0.19685039370078741" bottom="0.59055118110236227" header="0" footer="0"/>
  <pageSetup paperSize="9" scale="91"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B1:AA20"/>
  <sheetViews>
    <sheetView view="pageBreakPreview" topLeftCell="B1" zoomScale="85" zoomScaleNormal="100" zoomScaleSheetLayoutView="85" workbookViewId="0">
      <pane xSplit="1" topLeftCell="C1" activePane="topRight" state="frozen"/>
      <selection activeCell="B1" sqref="B1"/>
      <selection pane="topRight" activeCell="K5" sqref="K5"/>
    </sheetView>
  </sheetViews>
  <sheetFormatPr defaultRowHeight="12.75"/>
  <cols>
    <col min="1" max="1" width="9.140625" style="1"/>
    <col min="2" max="2" width="13.140625" style="1" customWidth="1"/>
    <col min="3" max="26" width="11.85546875" style="1" customWidth="1"/>
    <col min="27" max="27" width="9.7109375" style="1" bestFit="1" customWidth="1"/>
    <col min="28" max="16384" width="9.140625" style="1"/>
  </cols>
  <sheetData>
    <row r="1" spans="2:27">
      <c r="X1" s="124"/>
      <c r="Y1" s="124"/>
      <c r="Z1" s="124" t="s">
        <v>214</v>
      </c>
    </row>
    <row r="2" spans="2:27">
      <c r="C2" s="35" t="s">
        <v>33</v>
      </c>
      <c r="D2" s="35" t="s">
        <v>90</v>
      </c>
      <c r="E2" s="35" t="s">
        <v>34</v>
      </c>
      <c r="F2" s="35" t="s">
        <v>91</v>
      </c>
      <c r="G2" s="35" t="s">
        <v>35</v>
      </c>
      <c r="H2" s="35" t="s">
        <v>92</v>
      </c>
      <c r="I2" s="35" t="s">
        <v>36</v>
      </c>
      <c r="J2" s="35" t="s">
        <v>93</v>
      </c>
      <c r="K2" s="35" t="s">
        <v>37</v>
      </c>
      <c r="L2" s="35" t="s">
        <v>45</v>
      </c>
      <c r="M2" s="35" t="s">
        <v>46</v>
      </c>
      <c r="N2" s="35" t="s">
        <v>88</v>
      </c>
      <c r="O2" s="35" t="s">
        <v>103</v>
      </c>
      <c r="P2" s="35" t="s">
        <v>106</v>
      </c>
      <c r="Q2" s="35" t="s">
        <v>110</v>
      </c>
      <c r="R2" s="35" t="s">
        <v>146</v>
      </c>
      <c r="S2" s="35" t="s">
        <v>155</v>
      </c>
      <c r="T2" s="35" t="s">
        <v>171</v>
      </c>
      <c r="U2" s="35" t="s">
        <v>176</v>
      </c>
      <c r="V2" s="35" t="s">
        <v>182</v>
      </c>
      <c r="W2" s="35" t="s">
        <v>207</v>
      </c>
      <c r="X2" s="35" t="s">
        <v>212</v>
      </c>
      <c r="Y2" s="35" t="s">
        <v>229</v>
      </c>
      <c r="Z2" s="35" t="s">
        <v>293</v>
      </c>
      <c r="AA2" s="35" t="s">
        <v>359</v>
      </c>
    </row>
    <row r="3" spans="2:27">
      <c r="B3" s="1" t="s">
        <v>38</v>
      </c>
      <c r="C3" s="1">
        <v>777637</v>
      </c>
      <c r="D3" s="1">
        <v>775187</v>
      </c>
      <c r="E3" s="1">
        <v>738656</v>
      </c>
      <c r="F3" s="1">
        <v>712955</v>
      </c>
      <c r="G3" s="1">
        <v>686522</v>
      </c>
      <c r="H3" s="1">
        <v>665501</v>
      </c>
      <c r="I3" s="1">
        <v>635039</v>
      </c>
      <c r="J3" s="1">
        <v>613049</v>
      </c>
      <c r="K3" s="1">
        <v>618500</v>
      </c>
      <c r="L3" s="1">
        <v>628573</v>
      </c>
      <c r="M3" s="1">
        <v>652624</v>
      </c>
      <c r="N3" s="1">
        <v>678485</v>
      </c>
      <c r="O3" s="1">
        <v>670787</v>
      </c>
      <c r="P3" s="1">
        <v>623613</v>
      </c>
      <c r="Q3" s="39">
        <v>626018</v>
      </c>
      <c r="R3" s="39">
        <v>636066</v>
      </c>
      <c r="S3" s="39">
        <v>627006</v>
      </c>
      <c r="T3" s="39">
        <v>641870</v>
      </c>
      <c r="U3" s="39">
        <v>659256</v>
      </c>
      <c r="V3" s="39">
        <v>660088</v>
      </c>
      <c r="W3" s="39">
        <v>659473</v>
      </c>
      <c r="X3" s="39">
        <v>675404</v>
      </c>
      <c r="Y3" s="39">
        <v>737441</v>
      </c>
      <c r="Z3" s="39">
        <v>776114</v>
      </c>
      <c r="AA3" s="1">
        <v>744663</v>
      </c>
    </row>
    <row r="4" spans="2:27">
      <c r="B4" s="1" t="s">
        <v>39</v>
      </c>
      <c r="C4" s="1">
        <v>333494</v>
      </c>
      <c r="D4" s="1">
        <v>339766</v>
      </c>
      <c r="E4" s="1">
        <v>344027</v>
      </c>
      <c r="F4" s="1">
        <v>344624</v>
      </c>
      <c r="G4" s="1">
        <v>343620</v>
      </c>
      <c r="H4" s="1">
        <v>342117</v>
      </c>
      <c r="I4" s="1">
        <v>328600</v>
      </c>
      <c r="J4" s="1">
        <v>324236</v>
      </c>
      <c r="K4" s="1">
        <v>312114</v>
      </c>
      <c r="L4" s="1">
        <v>295822</v>
      </c>
      <c r="M4" s="1">
        <v>278549</v>
      </c>
      <c r="N4" s="1">
        <v>275570</v>
      </c>
      <c r="O4" s="1">
        <v>256522</v>
      </c>
      <c r="P4" s="1">
        <v>243904</v>
      </c>
      <c r="Q4" s="39">
        <v>239462</v>
      </c>
      <c r="R4" s="39">
        <v>241497</v>
      </c>
      <c r="S4" s="39">
        <v>232278</v>
      </c>
      <c r="T4" s="39">
        <v>209070</v>
      </c>
      <c r="U4" s="39">
        <v>207535</v>
      </c>
      <c r="V4" s="39">
        <v>203645</v>
      </c>
      <c r="W4" s="39">
        <v>196519</v>
      </c>
      <c r="X4" s="39">
        <v>300874</v>
      </c>
      <c r="Y4" s="39">
        <v>302071</v>
      </c>
      <c r="Z4" s="39">
        <v>304487</v>
      </c>
      <c r="AA4" s="1">
        <v>305796</v>
      </c>
    </row>
    <row r="5" spans="2:27">
      <c r="B5" s="1" t="s">
        <v>40</v>
      </c>
      <c r="C5" s="1">
        <v>217325</v>
      </c>
      <c r="D5" s="1">
        <v>231951</v>
      </c>
      <c r="E5" s="1">
        <v>246904</v>
      </c>
      <c r="F5" s="1">
        <v>264778</v>
      </c>
      <c r="G5" s="1">
        <v>255380</v>
      </c>
      <c r="H5" s="1">
        <v>275392</v>
      </c>
      <c r="I5" s="1">
        <v>296340</v>
      </c>
      <c r="J5" s="1">
        <v>327848</v>
      </c>
      <c r="K5" s="1">
        <v>346732</v>
      </c>
      <c r="L5" s="1">
        <v>356313</v>
      </c>
      <c r="M5" s="1">
        <v>363149</v>
      </c>
      <c r="N5" s="1">
        <v>374569</v>
      </c>
      <c r="O5" s="1">
        <v>384863</v>
      </c>
      <c r="P5" s="1">
        <v>426249</v>
      </c>
      <c r="Q5" s="39">
        <v>481221</v>
      </c>
      <c r="R5" s="39">
        <v>496850</v>
      </c>
      <c r="S5" s="39">
        <v>498403</v>
      </c>
      <c r="T5" s="39">
        <v>501060</v>
      </c>
      <c r="U5" s="39">
        <v>517169</v>
      </c>
      <c r="V5" s="39">
        <v>528188</v>
      </c>
      <c r="W5" s="39">
        <v>541680</v>
      </c>
      <c r="X5" s="39">
        <v>552538</v>
      </c>
      <c r="Y5" s="39">
        <v>553538</v>
      </c>
      <c r="Z5" s="39">
        <v>572052</v>
      </c>
      <c r="AA5" s="1">
        <v>589363</v>
      </c>
    </row>
    <row r="6" spans="2:27">
      <c r="B6" s="1" t="s">
        <v>1</v>
      </c>
      <c r="C6" s="1">
        <v>1738255</v>
      </c>
      <c r="D6" s="1">
        <v>1962349</v>
      </c>
      <c r="E6" s="1">
        <v>2279721</v>
      </c>
      <c r="F6" s="1">
        <v>2431273</v>
      </c>
      <c r="G6" s="1">
        <v>2532886</v>
      </c>
      <c r="H6" s="1">
        <v>2628930</v>
      </c>
      <c r="I6" s="1">
        <v>2716248</v>
      </c>
      <c r="J6" s="1">
        <v>2809765</v>
      </c>
      <c r="K6" s="1">
        <v>2853155</v>
      </c>
      <c r="L6" s="1">
        <v>2916377</v>
      </c>
      <c r="M6" s="1">
        <v>2849274</v>
      </c>
      <c r="N6" s="1">
        <v>2833410</v>
      </c>
      <c r="O6" s="1">
        <v>2814500</v>
      </c>
      <c r="P6" s="1">
        <v>2797041</v>
      </c>
      <c r="Q6" s="39">
        <v>2770468</v>
      </c>
      <c r="R6" s="39">
        <v>2745021</v>
      </c>
      <c r="S6" s="39">
        <v>2660209</v>
      </c>
      <c r="T6" s="39">
        <v>2578573</v>
      </c>
      <c r="U6" s="39">
        <v>2473326</v>
      </c>
      <c r="V6" s="39">
        <v>2327260</v>
      </c>
      <c r="W6" s="39">
        <v>2185864</v>
      </c>
      <c r="X6" s="39">
        <v>2069777</v>
      </c>
      <c r="Y6" s="39">
        <v>1906256</v>
      </c>
      <c r="Z6" s="39">
        <v>1802867</v>
      </c>
      <c r="AA6" s="1">
        <v>1734635</v>
      </c>
    </row>
    <row r="7" spans="2:27">
      <c r="B7" s="1" t="s">
        <v>43</v>
      </c>
      <c r="C7" s="1">
        <v>145516</v>
      </c>
      <c r="D7" s="1">
        <v>160175</v>
      </c>
      <c r="E7" s="1">
        <v>166464</v>
      </c>
      <c r="F7" s="1">
        <v>189404</v>
      </c>
      <c r="G7" s="1">
        <v>199166</v>
      </c>
      <c r="H7" s="1">
        <v>209993</v>
      </c>
      <c r="I7" s="1">
        <v>233813</v>
      </c>
      <c r="J7" s="1">
        <v>218849</v>
      </c>
      <c r="K7" s="1">
        <v>217563</v>
      </c>
      <c r="L7" s="1">
        <v>210400</v>
      </c>
      <c r="M7" s="1">
        <v>207507</v>
      </c>
      <c r="N7" s="1">
        <v>207387</v>
      </c>
      <c r="O7" s="1">
        <v>213802</v>
      </c>
      <c r="P7" s="1">
        <v>221510</v>
      </c>
      <c r="Q7" s="39">
        <v>222238</v>
      </c>
      <c r="R7" s="39">
        <v>237153</v>
      </c>
      <c r="S7" s="39">
        <v>260026</v>
      </c>
      <c r="T7" s="39">
        <v>279755</v>
      </c>
      <c r="U7" s="39">
        <v>265954</v>
      </c>
      <c r="V7" s="39">
        <v>278423</v>
      </c>
      <c r="W7" s="39">
        <v>265961</v>
      </c>
      <c r="X7" s="39">
        <v>262980</v>
      </c>
      <c r="Y7" s="39">
        <v>292271</v>
      </c>
      <c r="Z7" s="39">
        <v>225144</v>
      </c>
      <c r="AA7" s="1">
        <v>195501</v>
      </c>
    </row>
    <row r="8" spans="2:27">
      <c r="B8" s="1" t="s">
        <v>41</v>
      </c>
      <c r="C8" s="1">
        <v>490419</v>
      </c>
      <c r="D8" s="1">
        <v>473096</v>
      </c>
      <c r="E8" s="1">
        <v>555592</v>
      </c>
      <c r="F8" s="1">
        <v>407813</v>
      </c>
      <c r="G8" s="1">
        <v>390207</v>
      </c>
      <c r="H8" s="1">
        <v>357302</v>
      </c>
      <c r="I8" s="1">
        <v>287916</v>
      </c>
      <c r="J8" s="1">
        <v>219703</v>
      </c>
      <c r="K8" s="1">
        <v>185020</v>
      </c>
      <c r="L8" s="1">
        <v>166774</v>
      </c>
      <c r="M8" s="1">
        <v>150545</v>
      </c>
      <c r="N8" s="1">
        <v>162129</v>
      </c>
      <c r="O8" s="1">
        <v>124207</v>
      </c>
      <c r="P8" s="1">
        <v>125825</v>
      </c>
      <c r="Q8" s="39">
        <v>95376</v>
      </c>
      <c r="R8" s="39">
        <v>90088</v>
      </c>
      <c r="S8" s="39">
        <v>76715</v>
      </c>
      <c r="T8" s="39">
        <v>83723</v>
      </c>
      <c r="U8" s="39">
        <v>101864</v>
      </c>
      <c r="V8" s="39">
        <v>100879</v>
      </c>
      <c r="W8" s="39">
        <v>100112</v>
      </c>
      <c r="X8" s="39">
        <v>115757</v>
      </c>
      <c r="Y8" s="39">
        <v>124704</v>
      </c>
      <c r="Z8" s="39">
        <v>157306</v>
      </c>
      <c r="AA8" s="1">
        <v>177781</v>
      </c>
    </row>
    <row r="9" spans="2:27" ht="38.25">
      <c r="B9" s="34" t="s">
        <v>44</v>
      </c>
      <c r="C9" s="1">
        <v>240033</v>
      </c>
      <c r="D9" s="1">
        <v>229735</v>
      </c>
      <c r="E9" s="1">
        <v>219874</v>
      </c>
      <c r="F9" s="1">
        <v>216215</v>
      </c>
      <c r="G9" s="1">
        <v>198050</v>
      </c>
      <c r="H9" s="1">
        <v>179038</v>
      </c>
      <c r="I9" s="1">
        <v>160512</v>
      </c>
      <c r="J9" s="1">
        <v>151682</v>
      </c>
      <c r="K9" s="1">
        <v>141757</v>
      </c>
      <c r="L9" s="1">
        <v>134363</v>
      </c>
      <c r="M9" s="1">
        <v>130355</v>
      </c>
      <c r="N9" s="1">
        <v>130194</v>
      </c>
      <c r="O9" s="1">
        <v>130276</v>
      </c>
      <c r="P9" s="1">
        <v>135929</v>
      </c>
      <c r="Q9" s="39">
        <v>138152</v>
      </c>
      <c r="R9" s="39">
        <v>135459</v>
      </c>
      <c r="S9" s="39">
        <v>132093</v>
      </c>
      <c r="T9" s="39">
        <v>130665</v>
      </c>
      <c r="U9" s="39">
        <v>129916</v>
      </c>
      <c r="V9" s="39">
        <v>130341</v>
      </c>
      <c r="W9" s="39">
        <v>130977</v>
      </c>
      <c r="X9" s="39">
        <v>131222</v>
      </c>
      <c r="Y9" s="39">
        <v>137234</v>
      </c>
      <c r="Z9" s="39">
        <v>142375</v>
      </c>
      <c r="AA9" s="1">
        <v>143507</v>
      </c>
    </row>
    <row r="10" spans="2:27">
      <c r="D10" s="33"/>
      <c r="E10" s="33"/>
    </row>
    <row r="12" spans="2:27">
      <c r="B12" s="1" t="s">
        <v>42</v>
      </c>
    </row>
    <row r="13" spans="2:27">
      <c r="C13" s="2" t="s">
        <v>474</v>
      </c>
      <c r="D13" s="2" t="s">
        <v>475</v>
      </c>
      <c r="E13" s="2" t="s">
        <v>478</v>
      </c>
      <c r="F13" s="2" t="s">
        <v>479</v>
      </c>
      <c r="G13" s="2" t="s">
        <v>480</v>
      </c>
      <c r="H13" s="2" t="s">
        <v>481</v>
      </c>
      <c r="I13" s="2" t="s">
        <v>482</v>
      </c>
      <c r="J13" s="2" t="s">
        <v>483</v>
      </c>
      <c r="K13" s="2" t="s">
        <v>484</v>
      </c>
      <c r="L13" s="2" t="s">
        <v>485</v>
      </c>
      <c r="M13" s="2" t="s">
        <v>486</v>
      </c>
      <c r="N13" s="2" t="s">
        <v>487</v>
      </c>
      <c r="O13" s="2" t="s">
        <v>488</v>
      </c>
      <c r="P13" s="2" t="s">
        <v>489</v>
      </c>
      <c r="Q13" s="2" t="s">
        <v>490</v>
      </c>
      <c r="R13" s="2" t="s">
        <v>491</v>
      </c>
      <c r="S13" s="2" t="s">
        <v>492</v>
      </c>
      <c r="T13" s="2" t="s">
        <v>493</v>
      </c>
      <c r="U13" s="2" t="s">
        <v>494</v>
      </c>
      <c r="V13" s="2" t="s">
        <v>495</v>
      </c>
      <c r="W13" s="2" t="s">
        <v>496</v>
      </c>
      <c r="X13" s="2" t="s">
        <v>497</v>
      </c>
      <c r="Y13" s="2" t="s">
        <v>498</v>
      </c>
      <c r="Z13" s="2" t="s">
        <v>472</v>
      </c>
      <c r="AA13" s="2" t="s">
        <v>473</v>
      </c>
    </row>
    <row r="14" spans="2:27">
      <c r="B14" s="1" t="s">
        <v>38</v>
      </c>
      <c r="C14" s="33">
        <f t="shared" ref="C14:O14" si="0">C3/$C$3*100</f>
        <v>100</v>
      </c>
      <c r="D14" s="33">
        <f t="shared" si="0"/>
        <v>99.684942974678421</v>
      </c>
      <c r="E14" s="33">
        <f t="shared" si="0"/>
        <v>94.987249835077293</v>
      </c>
      <c r="F14" s="33">
        <f t="shared" si="0"/>
        <v>91.682237342101786</v>
      </c>
      <c r="G14" s="33">
        <f t="shared" si="0"/>
        <v>88.283093525642428</v>
      </c>
      <c r="H14" s="33">
        <f t="shared" si="0"/>
        <v>85.579904248383244</v>
      </c>
      <c r="I14" s="33">
        <f t="shared" si="0"/>
        <v>81.662652368650157</v>
      </c>
      <c r="J14" s="33">
        <f t="shared" si="0"/>
        <v>78.834854823008683</v>
      </c>
      <c r="K14" s="33">
        <f>K3/$C$3*100</f>
        <v>79.535824555673145</v>
      </c>
      <c r="L14" s="33">
        <f t="shared" si="0"/>
        <v>80.831159011209593</v>
      </c>
      <c r="M14" s="33">
        <f t="shared" si="0"/>
        <v>83.923990242233842</v>
      </c>
      <c r="N14" s="33">
        <f>N3/$C$3*100</f>
        <v>87.249577887883419</v>
      </c>
      <c r="O14" s="33">
        <f t="shared" si="0"/>
        <v>86.259655854852596</v>
      </c>
      <c r="P14" s="33">
        <f t="shared" ref="P14:U14" si="1">P3/$C$3*100</f>
        <v>80.193329278313669</v>
      </c>
      <c r="Q14" s="33">
        <f t="shared" si="1"/>
        <v>80.502599541945656</v>
      </c>
      <c r="R14" s="33">
        <f t="shared" si="1"/>
        <v>81.794719129876796</v>
      </c>
      <c r="S14" s="33">
        <f t="shared" si="1"/>
        <v>80.629651109708007</v>
      </c>
      <c r="T14" s="33">
        <f t="shared" si="1"/>
        <v>82.541082793128425</v>
      </c>
      <c r="U14" s="33">
        <f t="shared" si="1"/>
        <v>84.776830320573737</v>
      </c>
      <c r="V14" s="33">
        <f t="shared" ref="V14:AA14" si="2">V3/$C$3*100</f>
        <v>84.883821114478863</v>
      </c>
      <c r="W14" s="33">
        <f t="shared" si="2"/>
        <v>84.804735371387935</v>
      </c>
      <c r="X14" s="33">
        <f t="shared" si="2"/>
        <v>86.853377604203502</v>
      </c>
      <c r="Y14" s="33">
        <f t="shared" si="2"/>
        <v>94.831007269458638</v>
      </c>
      <c r="Z14" s="33">
        <f t="shared" si="2"/>
        <v>99.80415026548377</v>
      </c>
      <c r="AA14" s="33">
        <f t="shared" si="2"/>
        <v>95.759718223284125</v>
      </c>
    </row>
    <row r="15" spans="2:27">
      <c r="B15" s="1" t="s">
        <v>39</v>
      </c>
      <c r="C15" s="33">
        <f t="shared" ref="C15:O15" si="3">C4/$C$4*100</f>
        <v>100</v>
      </c>
      <c r="D15" s="33">
        <f t="shared" si="3"/>
        <v>101.88069350573024</v>
      </c>
      <c r="E15" s="33">
        <f t="shared" si="3"/>
        <v>103.15837766196694</v>
      </c>
      <c r="F15" s="33">
        <f t="shared" si="3"/>
        <v>103.33739137735611</v>
      </c>
      <c r="G15" s="33">
        <f t="shared" si="3"/>
        <v>103.03633648581383</v>
      </c>
      <c r="H15" s="33">
        <f t="shared" si="3"/>
        <v>102.58565371490943</v>
      </c>
      <c r="I15" s="33">
        <f t="shared" si="3"/>
        <v>98.532507331466235</v>
      </c>
      <c r="J15" s="33">
        <f t="shared" si="3"/>
        <v>97.223938061854184</v>
      </c>
      <c r="K15" s="33">
        <f t="shared" si="3"/>
        <v>93.589090058591765</v>
      </c>
      <c r="L15" s="33">
        <f t="shared" si="3"/>
        <v>88.703844746832033</v>
      </c>
      <c r="M15" s="33">
        <f t="shared" si="3"/>
        <v>83.524441219332274</v>
      </c>
      <c r="N15" s="33">
        <f t="shared" si="3"/>
        <v>82.631171775204351</v>
      </c>
      <c r="O15" s="33">
        <f t="shared" si="3"/>
        <v>76.919524789051678</v>
      </c>
      <c r="P15" s="33">
        <f t="shared" ref="P15:U15" si="4">P4/$C$4*100</f>
        <v>73.135948472836091</v>
      </c>
      <c r="Q15" s="33">
        <f t="shared" si="4"/>
        <v>71.803990476590286</v>
      </c>
      <c r="R15" s="33">
        <f t="shared" si="4"/>
        <v>72.414196357355749</v>
      </c>
      <c r="S15" s="33">
        <f t="shared" si="4"/>
        <v>69.649828782526825</v>
      </c>
      <c r="T15" s="33">
        <f t="shared" si="4"/>
        <v>62.690783042573486</v>
      </c>
      <c r="U15" s="33">
        <f t="shared" si="4"/>
        <v>62.230504896639815</v>
      </c>
      <c r="V15" s="33">
        <f t="shared" ref="V15:AA15" si="5">V4/$C$4*100</f>
        <v>61.064067119648321</v>
      </c>
      <c r="W15" s="33">
        <f t="shared" si="5"/>
        <v>58.927297042825359</v>
      </c>
      <c r="X15" s="33">
        <f t="shared" si="5"/>
        <v>90.218714579572648</v>
      </c>
      <c r="Y15" s="33">
        <f t="shared" si="5"/>
        <v>90.577641576760001</v>
      </c>
      <c r="Z15" s="33">
        <f t="shared" si="5"/>
        <v>91.302092391467312</v>
      </c>
      <c r="AA15" s="33">
        <f t="shared" si="5"/>
        <v>91.694603201256996</v>
      </c>
    </row>
    <row r="16" spans="2:27">
      <c r="B16" s="1" t="s">
        <v>40</v>
      </c>
      <c r="C16" s="33">
        <f t="shared" ref="C16:O16" si="6">C5/$C$5*100</f>
        <v>100</v>
      </c>
      <c r="D16" s="33">
        <f t="shared" si="6"/>
        <v>106.73001265385942</v>
      </c>
      <c r="E16" s="33">
        <f t="shared" si="6"/>
        <v>113.61049119981594</v>
      </c>
      <c r="F16" s="33">
        <f t="shared" si="6"/>
        <v>121.83503968710457</v>
      </c>
      <c r="G16" s="33">
        <f t="shared" si="6"/>
        <v>117.51064074542737</v>
      </c>
      <c r="H16" s="33">
        <f t="shared" si="6"/>
        <v>126.71896928563211</v>
      </c>
      <c r="I16" s="33">
        <f t="shared" si="6"/>
        <v>136.35798918670196</v>
      </c>
      <c r="J16" s="33">
        <f t="shared" si="6"/>
        <v>150.85609110778788</v>
      </c>
      <c r="K16" s="33">
        <f>K5/$C$5*100</f>
        <v>159.54538134130908</v>
      </c>
      <c r="L16" s="33">
        <f t="shared" si="6"/>
        <v>163.95398596571954</v>
      </c>
      <c r="M16" s="33">
        <f t="shared" si="6"/>
        <v>167.0995053491315</v>
      </c>
      <c r="N16" s="33">
        <f t="shared" si="6"/>
        <v>172.35430806395951</v>
      </c>
      <c r="O16" s="33">
        <f t="shared" si="6"/>
        <v>177.09099275278962</v>
      </c>
      <c r="P16" s="33">
        <f t="shared" ref="P16:U16" si="7">P5/$C$5*100</f>
        <v>196.13436098009893</v>
      </c>
      <c r="Q16" s="33">
        <f t="shared" si="7"/>
        <v>221.42919590475097</v>
      </c>
      <c r="R16" s="33">
        <f t="shared" si="7"/>
        <v>228.62072932244334</v>
      </c>
      <c r="S16" s="33">
        <f t="shared" si="7"/>
        <v>229.33532727481884</v>
      </c>
      <c r="T16" s="33">
        <f t="shared" si="7"/>
        <v>230.5579201656505</v>
      </c>
      <c r="U16" s="33">
        <f t="shared" si="7"/>
        <v>237.97032094788912</v>
      </c>
      <c r="V16" s="33">
        <f t="shared" ref="V16:AA16" si="8">V5/$C$5*100</f>
        <v>243.04060738525251</v>
      </c>
      <c r="W16" s="33">
        <f t="shared" si="8"/>
        <v>249.24882089037155</v>
      </c>
      <c r="X16" s="33">
        <f t="shared" si="8"/>
        <v>254.24502473254344</v>
      </c>
      <c r="Y16" s="33">
        <f t="shared" si="8"/>
        <v>254.70516507534796</v>
      </c>
      <c r="Z16" s="33">
        <f t="shared" si="8"/>
        <v>263.22420338203153</v>
      </c>
      <c r="AA16" s="33">
        <f t="shared" si="8"/>
        <v>271.18969285632119</v>
      </c>
    </row>
    <row r="17" spans="2:27" hidden="1">
      <c r="B17" s="1" t="s">
        <v>1</v>
      </c>
      <c r="C17" s="33">
        <f t="shared" ref="C17:O17" si="9">C6/$C$6*100</f>
        <v>100</v>
      </c>
      <c r="D17" s="33">
        <f t="shared" si="9"/>
        <v>112.89189445737249</v>
      </c>
      <c r="E17" s="33">
        <f t="shared" si="9"/>
        <v>131.14997511872539</v>
      </c>
      <c r="F17" s="33">
        <f t="shared" si="9"/>
        <v>139.86860385846725</v>
      </c>
      <c r="G17" s="33">
        <f t="shared" si="9"/>
        <v>145.71429393270839</v>
      </c>
      <c r="H17" s="33">
        <f t="shared" si="9"/>
        <v>151.23960523628583</v>
      </c>
      <c r="I17" s="33">
        <f t="shared" si="9"/>
        <v>156.26291884677451</v>
      </c>
      <c r="J17" s="33">
        <f t="shared" si="9"/>
        <v>161.64285447186978</v>
      </c>
      <c r="K17" s="33">
        <f t="shared" si="9"/>
        <v>164.13903598724008</v>
      </c>
      <c r="L17" s="33">
        <f t="shared" si="9"/>
        <v>167.77613181035002</v>
      </c>
      <c r="M17" s="33">
        <f t="shared" si="9"/>
        <v>163.91576609875997</v>
      </c>
      <c r="N17" s="33">
        <f t="shared" si="9"/>
        <v>163.00312669890207</v>
      </c>
      <c r="O17" s="33">
        <f t="shared" si="9"/>
        <v>161.91525409102806</v>
      </c>
      <c r="P17" s="33">
        <f t="shared" ref="P17:U17" si="10">P6/$C$6*100</f>
        <v>160.91085600214006</v>
      </c>
      <c r="Q17" s="33">
        <f t="shared" si="10"/>
        <v>159.3821389842112</v>
      </c>
      <c r="R17" s="33">
        <f t="shared" si="10"/>
        <v>157.91819957371044</v>
      </c>
      <c r="S17" s="33">
        <f t="shared" si="10"/>
        <v>153.03905353357246</v>
      </c>
      <c r="T17" s="33">
        <f t="shared" si="10"/>
        <v>148.34261946607376</v>
      </c>
      <c r="U17" s="33">
        <f t="shared" si="10"/>
        <v>142.28786915613648</v>
      </c>
      <c r="V17" s="33">
        <f t="shared" ref="V17:AA17" si="11">V6/$C$6*100</f>
        <v>133.88484428349122</v>
      </c>
      <c r="W17" s="33">
        <f t="shared" si="11"/>
        <v>125.75047964769266</v>
      </c>
      <c r="X17" s="33">
        <f t="shared" si="11"/>
        <v>119.07211542610261</v>
      </c>
      <c r="Y17" s="33">
        <f t="shared" si="11"/>
        <v>109.6649225804039</v>
      </c>
      <c r="Z17" s="33">
        <f t="shared" si="11"/>
        <v>103.71706107561893</v>
      </c>
      <c r="AA17" s="33">
        <f t="shared" si="11"/>
        <v>99.791745169724805</v>
      </c>
    </row>
    <row r="18" spans="2:27">
      <c r="B18" s="1" t="s">
        <v>43</v>
      </c>
      <c r="C18" s="33">
        <f t="shared" ref="C18:O18" si="12">C7/$C$7*100</f>
        <v>100</v>
      </c>
      <c r="D18" s="33">
        <f t="shared" si="12"/>
        <v>110.07380631683115</v>
      </c>
      <c r="E18" s="33">
        <f t="shared" si="12"/>
        <v>114.39566783034168</v>
      </c>
      <c r="F18" s="33">
        <f t="shared" si="12"/>
        <v>130.16025729129444</v>
      </c>
      <c r="G18" s="33">
        <f t="shared" si="12"/>
        <v>136.86879793287338</v>
      </c>
      <c r="H18" s="33">
        <f t="shared" si="12"/>
        <v>144.30921685587839</v>
      </c>
      <c r="I18" s="33">
        <f t="shared" si="12"/>
        <v>160.67855081228183</v>
      </c>
      <c r="J18" s="33">
        <f t="shared" si="12"/>
        <v>150.3951455510047</v>
      </c>
      <c r="K18" s="33">
        <f t="shared" si="12"/>
        <v>149.51139393606201</v>
      </c>
      <c r="L18" s="33">
        <f t="shared" si="12"/>
        <v>144.58891118502433</v>
      </c>
      <c r="M18" s="33">
        <f t="shared" si="12"/>
        <v>142.60081365623026</v>
      </c>
      <c r="N18" s="33">
        <f t="shared" si="12"/>
        <v>142.51834849775972</v>
      </c>
      <c r="O18" s="33">
        <f t="shared" si="12"/>
        <v>146.92679842766432</v>
      </c>
      <c r="P18" s="33">
        <f t="shared" ref="P18:U18" si="13">P7/$C$7*100</f>
        <v>152.22381044008907</v>
      </c>
      <c r="Q18" s="33">
        <f t="shared" si="13"/>
        <v>152.72409906814372</v>
      </c>
      <c r="R18" s="33">
        <f t="shared" si="13"/>
        <v>162.97383105637869</v>
      </c>
      <c r="S18" s="33">
        <f t="shared" si="13"/>
        <v>178.69237747051872</v>
      </c>
      <c r="T18" s="33">
        <f t="shared" si="13"/>
        <v>192.25033673273043</v>
      </c>
      <c r="U18" s="33">
        <f t="shared" si="13"/>
        <v>182.76615629896369</v>
      </c>
      <c r="V18" s="33">
        <f t="shared" ref="V18:AA18" si="14">V7/$C$7*100</f>
        <v>191.33497347370735</v>
      </c>
      <c r="W18" s="33">
        <f t="shared" si="14"/>
        <v>182.77096676654114</v>
      </c>
      <c r="X18" s="33">
        <f t="shared" si="14"/>
        <v>180.72239478820197</v>
      </c>
      <c r="Y18" s="33">
        <f t="shared" si="14"/>
        <v>200.85145276120838</v>
      </c>
      <c r="Z18" s="33">
        <f t="shared" si="14"/>
        <v>154.72113032243877</v>
      </c>
      <c r="AA18" s="33">
        <f t="shared" si="14"/>
        <v>134.35017455125208</v>
      </c>
    </row>
    <row r="19" spans="2:27">
      <c r="B19" s="1" t="s">
        <v>41</v>
      </c>
      <c r="C19" s="33">
        <f t="shared" ref="C19:O19" si="15">C8/$C$8*100</f>
        <v>100</v>
      </c>
      <c r="D19" s="33">
        <f t="shared" si="15"/>
        <v>96.467714342225733</v>
      </c>
      <c r="E19" s="33">
        <f t="shared" si="15"/>
        <v>113.28924858131518</v>
      </c>
      <c r="F19" s="33">
        <f t="shared" si="15"/>
        <v>83.156035961086332</v>
      </c>
      <c r="G19" s="33">
        <f t="shared" si="15"/>
        <v>79.566044545582443</v>
      </c>
      <c r="H19" s="33">
        <f t="shared" si="15"/>
        <v>72.85647578907016</v>
      </c>
      <c r="I19" s="33">
        <f t="shared" si="15"/>
        <v>58.708165874486916</v>
      </c>
      <c r="J19" s="33">
        <f t="shared" si="15"/>
        <v>44.799039188938437</v>
      </c>
      <c r="K19" s="33">
        <f t="shared" si="15"/>
        <v>37.72692330435811</v>
      </c>
      <c r="L19" s="33">
        <f t="shared" si="15"/>
        <v>34.006431235331419</v>
      </c>
      <c r="M19" s="33">
        <f t="shared" si="15"/>
        <v>30.697220132172692</v>
      </c>
      <c r="N19" s="33">
        <f t="shared" si="15"/>
        <v>33.059281960935444</v>
      </c>
      <c r="O19" s="33">
        <f t="shared" si="15"/>
        <v>25.326710425167047</v>
      </c>
      <c r="P19" s="33">
        <f t="shared" ref="P19:U19" si="16">P8/$C$8*100</f>
        <v>25.656632389854391</v>
      </c>
      <c r="Q19" s="33">
        <f t="shared" si="16"/>
        <v>19.447859891235861</v>
      </c>
      <c r="R19" s="33">
        <f t="shared" si="16"/>
        <v>18.369598241503692</v>
      </c>
      <c r="S19" s="33">
        <f t="shared" si="16"/>
        <v>15.64274630469048</v>
      </c>
      <c r="T19" s="33">
        <f t="shared" si="16"/>
        <v>17.071728460765183</v>
      </c>
      <c r="U19" s="33">
        <f t="shared" si="16"/>
        <v>20.770810266323288</v>
      </c>
      <c r="V19" s="33">
        <f t="shared" ref="V19:AA19" si="17">V8/$C$8*100</f>
        <v>20.569961604260847</v>
      </c>
      <c r="W19" s="33">
        <f t="shared" si="17"/>
        <v>20.41356472730461</v>
      </c>
      <c r="X19" s="33">
        <f t="shared" si="17"/>
        <v>23.60369398412378</v>
      </c>
      <c r="Y19" s="33">
        <f t="shared" si="17"/>
        <v>25.428052338918356</v>
      </c>
      <c r="Z19" s="33">
        <f t="shared" si="17"/>
        <v>32.075837192278442</v>
      </c>
      <c r="AA19" s="33">
        <f t="shared" si="17"/>
        <v>36.250838568652519</v>
      </c>
    </row>
    <row r="20" spans="2:27" ht="38.25">
      <c r="B20" s="34" t="s">
        <v>44</v>
      </c>
      <c r="C20" s="33">
        <f t="shared" ref="C20:O20" si="18">C9/$C$9*100</f>
        <v>100</v>
      </c>
      <c r="D20" s="33">
        <f t="shared" si="18"/>
        <v>95.70975657513759</v>
      </c>
      <c r="E20" s="33">
        <f t="shared" si="18"/>
        <v>91.601571450592218</v>
      </c>
      <c r="F20" s="33">
        <f t="shared" si="18"/>
        <v>90.077197718647014</v>
      </c>
      <c r="G20" s="33">
        <f t="shared" si="18"/>
        <v>82.509488278695002</v>
      </c>
      <c r="H20" s="33">
        <f t="shared" si="18"/>
        <v>74.5889106914466</v>
      </c>
      <c r="I20" s="33">
        <f t="shared" si="18"/>
        <v>66.870805264276171</v>
      </c>
      <c r="J20" s="33">
        <f t="shared" si="18"/>
        <v>63.192144413476484</v>
      </c>
      <c r="K20" s="33">
        <f t="shared" si="18"/>
        <v>59.057296288427011</v>
      </c>
      <c r="L20" s="33">
        <f t="shared" si="18"/>
        <v>55.976886511438003</v>
      </c>
      <c r="M20" s="33">
        <f t="shared" si="18"/>
        <v>54.307116104868911</v>
      </c>
      <c r="N20" s="33">
        <f t="shared" si="18"/>
        <v>54.240041994225798</v>
      </c>
      <c r="O20" s="33">
        <f t="shared" si="18"/>
        <v>54.274203963621673</v>
      </c>
      <c r="P20" s="33">
        <f t="shared" ref="P20:U20" si="19">P9/$C$9*100</f>
        <v>56.629296805022648</v>
      </c>
      <c r="Q20" s="33">
        <f t="shared" si="19"/>
        <v>57.555419463157151</v>
      </c>
      <c r="R20" s="33">
        <f t="shared" si="19"/>
        <v>56.43349039507067</v>
      </c>
      <c r="S20" s="33">
        <f t="shared" si="19"/>
        <v>55.031183212308306</v>
      </c>
      <c r="T20" s="33">
        <f t="shared" si="19"/>
        <v>54.436265013560636</v>
      </c>
      <c r="U20" s="33">
        <f t="shared" si="19"/>
        <v>54.124224585786116</v>
      </c>
      <c r="V20" s="33">
        <f t="shared" ref="V20:AA20" si="20">V9/$C$9*100</f>
        <v>54.301283573508641</v>
      </c>
      <c r="W20" s="33">
        <f t="shared" si="20"/>
        <v>54.56624714101811</v>
      </c>
      <c r="X20" s="33">
        <f t="shared" si="20"/>
        <v>54.66831643982286</v>
      </c>
      <c r="Y20" s="33">
        <f t="shared" si="20"/>
        <v>57.17297204967651</v>
      </c>
      <c r="Z20" s="33">
        <f t="shared" si="20"/>
        <v>59.314760887044692</v>
      </c>
      <c r="AA20" s="33">
        <f t="shared" si="20"/>
        <v>59.786362708460913</v>
      </c>
    </row>
  </sheetData>
  <phoneticPr fontId="9"/>
  <pageMargins left="0.78700000000000003" right="0.78700000000000003" top="0.98399999999999999" bottom="0.98399999999999999" header="0.51200000000000001" footer="0.51200000000000001"/>
  <pageSetup paperSize="9" scale="4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X51"/>
  <sheetViews>
    <sheetView view="pageBreakPreview" zoomScaleNormal="100" zoomScaleSheetLayoutView="100" workbookViewId="0"/>
  </sheetViews>
  <sheetFormatPr defaultRowHeight="19.5"/>
  <cols>
    <col min="1" max="1" width="9.140625" style="401"/>
    <col min="2" max="2" width="4.5703125" style="401" customWidth="1"/>
    <col min="3" max="3" width="11.5703125" style="401" customWidth="1"/>
    <col min="4" max="4" width="9.140625" style="401"/>
    <col min="5" max="7" width="10.5703125" style="401" customWidth="1"/>
    <col min="8" max="11" width="9.140625" style="401"/>
    <col min="12" max="12" width="12.7109375" style="401" customWidth="1"/>
    <col min="13" max="16384" width="9.140625" style="401"/>
  </cols>
  <sheetData>
    <row r="1" spans="1:13" ht="15" customHeight="1"/>
    <row r="2" spans="1:13" ht="30" customHeight="1">
      <c r="A2" s="517" t="s">
        <v>2</v>
      </c>
    </row>
    <row r="3" spans="1:13" ht="20.25" customHeight="1">
      <c r="A3" s="401" t="s">
        <v>3</v>
      </c>
    </row>
    <row r="4" spans="1:13" ht="15" customHeight="1"/>
    <row r="5" spans="1:13" ht="20.25" customHeight="1">
      <c r="C5" s="699" t="s">
        <v>164</v>
      </c>
      <c r="D5" s="699"/>
      <c r="E5" s="699"/>
      <c r="F5" s="699"/>
      <c r="G5" s="699"/>
      <c r="H5" s="699"/>
      <c r="I5" s="699"/>
      <c r="J5" s="699"/>
      <c r="K5" s="699"/>
      <c r="L5" s="699"/>
    </row>
    <row r="6" spans="1:13" ht="20.25" customHeight="1">
      <c r="C6" s="699" t="s">
        <v>156</v>
      </c>
      <c r="D6" s="699"/>
      <c r="E6" s="699"/>
      <c r="F6" s="699"/>
      <c r="G6" s="699"/>
      <c r="H6" s="699"/>
      <c r="I6" s="699"/>
      <c r="J6" s="699"/>
      <c r="K6" s="699"/>
      <c r="L6" s="699"/>
    </row>
    <row r="7" spans="1:13" ht="12.75" customHeight="1">
      <c r="C7" s="699"/>
      <c r="D7" s="699"/>
      <c r="E7" s="699"/>
      <c r="F7" s="699"/>
      <c r="G7" s="699"/>
      <c r="H7" s="699"/>
      <c r="I7" s="699"/>
      <c r="J7" s="699"/>
      <c r="K7" s="699"/>
      <c r="L7" s="699"/>
    </row>
    <row r="8" spans="1:13">
      <c r="C8" s="401" t="s">
        <v>4</v>
      </c>
    </row>
    <row r="10" spans="1:13" ht="18.75" customHeight="1">
      <c r="D10" s="401" t="s">
        <v>172</v>
      </c>
      <c r="M10" s="516"/>
    </row>
    <row r="11" spans="1:13" ht="9.75" customHeight="1"/>
    <row r="12" spans="1:13" ht="18.75" customHeight="1">
      <c r="D12" s="401" t="s">
        <v>5</v>
      </c>
    </row>
    <row r="13" spans="1:13" ht="9.75" customHeight="1"/>
    <row r="14" spans="1:13" ht="18.75" customHeight="1">
      <c r="D14" s="401" t="s">
        <v>6</v>
      </c>
    </row>
    <row r="15" spans="1:13" ht="18.75" customHeight="1">
      <c r="D15" s="401" t="s">
        <v>7</v>
      </c>
    </row>
    <row r="16" spans="1:13" ht="15" customHeight="1"/>
    <row r="17" spans="1:12" ht="18.75" customHeight="1">
      <c r="C17" s="401" t="s">
        <v>8</v>
      </c>
    </row>
    <row r="18" spans="1:12" ht="14.25" customHeight="1"/>
    <row r="19" spans="1:12" ht="19.5" customHeight="1"/>
    <row r="20" spans="1:12" ht="19.5" customHeight="1">
      <c r="C20" s="515" t="s">
        <v>165</v>
      </c>
      <c r="E20" s="699" t="s">
        <v>177</v>
      </c>
      <c r="F20" s="699"/>
      <c r="G20" s="699"/>
      <c r="H20" s="699"/>
      <c r="I20" s="515" t="s">
        <v>325</v>
      </c>
      <c r="J20" s="515"/>
    </row>
    <row r="21" spans="1:12" ht="19.5" customHeight="1">
      <c r="E21" s="401" t="s">
        <v>166</v>
      </c>
    </row>
    <row r="22" spans="1:12" ht="19.5" customHeight="1"/>
    <row r="23" spans="1:12" ht="19.5" customHeight="1"/>
    <row r="24" spans="1:12" ht="26.25" customHeight="1"/>
    <row r="25" spans="1:12" ht="20.25" customHeight="1">
      <c r="A25" s="401" t="s">
        <v>9</v>
      </c>
    </row>
    <row r="26" spans="1:12" ht="15" customHeight="1"/>
    <row r="27" spans="1:12" ht="20.25" customHeight="1">
      <c r="C27" s="694" t="s">
        <v>157</v>
      </c>
      <c r="D27" s="694"/>
      <c r="E27" s="694"/>
      <c r="F27" s="694"/>
      <c r="G27" s="694"/>
      <c r="H27" s="694"/>
      <c r="I27" s="694"/>
      <c r="J27" s="694"/>
      <c r="K27" s="694"/>
      <c r="L27" s="694"/>
    </row>
    <row r="28" spans="1:12" ht="20.25" customHeight="1">
      <c r="C28" s="694" t="s">
        <v>158</v>
      </c>
      <c r="D28" s="694"/>
      <c r="E28" s="694"/>
      <c r="F28" s="694"/>
      <c r="G28" s="694"/>
      <c r="H28" s="694"/>
      <c r="I28" s="694"/>
      <c r="J28" s="694"/>
      <c r="K28" s="694"/>
      <c r="L28" s="694"/>
    </row>
    <row r="29" spans="1:12" ht="20.25" customHeight="1">
      <c r="C29" s="694" t="s">
        <v>471</v>
      </c>
      <c r="D29" s="694"/>
      <c r="E29" s="694"/>
      <c r="F29" s="694"/>
      <c r="G29" s="694"/>
      <c r="H29" s="694"/>
      <c r="I29" s="694"/>
      <c r="J29" s="694"/>
      <c r="K29" s="694"/>
      <c r="L29" s="694"/>
    </row>
    <row r="30" spans="1:12" ht="20.25" customHeight="1">
      <c r="C30" s="694" t="s">
        <v>402</v>
      </c>
      <c r="D30" s="694"/>
      <c r="E30" s="694"/>
      <c r="F30" s="694"/>
      <c r="G30" s="694"/>
      <c r="H30" s="694"/>
      <c r="I30" s="694"/>
      <c r="J30" s="694"/>
      <c r="K30" s="694"/>
      <c r="L30" s="694"/>
    </row>
    <row r="31" spans="1:12" ht="18" customHeight="1">
      <c r="C31" s="513"/>
      <c r="D31" s="513"/>
      <c r="E31" s="513"/>
      <c r="F31" s="513"/>
      <c r="G31" s="513"/>
      <c r="H31" s="513"/>
      <c r="I31" s="513"/>
      <c r="J31" s="513"/>
    </row>
    <row r="32" spans="1:12" ht="18" customHeight="1">
      <c r="A32" s="698" t="s">
        <v>470</v>
      </c>
      <c r="B32" s="698"/>
      <c r="C32" s="698"/>
      <c r="D32" s="695" t="s">
        <v>94</v>
      </c>
      <c r="E32" s="695"/>
      <c r="F32" s="695"/>
      <c r="G32" s="695"/>
      <c r="H32" s="695"/>
      <c r="I32" s="695"/>
      <c r="J32" s="695"/>
      <c r="K32" s="695"/>
      <c r="L32" s="696" t="s">
        <v>469</v>
      </c>
    </row>
    <row r="33" spans="1:22" ht="21" customHeight="1">
      <c r="A33" s="698"/>
      <c r="B33" s="698"/>
      <c r="C33" s="698"/>
      <c r="D33" s="697" t="s">
        <v>468</v>
      </c>
      <c r="E33" s="697"/>
      <c r="F33" s="697"/>
      <c r="G33" s="697"/>
      <c r="H33" s="697"/>
      <c r="I33" s="697"/>
      <c r="J33" s="697"/>
      <c r="K33" s="697"/>
      <c r="L33" s="696"/>
    </row>
    <row r="34" spans="1:22" ht="26.25" customHeight="1">
      <c r="C34" s="513"/>
      <c r="D34" s="513"/>
      <c r="E34" s="513"/>
      <c r="F34" s="513"/>
      <c r="G34" s="513"/>
      <c r="H34" s="513"/>
      <c r="I34" s="513"/>
      <c r="J34" s="513"/>
    </row>
    <row r="35" spans="1:22" ht="26.25" customHeight="1">
      <c r="C35" s="514"/>
      <c r="D35" s="513"/>
      <c r="E35" s="513"/>
      <c r="F35" s="513"/>
      <c r="G35" s="513"/>
      <c r="H35" s="513"/>
      <c r="I35" s="513"/>
      <c r="J35" s="513"/>
    </row>
    <row r="36" spans="1:22" ht="20.25" customHeight="1">
      <c r="A36" s="401" t="s">
        <v>95</v>
      </c>
      <c r="C36" s="513"/>
      <c r="D36" s="513"/>
      <c r="E36" s="513"/>
      <c r="F36" s="513"/>
      <c r="G36" s="513"/>
      <c r="H36" s="513"/>
      <c r="I36" s="513"/>
      <c r="J36" s="513"/>
    </row>
    <row r="37" spans="1:22" ht="15" customHeight="1">
      <c r="C37" s="513"/>
      <c r="D37" s="513"/>
      <c r="E37" s="513"/>
      <c r="F37" s="513"/>
      <c r="G37" s="513"/>
      <c r="H37" s="513"/>
      <c r="I37" s="513"/>
      <c r="J37" s="513"/>
    </row>
    <row r="38" spans="1:22" ht="18" customHeight="1">
      <c r="C38" s="694" t="s">
        <v>97</v>
      </c>
      <c r="D38" s="694"/>
      <c r="E38" s="694"/>
      <c r="F38" s="694"/>
      <c r="G38" s="694"/>
      <c r="H38" s="694"/>
      <c r="I38" s="694"/>
      <c r="J38" s="513"/>
    </row>
    <row r="39" spans="1:22" ht="26.25" customHeight="1">
      <c r="C39" s="513"/>
      <c r="D39" s="513"/>
      <c r="E39" s="513"/>
      <c r="F39" s="513"/>
      <c r="G39" s="513"/>
      <c r="H39" s="513"/>
      <c r="I39" s="513"/>
      <c r="J39" s="513"/>
    </row>
    <row r="40" spans="1:22" ht="20.25" customHeight="1">
      <c r="A40" s="401" t="s">
        <v>96</v>
      </c>
      <c r="C40" s="513"/>
      <c r="D40" s="513"/>
      <c r="E40" s="513"/>
      <c r="F40" s="513"/>
      <c r="G40" s="513"/>
      <c r="H40" s="513"/>
      <c r="I40" s="513"/>
      <c r="J40" s="513"/>
    </row>
    <row r="41" spans="1:22" ht="15" customHeight="1">
      <c r="C41" s="513"/>
      <c r="D41" s="513"/>
      <c r="E41" s="513"/>
      <c r="F41" s="513"/>
      <c r="G41" s="513"/>
      <c r="H41" s="513"/>
      <c r="I41" s="513"/>
      <c r="J41" s="513"/>
    </row>
    <row r="42" spans="1:22" ht="20.25" customHeight="1">
      <c r="C42" s="694" t="s">
        <v>159</v>
      </c>
      <c r="D42" s="694"/>
      <c r="E42" s="694"/>
      <c r="F42" s="694"/>
      <c r="G42" s="694"/>
      <c r="H42" s="694"/>
      <c r="I42" s="694"/>
      <c r="J42" s="694"/>
      <c r="K42" s="694"/>
      <c r="L42" s="694"/>
    </row>
    <row r="43" spans="1:22" ht="20.25" customHeight="1">
      <c r="C43" s="694" t="s">
        <v>160</v>
      </c>
      <c r="D43" s="694"/>
      <c r="E43" s="694"/>
      <c r="F43" s="694"/>
      <c r="G43" s="694"/>
      <c r="H43" s="694"/>
      <c r="I43" s="694"/>
      <c r="J43" s="694"/>
      <c r="K43" s="694"/>
      <c r="L43" s="694"/>
    </row>
    <row r="44" spans="1:22" ht="20.25" customHeight="1">
      <c r="C44" s="694" t="s">
        <v>161</v>
      </c>
      <c r="D44" s="694"/>
      <c r="E44" s="694"/>
      <c r="F44" s="694"/>
      <c r="G44" s="694"/>
      <c r="H44" s="694"/>
      <c r="I44" s="694"/>
      <c r="J44" s="694"/>
      <c r="K44" s="694"/>
      <c r="L44" s="694"/>
    </row>
    <row r="45" spans="1:22" ht="20.25" customHeight="1">
      <c r="C45" s="694" t="s">
        <v>162</v>
      </c>
      <c r="D45" s="694"/>
      <c r="E45" s="694"/>
      <c r="F45" s="694"/>
      <c r="G45" s="694"/>
      <c r="H45" s="694"/>
      <c r="I45" s="694"/>
      <c r="J45" s="694"/>
      <c r="K45" s="694"/>
      <c r="L45" s="694"/>
    </row>
    <row r="46" spans="1:22" ht="20.25" customHeight="1">
      <c r="C46" s="694" t="s">
        <v>163</v>
      </c>
      <c r="D46" s="694"/>
      <c r="E46" s="694"/>
      <c r="F46" s="694"/>
      <c r="G46" s="694"/>
      <c r="H46" s="694"/>
      <c r="I46" s="694"/>
      <c r="J46" s="694"/>
      <c r="K46" s="694"/>
      <c r="L46" s="694"/>
    </row>
    <row r="47" spans="1:22" ht="26.25" customHeight="1">
      <c r="C47" s="693"/>
      <c r="D47" s="693"/>
      <c r="E47" s="693"/>
      <c r="F47" s="693"/>
      <c r="G47" s="693"/>
      <c r="H47" s="693"/>
      <c r="I47" s="693"/>
      <c r="J47" s="693"/>
      <c r="K47" s="693"/>
      <c r="L47" s="693"/>
    </row>
    <row r="48" spans="1:22" ht="18" customHeight="1">
      <c r="C48" s="513"/>
      <c r="D48" s="513"/>
      <c r="E48" s="513"/>
      <c r="F48" s="513"/>
      <c r="G48" s="513"/>
      <c r="H48" s="513"/>
      <c r="I48" s="513"/>
      <c r="J48" s="513"/>
      <c r="P48" s="513"/>
      <c r="Q48" s="513"/>
      <c r="R48" s="513"/>
      <c r="S48" s="513"/>
      <c r="T48" s="513"/>
      <c r="U48" s="513"/>
      <c r="V48" s="513"/>
    </row>
    <row r="49" spans="3:24" ht="15" customHeight="1">
      <c r="C49" s="513"/>
      <c r="D49" s="513"/>
      <c r="E49" s="513"/>
      <c r="F49" s="513"/>
      <c r="G49" s="513"/>
      <c r="H49" s="513"/>
      <c r="I49" s="513"/>
      <c r="J49" s="513"/>
      <c r="P49" s="513"/>
      <c r="Q49" s="513"/>
      <c r="R49" s="513"/>
      <c r="S49" s="513"/>
      <c r="T49" s="513"/>
      <c r="U49" s="513"/>
      <c r="V49" s="513"/>
    </row>
    <row r="50" spans="3:24" ht="20.25" customHeight="1">
      <c r="C50" s="694"/>
      <c r="D50" s="694"/>
      <c r="E50" s="694"/>
      <c r="F50" s="694"/>
      <c r="G50" s="694"/>
      <c r="H50" s="694"/>
      <c r="I50" s="694"/>
      <c r="J50" s="694"/>
      <c r="K50" s="694"/>
      <c r="L50" s="694"/>
      <c r="P50" s="694"/>
      <c r="Q50" s="694"/>
      <c r="R50" s="694"/>
      <c r="S50" s="694"/>
      <c r="T50" s="694"/>
      <c r="U50" s="694"/>
      <c r="V50" s="694"/>
      <c r="W50" s="694"/>
      <c r="X50" s="694"/>
    </row>
    <row r="51" spans="3:24" ht="20.25" customHeight="1"/>
  </sheetData>
  <mergeCells count="21">
    <mergeCell ref="C28:L28"/>
    <mergeCell ref="C5:L5"/>
    <mergeCell ref="C6:L6"/>
    <mergeCell ref="C7:L7"/>
    <mergeCell ref="E20:H20"/>
    <mergeCell ref="C27:L27"/>
    <mergeCell ref="C29:L29"/>
    <mergeCell ref="C30:L30"/>
    <mergeCell ref="D32:K32"/>
    <mergeCell ref="L32:L33"/>
    <mergeCell ref="D33:K33"/>
    <mergeCell ref="A32:C33"/>
    <mergeCell ref="C47:L47"/>
    <mergeCell ref="C50:L50"/>
    <mergeCell ref="P50:X50"/>
    <mergeCell ref="C38:I38"/>
    <mergeCell ref="C42:L42"/>
    <mergeCell ref="C43:L43"/>
    <mergeCell ref="C44:L44"/>
    <mergeCell ref="C45:L45"/>
    <mergeCell ref="C46:L46"/>
  </mergeCells>
  <phoneticPr fontId="9"/>
  <pageMargins left="0.62992125984251968" right="0.35433070866141736" top="0.6692913385826772" bottom="0.98425196850393704" header="0.51181102362204722" footer="0.51181102362204722"/>
  <pageSetup paperSize="9" scale="85" firstPageNumber="8" fitToHeight="0"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2"/>
    <outlinePr summaryBelow="0" summaryRight="0"/>
    <pageSetUpPr autoPageBreaks="0" fitToPage="1"/>
  </sheetPr>
  <dimension ref="A1:L66"/>
  <sheetViews>
    <sheetView zoomScaleNormal="75" workbookViewId="0">
      <pane xSplit="2" ySplit="5" topLeftCell="C60" activePane="bottomRight" state="frozen"/>
      <selection activeCell="AI59" sqref="AI59"/>
      <selection pane="topRight" activeCell="AI59" sqref="AI59"/>
      <selection pane="bottomLeft" activeCell="AI59" sqref="AI59"/>
      <selection pane="bottomRight" activeCell="M64" sqref="M64"/>
    </sheetView>
  </sheetViews>
  <sheetFormatPr defaultColWidth="9.85546875" defaultRowHeight="12.75"/>
  <cols>
    <col min="1" max="1" width="4.28515625" style="228" customWidth="1"/>
    <col min="2" max="2" width="9.85546875" customWidth="1"/>
    <col min="3" max="3" width="11.28515625" customWidth="1"/>
    <col min="4" max="7" width="11.28515625" style="228" customWidth="1"/>
    <col min="8" max="9" width="11.28515625" customWidth="1"/>
    <col min="10" max="10" width="4.42578125" customWidth="1"/>
    <col min="11" max="255" width="9.85546875" customWidth="1"/>
  </cols>
  <sheetData>
    <row r="1" spans="1:12" ht="23.25" customHeight="1">
      <c r="A1" s="705"/>
      <c r="B1" s="705"/>
      <c r="C1" s="705"/>
      <c r="D1" s="705"/>
      <c r="E1" s="705"/>
      <c r="F1" s="705"/>
      <c r="G1" s="705"/>
      <c r="H1" s="705"/>
      <c r="I1" s="705"/>
      <c r="K1" s="298"/>
    </row>
    <row r="2" spans="1:12" ht="20.25" customHeight="1">
      <c r="A2" s="706" t="s">
        <v>427</v>
      </c>
      <c r="B2" s="706"/>
      <c r="C2" s="706"/>
      <c r="D2" s="706"/>
      <c r="E2" s="706"/>
      <c r="F2" s="707" t="str">
        <f>J66&amp;"年度決算現在）"</f>
        <v>2年度決算現在）</v>
      </c>
      <c r="G2" s="707"/>
      <c r="H2" s="297"/>
      <c r="I2" s="297"/>
    </row>
    <row r="3" spans="1:12" ht="13.5" thickBot="1">
      <c r="A3" s="296"/>
      <c r="B3" s="295"/>
      <c r="C3" s="295"/>
      <c r="D3" s="294"/>
      <c r="E3" s="294"/>
      <c r="F3" s="700" t="s">
        <v>426</v>
      </c>
      <c r="G3" s="700"/>
      <c r="H3" s="700"/>
      <c r="I3" s="700"/>
    </row>
    <row r="4" spans="1:12" ht="22.5" customHeight="1">
      <c r="A4" s="293" t="s">
        <v>425</v>
      </c>
      <c r="B4" s="292"/>
      <c r="C4" s="708" t="s">
        <v>424</v>
      </c>
      <c r="D4" s="709"/>
      <c r="E4" s="709"/>
      <c r="F4" s="709"/>
      <c r="G4" s="709"/>
      <c r="H4" s="710"/>
      <c r="I4" s="291" t="s">
        <v>423</v>
      </c>
      <c r="J4" s="726" t="s">
        <v>422</v>
      </c>
    </row>
    <row r="5" spans="1:12" s="283" customFormat="1" ht="24" customHeight="1" thickBot="1">
      <c r="A5" s="290" t="s">
        <v>421</v>
      </c>
      <c r="B5" s="289"/>
      <c r="C5" s="288" t="s">
        <v>420</v>
      </c>
      <c r="D5" s="287" t="s">
        <v>419</v>
      </c>
      <c r="E5" s="287" t="s">
        <v>418</v>
      </c>
      <c r="F5" s="287" t="s">
        <v>417</v>
      </c>
      <c r="G5" s="286" t="s">
        <v>416</v>
      </c>
      <c r="H5" s="285" t="s">
        <v>415</v>
      </c>
      <c r="I5" s="284" t="s">
        <v>414</v>
      </c>
      <c r="J5" s="726"/>
    </row>
    <row r="6" spans="1:12" s="283" customFormat="1" ht="22.5" hidden="1" customHeight="1">
      <c r="A6" s="701">
        <v>3</v>
      </c>
      <c r="B6" s="241" t="s">
        <v>411</v>
      </c>
      <c r="C6" s="277">
        <v>764545</v>
      </c>
      <c r="D6" s="276">
        <v>3203</v>
      </c>
      <c r="E6" s="276">
        <v>730</v>
      </c>
      <c r="F6" s="276">
        <v>409</v>
      </c>
      <c r="G6" s="276">
        <v>277</v>
      </c>
      <c r="H6" s="275">
        <f>SUM(C6:G6)</f>
        <v>769164</v>
      </c>
      <c r="I6" s="703">
        <v>773063</v>
      </c>
      <c r="J6" t="str">
        <f>IF(AND(I6="",I4&lt;&gt;""),A4,"")</f>
        <v/>
      </c>
    </row>
    <row r="7" spans="1:12" ht="22.5" hidden="1" customHeight="1">
      <c r="A7" s="702"/>
      <c r="B7" s="237" t="s">
        <v>410</v>
      </c>
      <c r="C7" s="282">
        <v>98.9</v>
      </c>
      <c r="D7" s="281">
        <v>0.41</v>
      </c>
      <c r="E7" s="281">
        <v>0.1</v>
      </c>
      <c r="F7" s="281">
        <v>0.05</v>
      </c>
      <c r="G7" s="281">
        <f>G6/I6*100</f>
        <v>3.5831491094516228E-2</v>
      </c>
      <c r="H7" s="280">
        <f>H6/I6*100</f>
        <v>99.495642657842893</v>
      </c>
      <c r="I7" s="704"/>
      <c r="K7" s="279"/>
      <c r="L7" s="279"/>
    </row>
    <row r="8" spans="1:12" ht="22.5" hidden="1" customHeight="1">
      <c r="A8" s="701">
        <v>4</v>
      </c>
      <c r="B8" s="241" t="s">
        <v>411</v>
      </c>
      <c r="C8" s="277">
        <v>755803</v>
      </c>
      <c r="D8" s="276">
        <v>4754</v>
      </c>
      <c r="E8" s="276">
        <v>1058</v>
      </c>
      <c r="F8" s="276">
        <v>537</v>
      </c>
      <c r="G8" s="276">
        <v>487</v>
      </c>
      <c r="H8" s="275">
        <f>SUM(C8:G8)</f>
        <v>762639</v>
      </c>
      <c r="I8" s="703">
        <v>768239</v>
      </c>
      <c r="J8" t="str">
        <f>IF(AND(I8="",I6&lt;&gt;""),A6,"")</f>
        <v/>
      </c>
    </row>
    <row r="9" spans="1:12" ht="22.5" hidden="1" customHeight="1">
      <c r="A9" s="711"/>
      <c r="B9" s="249" t="s">
        <v>410</v>
      </c>
      <c r="C9" s="274">
        <v>98.38</v>
      </c>
      <c r="D9" s="278">
        <v>0.62</v>
      </c>
      <c r="E9" s="278">
        <v>0.14000000000000001</v>
      </c>
      <c r="F9" s="278">
        <v>7.0000000000000007E-2</v>
      </c>
      <c r="G9" s="273">
        <v>0.06</v>
      </c>
      <c r="H9" s="272">
        <f>H8/I8*100</f>
        <v>99.27106017788735</v>
      </c>
      <c r="I9" s="704"/>
    </row>
    <row r="10" spans="1:12" ht="22.5" hidden="1" customHeight="1">
      <c r="A10" s="701">
        <v>5</v>
      </c>
      <c r="B10" s="241" t="s">
        <v>411</v>
      </c>
      <c r="C10" s="277">
        <v>721279</v>
      </c>
      <c r="D10" s="276">
        <v>5485</v>
      </c>
      <c r="E10" s="276">
        <v>1422</v>
      </c>
      <c r="F10" s="276">
        <v>724</v>
      </c>
      <c r="G10" s="276">
        <v>402</v>
      </c>
      <c r="H10" s="275">
        <f>SUM(C10:G10)</f>
        <v>729312</v>
      </c>
      <c r="I10" s="703">
        <v>735275</v>
      </c>
      <c r="J10" t="str">
        <f>IF(AND(I10="",I8&lt;&gt;""),A8,"")</f>
        <v/>
      </c>
    </row>
    <row r="11" spans="1:12" ht="22.5" hidden="1" customHeight="1">
      <c r="A11" s="711"/>
      <c r="B11" s="249" t="s">
        <v>410</v>
      </c>
      <c r="C11" s="274">
        <v>98.1</v>
      </c>
      <c r="D11" s="278">
        <v>0.75</v>
      </c>
      <c r="E11" s="278">
        <v>0.19</v>
      </c>
      <c r="F11" s="273">
        <v>0.09</v>
      </c>
      <c r="G11" s="273">
        <v>0.06</v>
      </c>
      <c r="H11" s="272">
        <f>H10/I10*100</f>
        <v>99.18901091428377</v>
      </c>
      <c r="I11" s="704"/>
    </row>
    <row r="12" spans="1:12" s="283" customFormat="1" ht="22.5" hidden="1" customHeight="1">
      <c r="A12" s="701">
        <v>6</v>
      </c>
      <c r="B12" s="241" t="s">
        <v>411</v>
      </c>
      <c r="C12" s="277">
        <v>696932</v>
      </c>
      <c r="D12" s="276">
        <v>5557</v>
      </c>
      <c r="E12" s="276">
        <v>1540</v>
      </c>
      <c r="F12" s="276">
        <v>921</v>
      </c>
      <c r="G12" s="276">
        <v>356</v>
      </c>
      <c r="H12" s="275">
        <f>SUM(C12:G12)</f>
        <v>705306</v>
      </c>
      <c r="I12" s="703">
        <v>711837</v>
      </c>
      <c r="J12" t="str">
        <f>IF(AND(I12="",I10&lt;&gt;""),A10,"")</f>
        <v/>
      </c>
    </row>
    <row r="13" spans="1:12" ht="22.5" hidden="1" customHeight="1">
      <c r="A13" s="702"/>
      <c r="B13" s="237" t="s">
        <v>410</v>
      </c>
      <c r="C13" s="282">
        <v>97.91</v>
      </c>
      <c r="D13" s="281">
        <v>0.78</v>
      </c>
      <c r="E13" s="281">
        <v>0.21</v>
      </c>
      <c r="F13" s="281">
        <v>0.13</v>
      </c>
      <c r="G13" s="281">
        <v>0.05</v>
      </c>
      <c r="H13" s="280">
        <f>H12/I12*100</f>
        <v>99.082514676815066</v>
      </c>
      <c r="I13" s="704"/>
      <c r="K13" s="279"/>
      <c r="L13" s="279"/>
    </row>
    <row r="14" spans="1:12" ht="22.5" hidden="1" customHeight="1">
      <c r="A14" s="701">
        <v>7</v>
      </c>
      <c r="B14" s="241" t="s">
        <v>411</v>
      </c>
      <c r="C14" s="277">
        <v>727321</v>
      </c>
      <c r="D14" s="276">
        <v>5917</v>
      </c>
      <c r="E14" s="276">
        <v>1784</v>
      </c>
      <c r="F14" s="276">
        <v>769</v>
      </c>
      <c r="G14" s="276">
        <v>416</v>
      </c>
      <c r="H14" s="275">
        <f>SUM(C14:G14)</f>
        <v>736207</v>
      </c>
      <c r="I14" s="703">
        <v>743431</v>
      </c>
      <c r="J14" t="str">
        <f>IF(AND(I14="",I12&lt;&gt;""),A12,"")</f>
        <v/>
      </c>
    </row>
    <row r="15" spans="1:12" ht="22.5" hidden="1" customHeight="1">
      <c r="A15" s="711"/>
      <c r="B15" s="249" t="s">
        <v>410</v>
      </c>
      <c r="C15" s="274">
        <v>97.83</v>
      </c>
      <c r="D15" s="278">
        <v>0.8</v>
      </c>
      <c r="E15" s="278">
        <v>0.24</v>
      </c>
      <c r="F15" s="278">
        <v>0.1</v>
      </c>
      <c r="G15" s="273">
        <v>0.06</v>
      </c>
      <c r="H15" s="272">
        <f>H14/I14*100</f>
        <v>99.028289108202372</v>
      </c>
      <c r="I15" s="704"/>
    </row>
    <row r="16" spans="1:12" ht="22.5" hidden="1" customHeight="1">
      <c r="A16" s="701">
        <v>8</v>
      </c>
      <c r="B16" s="241" t="s">
        <v>411</v>
      </c>
      <c r="C16" s="277">
        <v>768725</v>
      </c>
      <c r="D16" s="276">
        <v>5803</v>
      </c>
      <c r="E16" s="276">
        <v>1680</v>
      </c>
      <c r="F16" s="276">
        <v>720</v>
      </c>
      <c r="G16" s="276">
        <v>324</v>
      </c>
      <c r="H16" s="275">
        <f>SUM(C16:G16)</f>
        <v>777252</v>
      </c>
      <c r="I16" s="703">
        <v>784886</v>
      </c>
      <c r="J16" t="str">
        <f>IF(AND(I16="",I14&lt;&gt;""),A14,"")</f>
        <v/>
      </c>
    </row>
    <row r="17" spans="1:12" ht="22.5" hidden="1" customHeight="1">
      <c r="A17" s="711"/>
      <c r="B17" s="249" t="s">
        <v>410</v>
      </c>
      <c r="C17" s="274">
        <v>97.94</v>
      </c>
      <c r="D17" s="278">
        <v>0.74</v>
      </c>
      <c r="E17" s="278">
        <v>0.21</v>
      </c>
      <c r="F17" s="273">
        <v>0.09</v>
      </c>
      <c r="G17" s="273">
        <v>0.04</v>
      </c>
      <c r="H17" s="272">
        <f>H16/I16*100</f>
        <v>99.027374676067609</v>
      </c>
      <c r="I17" s="704"/>
    </row>
    <row r="18" spans="1:12" ht="22.5" hidden="1" customHeight="1">
      <c r="A18" s="701">
        <v>9</v>
      </c>
      <c r="B18" s="241" t="s">
        <v>411</v>
      </c>
      <c r="C18" s="277">
        <v>765884</v>
      </c>
      <c r="D18" s="276">
        <v>5759</v>
      </c>
      <c r="E18" s="276">
        <v>1760</v>
      </c>
      <c r="F18" s="276">
        <v>755</v>
      </c>
      <c r="G18" s="276">
        <v>453</v>
      </c>
      <c r="H18" s="275">
        <f>SUM(C18:G18)</f>
        <v>774611</v>
      </c>
      <c r="I18" s="703">
        <v>782786</v>
      </c>
      <c r="J18" t="str">
        <f>IF(AND(I18="",I16&lt;&gt;""),A16,"")</f>
        <v/>
      </c>
    </row>
    <row r="19" spans="1:12" ht="22.5" hidden="1" customHeight="1">
      <c r="A19" s="711"/>
      <c r="B19" s="249" t="s">
        <v>410</v>
      </c>
      <c r="C19" s="274">
        <v>97.84</v>
      </c>
      <c r="D19" s="278">
        <v>0.74</v>
      </c>
      <c r="E19" s="273">
        <v>0.22</v>
      </c>
      <c r="F19" s="273">
        <v>0.1</v>
      </c>
      <c r="G19" s="273">
        <v>0.06</v>
      </c>
      <c r="H19" s="272">
        <f>H18/I18*100</f>
        <v>98.955653269220463</v>
      </c>
      <c r="I19" s="704"/>
    </row>
    <row r="20" spans="1:12" ht="22.5" hidden="1" customHeight="1">
      <c r="A20" s="701">
        <v>10</v>
      </c>
      <c r="B20" s="241" t="s">
        <v>413</v>
      </c>
      <c r="C20" s="277">
        <v>729633</v>
      </c>
      <c r="D20" s="276">
        <v>6320</v>
      </c>
      <c r="E20" s="276">
        <v>1734</v>
      </c>
      <c r="F20" s="276">
        <v>816</v>
      </c>
      <c r="G20" s="276">
        <v>484</v>
      </c>
      <c r="H20" s="275">
        <f>SUM(C20:G20)</f>
        <v>738987</v>
      </c>
      <c r="I20" s="703">
        <v>746923</v>
      </c>
      <c r="J20" t="str">
        <f>IF(AND(I20="",I18&lt;&gt;""),A18,"")</f>
        <v/>
      </c>
    </row>
    <row r="21" spans="1:12" ht="22.5" hidden="1" customHeight="1">
      <c r="A21" s="711"/>
      <c r="B21" s="249" t="s">
        <v>410</v>
      </c>
      <c r="C21" s="274">
        <v>97.69</v>
      </c>
      <c r="D21" s="273">
        <v>0.85</v>
      </c>
      <c r="E21" s="273">
        <v>0.23</v>
      </c>
      <c r="F21" s="273">
        <v>0.11</v>
      </c>
      <c r="G21" s="273">
        <v>0.06</v>
      </c>
      <c r="H21" s="272">
        <f>H20/I20*100</f>
        <v>98.937507614573391</v>
      </c>
      <c r="I21" s="704"/>
    </row>
    <row r="22" spans="1:12" s="283" customFormat="1" ht="22.5" hidden="1" customHeight="1">
      <c r="A22" s="701">
        <v>11</v>
      </c>
      <c r="B22" s="241" t="s">
        <v>411</v>
      </c>
      <c r="C22" s="277">
        <v>703134</v>
      </c>
      <c r="D22" s="276">
        <v>5285</v>
      </c>
      <c r="E22" s="276">
        <v>1502</v>
      </c>
      <c r="F22" s="276">
        <v>822</v>
      </c>
      <c r="G22" s="276">
        <v>614</v>
      </c>
      <c r="H22" s="275">
        <f>SUM(C22:G22)</f>
        <v>711357</v>
      </c>
      <c r="I22" s="703">
        <v>719232</v>
      </c>
      <c r="J22" t="str">
        <f>IF(AND(I22="",I20&lt;&gt;""),A20,"")</f>
        <v/>
      </c>
    </row>
    <row r="23" spans="1:12" ht="22.5" hidden="1" customHeight="1">
      <c r="A23" s="702"/>
      <c r="B23" s="237" t="s">
        <v>410</v>
      </c>
      <c r="C23" s="282">
        <v>97.76</v>
      </c>
      <c r="D23" s="281">
        <f>D22/I22*100</f>
        <v>0.73481157679302367</v>
      </c>
      <c r="E23" s="281">
        <f>E22/I22*100</f>
        <v>0.20883386723616304</v>
      </c>
      <c r="F23" s="281">
        <f>F22/I22*100</f>
        <v>0.11428857447944474</v>
      </c>
      <c r="G23" s="281">
        <f>G22/I22*100</f>
        <v>8.5368837871507383E-2</v>
      </c>
      <c r="H23" s="280">
        <f>H22/I22*100</f>
        <v>98.905082087560061</v>
      </c>
      <c r="I23" s="704"/>
      <c r="K23" s="279"/>
      <c r="L23" s="279"/>
    </row>
    <row r="24" spans="1:12" ht="22.5" hidden="1" customHeight="1">
      <c r="A24" s="701">
        <v>12</v>
      </c>
      <c r="B24" s="241" t="s">
        <v>411</v>
      </c>
      <c r="C24" s="277">
        <v>677946</v>
      </c>
      <c r="D24" s="276">
        <v>4770</v>
      </c>
      <c r="E24" s="276">
        <v>1562</v>
      </c>
      <c r="F24" s="276">
        <v>957</v>
      </c>
      <c r="G24" s="276">
        <v>543</v>
      </c>
      <c r="H24" s="275">
        <f>SUM(C24:G24)</f>
        <v>685778</v>
      </c>
      <c r="I24" s="703">
        <v>692413</v>
      </c>
      <c r="J24" t="str">
        <f>IF(AND(I24="",I22&lt;&gt;""),A22,"")</f>
        <v/>
      </c>
    </row>
    <row r="25" spans="1:12" ht="22.5" hidden="1" customHeight="1">
      <c r="A25" s="711"/>
      <c r="B25" s="249" t="s">
        <v>410</v>
      </c>
      <c r="C25" s="274">
        <f>C24/I24*100</f>
        <v>97.910640037087688</v>
      </c>
      <c r="D25" s="278">
        <f>D24/I24*100</f>
        <v>0.68889521138395726</v>
      </c>
      <c r="E25" s="278">
        <f>E24/I24*100</f>
        <v>0.22558790779491431</v>
      </c>
      <c r="F25" s="278">
        <f>F24/I24*100</f>
        <v>0.13821230970533482</v>
      </c>
      <c r="G25" s="273">
        <f>G24/I24*100</f>
        <v>7.8421404566349856E-2</v>
      </c>
      <c r="H25" s="272">
        <f>H24/I24*100</f>
        <v>99.041756870538251</v>
      </c>
      <c r="I25" s="704"/>
    </row>
    <row r="26" spans="1:12" ht="22.5" hidden="1" customHeight="1">
      <c r="A26" s="701">
        <v>13</v>
      </c>
      <c r="B26" s="241" t="s">
        <v>411</v>
      </c>
      <c r="C26" s="277">
        <v>657520</v>
      </c>
      <c r="D26" s="276">
        <v>4707</v>
      </c>
      <c r="E26" s="276">
        <v>1664</v>
      </c>
      <c r="F26" s="276">
        <v>865</v>
      </c>
      <c r="G26" s="276">
        <v>508</v>
      </c>
      <c r="H26" s="275">
        <f>SUM(C26:G26)</f>
        <v>665264</v>
      </c>
      <c r="I26" s="703">
        <v>670946</v>
      </c>
      <c r="J26" t="str">
        <f>IF(AND(I26="",I24&lt;&gt;""),A24,"")</f>
        <v/>
      </c>
    </row>
    <row r="27" spans="1:12" ht="22.5" hidden="1" customHeight="1">
      <c r="A27" s="711"/>
      <c r="B27" s="249" t="s">
        <v>410</v>
      </c>
      <c r="C27" s="274">
        <f>C26/I26*100</f>
        <v>97.998944773498906</v>
      </c>
      <c r="D27" s="278">
        <f>D26/I26*100</f>
        <v>0.70154677127518461</v>
      </c>
      <c r="E27" s="278">
        <f>E26/I26*100</f>
        <v>0.24800803641425689</v>
      </c>
      <c r="F27" s="273">
        <f>F26/I26*100</f>
        <v>0.12892244681390158</v>
      </c>
      <c r="G27" s="273">
        <f>G26/I26*100</f>
        <v>7.5713991886083229E-2</v>
      </c>
      <c r="H27" s="272">
        <f>H26/I26*100</f>
        <v>99.153136019888336</v>
      </c>
      <c r="I27" s="704"/>
    </row>
    <row r="28" spans="1:12" ht="22.5" hidden="1" customHeight="1">
      <c r="A28" s="701">
        <v>14</v>
      </c>
      <c r="B28" s="241" t="s">
        <v>411</v>
      </c>
      <c r="C28" s="277">
        <v>626827</v>
      </c>
      <c r="D28" s="276">
        <v>4818</v>
      </c>
      <c r="E28" s="276">
        <v>1550</v>
      </c>
      <c r="F28" s="276">
        <v>696</v>
      </c>
      <c r="G28" s="276">
        <v>445</v>
      </c>
      <c r="H28" s="275">
        <f>SUM(C28:G28)</f>
        <v>634336</v>
      </c>
      <c r="I28" s="703">
        <v>639566</v>
      </c>
      <c r="J28" t="str">
        <f>IF(AND(I28="",I26&lt;&gt;""),A26,"")</f>
        <v/>
      </c>
    </row>
    <row r="29" spans="1:12" ht="22.5" hidden="1" customHeight="1">
      <c r="A29" s="711"/>
      <c r="B29" s="249" t="s">
        <v>410</v>
      </c>
      <c r="C29" s="274">
        <f>C28/I28*100</f>
        <v>98.008180547433739</v>
      </c>
      <c r="D29" s="278">
        <f>D28/I28*100</f>
        <v>0.75332334739495221</v>
      </c>
      <c r="E29" s="273">
        <f>E28/I28*100</f>
        <v>0.24235184484478539</v>
      </c>
      <c r="F29" s="273">
        <f>F28/I28*100</f>
        <v>0.10882379613675523</v>
      </c>
      <c r="G29" s="273">
        <f>G28/I28*100</f>
        <v>6.957843287479322E-2</v>
      </c>
      <c r="H29" s="272">
        <f>H28/I28*100</f>
        <v>99.182257968685022</v>
      </c>
      <c r="I29" s="704"/>
    </row>
    <row r="30" spans="1:12" ht="22.5" hidden="1" customHeight="1">
      <c r="A30" s="701">
        <v>15</v>
      </c>
      <c r="B30" s="241" t="s">
        <v>411</v>
      </c>
      <c r="C30" s="277">
        <v>604217</v>
      </c>
      <c r="D30" s="276">
        <v>4169</v>
      </c>
      <c r="E30" s="276">
        <v>1301</v>
      </c>
      <c r="F30" s="276">
        <v>682</v>
      </c>
      <c r="G30" s="276">
        <v>379</v>
      </c>
      <c r="H30" s="275">
        <f>SUM(C30:G30)</f>
        <v>610748</v>
      </c>
      <c r="I30" s="703">
        <v>614721</v>
      </c>
      <c r="J30" t="str">
        <f>IF(AND(I30="",I28&lt;&gt;""),A28,"")</f>
        <v/>
      </c>
    </row>
    <row r="31" spans="1:12" ht="23.25" hidden="1" customHeight="1">
      <c r="A31" s="711"/>
      <c r="B31" s="249" t="s">
        <v>410</v>
      </c>
      <c r="C31" s="274">
        <f>C30/I30*100</f>
        <v>98.291257334628241</v>
      </c>
      <c r="D31" s="273">
        <f>D30/I30*100</f>
        <v>0.67819384729007148</v>
      </c>
      <c r="E31" s="273">
        <f>E30/I30*100</f>
        <v>0.21164072807013262</v>
      </c>
      <c r="F31" s="273">
        <f>F30/I30*100</f>
        <v>0.11094463992608028</v>
      </c>
      <c r="G31" s="273">
        <f>G30/I30*100</f>
        <v>6.1653986117279222E-2</v>
      </c>
      <c r="H31" s="272">
        <f>H30/I30*100</f>
        <v>99.353690536031792</v>
      </c>
      <c r="I31" s="704"/>
    </row>
    <row r="32" spans="1:12" ht="22.5" hidden="1" customHeight="1">
      <c r="A32" s="701">
        <v>16</v>
      </c>
      <c r="B32" s="241" t="s">
        <v>411</v>
      </c>
      <c r="C32" s="245">
        <v>610454</v>
      </c>
      <c r="D32" s="259">
        <v>3894</v>
      </c>
      <c r="E32" s="259">
        <v>1178</v>
      </c>
      <c r="F32" s="259">
        <v>558</v>
      </c>
      <c r="G32" s="259">
        <v>294</v>
      </c>
      <c r="H32" s="258">
        <f>SUM(C32:G32)</f>
        <v>616378</v>
      </c>
      <c r="I32" s="713">
        <v>619678</v>
      </c>
      <c r="J32" t="str">
        <f>IF(AND(I32="",I30&lt;&gt;""),A30,"")</f>
        <v/>
      </c>
    </row>
    <row r="33" spans="1:10" ht="22.5" hidden="1" customHeight="1">
      <c r="A33" s="712"/>
      <c r="B33" s="249" t="s">
        <v>410</v>
      </c>
      <c r="C33" s="271">
        <f>C32/I32*100</f>
        <v>98.51148499704685</v>
      </c>
      <c r="D33" s="239">
        <f>D32/I32*100</f>
        <v>0.62839087397002957</v>
      </c>
      <c r="E33" s="239">
        <f>E32/I32*100</f>
        <v>0.19009872869458008</v>
      </c>
      <c r="F33" s="239">
        <f>F32/I32*100</f>
        <v>9.0046766223748465E-2</v>
      </c>
      <c r="G33" s="268">
        <f>G32/I32*100</f>
        <v>4.7443995107136289E-2</v>
      </c>
      <c r="H33" s="260">
        <f>H32/I32*100</f>
        <v>99.467465361042358</v>
      </c>
      <c r="I33" s="714"/>
    </row>
    <row r="34" spans="1:10" ht="22.5" hidden="1" customHeight="1">
      <c r="A34" s="701">
        <v>17</v>
      </c>
      <c r="B34" s="241" t="s">
        <v>411</v>
      </c>
      <c r="C34" s="267">
        <v>621308</v>
      </c>
      <c r="D34" s="266">
        <v>3634</v>
      </c>
      <c r="E34" s="266">
        <v>1046</v>
      </c>
      <c r="F34" s="266">
        <v>519</v>
      </c>
      <c r="G34" s="259">
        <v>308</v>
      </c>
      <c r="H34" s="258">
        <f>SUM(C34:G34)</f>
        <v>626815</v>
      </c>
      <c r="I34" s="713">
        <v>629682</v>
      </c>
      <c r="J34" t="str">
        <f>IF(AND(I34="",I32&lt;&gt;""),A32,"")</f>
        <v/>
      </c>
    </row>
    <row r="35" spans="1:10" ht="22.5" hidden="1" customHeight="1">
      <c r="A35" s="712"/>
      <c r="B35" s="249" t="s">
        <v>410</v>
      </c>
      <c r="C35" s="270">
        <f>C34/I34*100</f>
        <v>98.670122379232694</v>
      </c>
      <c r="D35" s="269">
        <f>D34/I34*100</f>
        <v>0.57711670335185061</v>
      </c>
      <c r="E35" s="269">
        <f>E34/I34*100</f>
        <v>0.16611559485581612</v>
      </c>
      <c r="F35" s="269">
        <f>F34/I34*100</f>
        <v>8.2422556147388679E-2</v>
      </c>
      <c r="G35" s="268">
        <f>G34/I34*100</f>
        <v>4.8913578599991743E-2</v>
      </c>
      <c r="H35" s="260">
        <f>H34/I34*100</f>
        <v>99.544690812187739</v>
      </c>
      <c r="I35" s="714"/>
    </row>
    <row r="36" spans="1:10" ht="22.5" hidden="1" customHeight="1">
      <c r="A36" s="701">
        <v>18</v>
      </c>
      <c r="B36" s="241" t="s">
        <v>411</v>
      </c>
      <c r="C36" s="267">
        <v>645520</v>
      </c>
      <c r="D36" s="266">
        <v>3105</v>
      </c>
      <c r="E36" s="266">
        <v>1013</v>
      </c>
      <c r="F36" s="259">
        <v>472</v>
      </c>
      <c r="G36" s="259">
        <f>'[3]22②'!H5</f>
        <v>348</v>
      </c>
      <c r="H36" s="258">
        <f>SUM(C36:G36)</f>
        <v>650458</v>
      </c>
      <c r="I36" s="713">
        <v>653362</v>
      </c>
      <c r="J36" t="str">
        <f>IF(AND(I36="",I34&lt;&gt;""),A34,"")</f>
        <v/>
      </c>
    </row>
    <row r="37" spans="1:10" ht="22.5" hidden="1" customHeight="1">
      <c r="A37" s="712"/>
      <c r="B37" s="249" t="s">
        <v>410</v>
      </c>
      <c r="C37" s="270">
        <f>C36/I36*100</f>
        <v>98.79974654173337</v>
      </c>
      <c r="D37" s="269">
        <f>D36/I36*100</f>
        <v>0.47523424992576851</v>
      </c>
      <c r="E37" s="269">
        <f>E36/I36*100</f>
        <v>0.15504421744760177</v>
      </c>
      <c r="F37" s="268">
        <f>IF(F36="","",F36/$I$36*100)</f>
        <v>7.2241728169070124E-2</v>
      </c>
      <c r="G37" s="268">
        <f>IF(G36="","",G36/$I$36*100)</f>
        <v>5.3262969073805948E-2</v>
      </c>
      <c r="H37" s="260">
        <f>H36/I36*100</f>
        <v>99.555529706349617</v>
      </c>
      <c r="I37" s="714"/>
    </row>
    <row r="38" spans="1:10" ht="22.5" hidden="1" customHeight="1">
      <c r="A38" s="701">
        <v>19</v>
      </c>
      <c r="B38" s="241" t="s">
        <v>411</v>
      </c>
      <c r="C38" s="267">
        <v>672059</v>
      </c>
      <c r="D38" s="266">
        <v>3402</v>
      </c>
      <c r="E38" s="259">
        <v>1130</v>
      </c>
      <c r="F38" s="259">
        <f>'[3]22②'!H6</f>
        <v>735</v>
      </c>
      <c r="G38" s="259">
        <f>'[3]23②'!H5</f>
        <v>468</v>
      </c>
      <c r="H38" s="258">
        <f>SUM(C38:G38)</f>
        <v>677794</v>
      </c>
      <c r="I38" s="713">
        <v>681324</v>
      </c>
      <c r="J38" t="str">
        <f>IF(AND(I38="",I36&lt;&gt;""),A36,"")</f>
        <v/>
      </c>
    </row>
    <row r="39" spans="1:10" ht="22.5" hidden="1" customHeight="1">
      <c r="A39" s="711"/>
      <c r="B39" s="241" t="s">
        <v>410</v>
      </c>
      <c r="C39" s="240">
        <f>IF(C38="","",C38/$I$38*100)</f>
        <v>98.640147712395276</v>
      </c>
      <c r="D39" s="265">
        <f>IF(D38="","",D38/$I$38*100)</f>
        <v>0.49932190851929475</v>
      </c>
      <c r="E39" s="265">
        <f>IF(E38="","",E38/$I$38*100)</f>
        <v>0.16585354398201149</v>
      </c>
      <c r="F39" s="265">
        <f>IF(F38="","",F38/$I$38*100)</f>
        <v>0.10787819011219332</v>
      </c>
      <c r="G39" s="265">
        <f>IF(G38="","",G38/$I$38*100)</f>
        <v>6.8689786357151658E-2</v>
      </c>
      <c r="H39" s="264">
        <f>H38/I38*100</f>
        <v>99.481891141365935</v>
      </c>
      <c r="I39" s="722"/>
    </row>
    <row r="40" spans="1:10" ht="22.5" hidden="1" customHeight="1">
      <c r="A40" s="715">
        <v>20</v>
      </c>
      <c r="B40" s="237" t="s">
        <v>411</v>
      </c>
      <c r="C40" s="263">
        <v>664784</v>
      </c>
      <c r="D40" s="254">
        <v>3478</v>
      </c>
      <c r="E40" s="254">
        <f>'[3]22②'!H7</f>
        <v>1337</v>
      </c>
      <c r="F40" s="254">
        <f>'[3]23②'!H6</f>
        <v>750</v>
      </c>
      <c r="G40" s="253">
        <f>'[3]24②'!H5</f>
        <v>506</v>
      </c>
      <c r="H40" s="252">
        <f>SUM(C40:G40)</f>
        <v>670855</v>
      </c>
      <c r="I40" s="717">
        <v>674493</v>
      </c>
      <c r="J40" t="str">
        <f>IF(AND(I40="",I38&lt;&gt;""),A38,"")</f>
        <v/>
      </c>
    </row>
    <row r="41" spans="1:10" ht="22.5" hidden="1" customHeight="1" thickBot="1">
      <c r="A41" s="716"/>
      <c r="B41" s="233" t="s">
        <v>410</v>
      </c>
      <c r="C41" s="232">
        <f>IF(C40="","",C40/$I$40*100)</f>
        <v>98.560548441570177</v>
      </c>
      <c r="D41" s="262">
        <f>IF(D40="","",D40/$I$40*100)</f>
        <v>0.51564656712523327</v>
      </c>
      <c r="E41" s="262">
        <f>IF(E40="","",E40/$I$40*100)</f>
        <v>0.19822296154296637</v>
      </c>
      <c r="F41" s="262">
        <f>IF(F40="","",F40/$I$40*100)</f>
        <v>0.11119463063367595</v>
      </c>
      <c r="G41" s="262">
        <f>IF(G40="","",G40/$I$40*100)</f>
        <v>7.5019310800853375E-2</v>
      </c>
      <c r="H41" s="261">
        <f>H40/I40*100</f>
        <v>99.46063191167292</v>
      </c>
      <c r="I41" s="718"/>
    </row>
    <row r="42" spans="1:10" ht="22.5" customHeight="1">
      <c r="A42" s="701">
        <v>21</v>
      </c>
      <c r="B42" s="237" t="s">
        <v>411</v>
      </c>
      <c r="C42" s="255">
        <v>617600</v>
      </c>
      <c r="D42" s="254">
        <v>3466</v>
      </c>
      <c r="E42" s="254">
        <v>1276</v>
      </c>
      <c r="F42" s="254">
        <v>723</v>
      </c>
      <c r="G42" s="254">
        <v>482</v>
      </c>
      <c r="H42" s="258">
        <v>623547</v>
      </c>
      <c r="I42" s="719">
        <v>627167</v>
      </c>
      <c r="J42" t="str">
        <f>IF(AND(I42="",I40&lt;&gt;""),A40,"")</f>
        <v/>
      </c>
    </row>
    <row r="43" spans="1:10" ht="22.5" customHeight="1" thickBot="1">
      <c r="A43" s="712"/>
      <c r="B43" s="249" t="s">
        <v>410</v>
      </c>
      <c r="C43" s="240">
        <v>98.474568974451785</v>
      </c>
      <c r="D43" s="239">
        <v>0.55264387316296937</v>
      </c>
      <c r="E43" s="239">
        <v>0.20345458227234531</v>
      </c>
      <c r="F43" s="239">
        <v>0.11528030014334299</v>
      </c>
      <c r="G43" s="239">
        <v>7.6853533428895338E-2</v>
      </c>
      <c r="H43" s="260">
        <v>99.422801263459334</v>
      </c>
      <c r="I43" s="717"/>
    </row>
    <row r="44" spans="1:10" ht="22.5" customHeight="1">
      <c r="A44" s="723">
        <v>22</v>
      </c>
      <c r="B44" s="241" t="s">
        <v>411</v>
      </c>
      <c r="C44" s="245">
        <v>619504</v>
      </c>
      <c r="D44" s="257">
        <v>3260</v>
      </c>
      <c r="E44" s="251">
        <v>1079</v>
      </c>
      <c r="F44" s="251">
        <v>598</v>
      </c>
      <c r="G44" s="251">
        <v>270</v>
      </c>
      <c r="H44" s="250">
        <v>624711</v>
      </c>
      <c r="I44" s="719">
        <v>627558</v>
      </c>
    </row>
    <row r="45" spans="1:10" ht="22.5" customHeight="1" thickBot="1">
      <c r="A45" s="721"/>
      <c r="B45" s="241" t="s">
        <v>410</v>
      </c>
      <c r="C45" s="240">
        <v>98.716612647755269</v>
      </c>
      <c r="D45" s="239">
        <v>0.51947389723340309</v>
      </c>
      <c r="E45" s="239">
        <v>0.17193629911498221</v>
      </c>
      <c r="F45" s="239">
        <v>9.5289997099869655E-2</v>
      </c>
      <c r="G45" s="239">
        <v>4.3023911734054857E-2</v>
      </c>
      <c r="H45" s="238">
        <v>99.546336752937577</v>
      </c>
      <c r="I45" s="717"/>
    </row>
    <row r="46" spans="1:10" ht="22.5" customHeight="1">
      <c r="A46" s="715">
        <v>23</v>
      </c>
      <c r="B46" s="237" t="s">
        <v>411</v>
      </c>
      <c r="C46" s="255">
        <v>629609</v>
      </c>
      <c r="D46" s="254">
        <v>2891</v>
      </c>
      <c r="E46" s="254">
        <v>942</v>
      </c>
      <c r="F46" s="254">
        <v>388</v>
      </c>
      <c r="G46" s="251">
        <v>271</v>
      </c>
      <c r="H46" s="252">
        <v>634101</v>
      </c>
      <c r="I46" s="719">
        <v>636694</v>
      </c>
    </row>
    <row r="47" spans="1:10" ht="22.5" customHeight="1" thickBot="1">
      <c r="A47" s="712"/>
      <c r="B47" s="249" t="s">
        <v>410</v>
      </c>
      <c r="C47" s="240">
        <v>98.88722054864661</v>
      </c>
      <c r="D47" s="239">
        <v>0.45406427577454794</v>
      </c>
      <c r="E47" s="239">
        <v>0.14795176332743831</v>
      </c>
      <c r="F47" s="239">
        <v>6.0939792113637009E-2</v>
      </c>
      <c r="G47" s="239">
        <v>4.25636176876176E-2</v>
      </c>
      <c r="H47" s="238">
        <v>99.592739997549842</v>
      </c>
      <c r="I47" s="717"/>
    </row>
    <row r="48" spans="1:10" ht="22.5" customHeight="1">
      <c r="A48" s="723">
        <v>24</v>
      </c>
      <c r="B48" s="241" t="s">
        <v>411</v>
      </c>
      <c r="C48" s="255">
        <v>621099</v>
      </c>
      <c r="D48" s="251">
        <v>2485</v>
      </c>
      <c r="E48" s="251">
        <v>695</v>
      </c>
      <c r="F48" s="251">
        <v>408</v>
      </c>
      <c r="G48" s="251">
        <v>202</v>
      </c>
      <c r="H48" s="250">
        <v>624889</v>
      </c>
      <c r="I48" s="719">
        <v>627027</v>
      </c>
    </row>
    <row r="49" spans="1:10" ht="22.5" customHeight="1">
      <c r="A49" s="721"/>
      <c r="B49" s="241" t="s">
        <v>410</v>
      </c>
      <c r="C49" s="240">
        <v>99.054586166145953</v>
      </c>
      <c r="D49" s="239">
        <v>0.39631467225494271</v>
      </c>
      <c r="E49" s="239">
        <v>0.11084052201898803</v>
      </c>
      <c r="F49" s="239">
        <v>7.0000000000000007E-2</v>
      </c>
      <c r="G49" s="239">
        <v>3.2215518629979248E-2</v>
      </c>
      <c r="H49" s="238">
        <v>99.659025847371808</v>
      </c>
      <c r="I49" s="717"/>
    </row>
    <row r="50" spans="1:10" ht="22.5" customHeight="1">
      <c r="A50" s="723">
        <v>25</v>
      </c>
      <c r="B50" s="241" t="s">
        <v>411</v>
      </c>
      <c r="C50" s="245">
        <v>636500</v>
      </c>
      <c r="D50" s="251">
        <v>2133</v>
      </c>
      <c r="E50" s="251">
        <v>740</v>
      </c>
      <c r="F50" s="251">
        <v>351</v>
      </c>
      <c r="G50" s="251">
        <v>178</v>
      </c>
      <c r="H50" s="250">
        <v>639902</v>
      </c>
      <c r="I50" s="720">
        <v>641765</v>
      </c>
    </row>
    <row r="51" spans="1:10" ht="22.5" customHeight="1">
      <c r="A51" s="721"/>
      <c r="B51" s="241" t="s">
        <v>410</v>
      </c>
      <c r="C51" s="240">
        <v>99.17960624216029</v>
      </c>
      <c r="D51" s="239">
        <v>0.33236465061198411</v>
      </c>
      <c r="E51" s="239">
        <v>0.11530700490054771</v>
      </c>
      <c r="F51" s="239">
        <v>5.4692917189313843E-2</v>
      </c>
      <c r="G51" s="239">
        <v>2.7736009286888505E-2</v>
      </c>
      <c r="H51" s="238">
        <v>99.709706824149023</v>
      </c>
      <c r="I51" s="720"/>
    </row>
    <row r="52" spans="1:10" ht="22.5" customHeight="1">
      <c r="A52" s="701">
        <v>26</v>
      </c>
      <c r="B52" s="241" t="s">
        <v>411</v>
      </c>
      <c r="C52" s="245">
        <v>655221</v>
      </c>
      <c r="D52" s="259">
        <v>2134</v>
      </c>
      <c r="E52" s="259">
        <v>750</v>
      </c>
      <c r="F52" s="259">
        <v>352</v>
      </c>
      <c r="G52" s="259">
        <v>171</v>
      </c>
      <c r="H52" s="258">
        <v>658628</v>
      </c>
      <c r="I52" s="720">
        <v>660105</v>
      </c>
    </row>
    <row r="53" spans="1:10" ht="22.5" customHeight="1">
      <c r="A53" s="711"/>
      <c r="B53" s="241" t="s">
        <v>410</v>
      </c>
      <c r="C53" s="240">
        <v>99.260117708546375</v>
      </c>
      <c r="D53" s="239">
        <v>0.32328190212163216</v>
      </c>
      <c r="E53" s="239">
        <v>0.11361828799963643</v>
      </c>
      <c r="F53" s="239">
        <v>5.3324849834496028E-2</v>
      </c>
      <c r="G53" s="239">
        <v>2.5904969663917105E-2</v>
      </c>
      <c r="H53" s="238">
        <v>99.776247718166047</v>
      </c>
      <c r="I53" s="720"/>
    </row>
    <row r="54" spans="1:10" ht="22.5" customHeight="1">
      <c r="A54" s="702">
        <v>27</v>
      </c>
      <c r="B54" s="237" t="s">
        <v>411</v>
      </c>
      <c r="C54" s="245">
        <v>655980</v>
      </c>
      <c r="D54" s="257">
        <v>1988</v>
      </c>
      <c r="E54" s="257">
        <v>643</v>
      </c>
      <c r="F54" s="257">
        <v>267</v>
      </c>
      <c r="G54" s="257">
        <v>150</v>
      </c>
      <c r="H54" s="256">
        <v>659028</v>
      </c>
      <c r="I54" s="720">
        <v>660348</v>
      </c>
      <c r="J54" t="str">
        <f>IF(AND(I54="",I42&lt;&gt;""),A42,"")</f>
        <v/>
      </c>
    </row>
    <row r="55" spans="1:10" ht="22.5" customHeight="1">
      <c r="A55" s="721"/>
      <c r="B55" s="241" t="s">
        <v>410</v>
      </c>
      <c r="C55" s="240">
        <v>99.338530592960069</v>
      </c>
      <c r="D55" s="239">
        <v>0.30105338397329895</v>
      </c>
      <c r="E55" s="239">
        <v>9.7372900349512681E-2</v>
      </c>
      <c r="F55" s="239">
        <v>4.0433226117138232E-2</v>
      </c>
      <c r="G55" s="239">
        <v>2.2715295571425976E-2</v>
      </c>
      <c r="H55" s="238">
        <v>99.800105398971453</v>
      </c>
      <c r="I55" s="720"/>
    </row>
    <row r="56" spans="1:10" ht="22.5" customHeight="1">
      <c r="A56" s="701">
        <v>28</v>
      </c>
      <c r="B56" s="237" t="s">
        <v>411</v>
      </c>
      <c r="C56" s="255">
        <v>655789</v>
      </c>
      <c r="D56" s="254">
        <v>2001</v>
      </c>
      <c r="E56" s="254">
        <v>543</v>
      </c>
      <c r="F56" s="254">
        <v>273</v>
      </c>
      <c r="G56" s="253">
        <v>94</v>
      </c>
      <c r="H56" s="252">
        <v>658700</v>
      </c>
      <c r="I56" s="720">
        <v>659834</v>
      </c>
    </row>
    <row r="57" spans="1:10" ht="22.5" customHeight="1">
      <c r="A57" s="711"/>
      <c r="B57" s="249" t="s">
        <v>410</v>
      </c>
      <c r="C57" s="240">
        <v>99.386967025039624</v>
      </c>
      <c r="D57" s="239">
        <v>0.30325809218682276</v>
      </c>
      <c r="E57" s="239">
        <v>8.2293425316064345E-2</v>
      </c>
      <c r="F57" s="239">
        <v>4.1374042562220194E-2</v>
      </c>
      <c r="G57" s="239">
        <v>1.4246007329116111E-2</v>
      </c>
      <c r="H57" s="238">
        <v>99.828138592433859</v>
      </c>
      <c r="I57" s="720"/>
    </row>
    <row r="58" spans="1:10" ht="22.5" customHeight="1">
      <c r="A58" s="702">
        <v>29</v>
      </c>
      <c r="B58" s="241" t="s">
        <v>411</v>
      </c>
      <c r="C58" s="245">
        <v>671941</v>
      </c>
      <c r="D58" s="251">
        <v>1909</v>
      </c>
      <c r="E58" s="251">
        <v>660</v>
      </c>
      <c r="F58" s="244">
        <v>194</v>
      </c>
      <c r="G58" s="251"/>
      <c r="H58" s="250">
        <v>674704</v>
      </c>
      <c r="I58" s="720">
        <v>675791</v>
      </c>
    </row>
    <row r="59" spans="1:10" ht="22.5" customHeight="1">
      <c r="A59" s="721"/>
      <c r="B59" s="241" t="s">
        <v>410</v>
      </c>
      <c r="C59" s="240">
        <v>99.430297236867617</v>
      </c>
      <c r="D59" s="239">
        <v>0.28248378566746229</v>
      </c>
      <c r="E59" s="239">
        <v>9.7663330822695169E-2</v>
      </c>
      <c r="F59" s="239">
        <v>2.8707100272125554E-2</v>
      </c>
      <c r="G59" s="239" t="s">
        <v>504</v>
      </c>
      <c r="H59" s="238">
        <v>99.839151453629896</v>
      </c>
      <c r="I59" s="727"/>
    </row>
    <row r="60" spans="1:10" ht="22.5" customHeight="1">
      <c r="A60" s="715">
        <v>30</v>
      </c>
      <c r="B60" s="241" t="s">
        <v>411</v>
      </c>
      <c r="C60" s="245">
        <v>734327</v>
      </c>
      <c r="D60" s="251">
        <v>2146</v>
      </c>
      <c r="E60" s="244">
        <v>614</v>
      </c>
      <c r="F60" s="251"/>
      <c r="G60" s="251"/>
      <c r="H60" s="250">
        <v>737087</v>
      </c>
      <c r="I60" s="720">
        <v>738724</v>
      </c>
    </row>
    <row r="61" spans="1:10" ht="22.5" customHeight="1">
      <c r="A61" s="712"/>
      <c r="B61" s="249" t="s">
        <v>410</v>
      </c>
      <c r="C61" s="248">
        <v>99.40478446618765</v>
      </c>
      <c r="D61" s="247">
        <v>0.29050091779879905</v>
      </c>
      <c r="E61" s="247">
        <v>7.8935020023012004E-2</v>
      </c>
      <c r="F61" s="247" t="s">
        <v>504</v>
      </c>
      <c r="G61" s="247" t="s">
        <v>504</v>
      </c>
      <c r="H61" s="246">
        <v>99.778401676404187</v>
      </c>
      <c r="I61" s="713"/>
    </row>
    <row r="62" spans="1:10" ht="22.5" customHeight="1">
      <c r="A62" s="701" t="s">
        <v>412</v>
      </c>
      <c r="B62" s="241" t="s">
        <v>411</v>
      </c>
      <c r="C62" s="245">
        <v>772694</v>
      </c>
      <c r="D62" s="244">
        <v>2806</v>
      </c>
      <c r="E62" s="243"/>
      <c r="F62" s="243"/>
      <c r="G62" s="243"/>
      <c r="H62" s="242">
        <v>775500</v>
      </c>
      <c r="I62" s="720">
        <v>777855</v>
      </c>
    </row>
    <row r="63" spans="1:10" ht="22.5" customHeight="1">
      <c r="A63" s="711"/>
      <c r="B63" s="241" t="s">
        <v>410</v>
      </c>
      <c r="C63" s="240">
        <v>99.336508732347284</v>
      </c>
      <c r="D63" s="239">
        <v>0.3607356126784555</v>
      </c>
      <c r="E63" s="239" t="s">
        <v>504</v>
      </c>
      <c r="F63" s="239" t="s">
        <v>504</v>
      </c>
      <c r="G63" s="239" t="s">
        <v>504</v>
      </c>
      <c r="H63" s="238">
        <v>99.697244345025751</v>
      </c>
      <c r="I63" s="720"/>
    </row>
    <row r="64" spans="1:10" ht="22.5" customHeight="1">
      <c r="A64" s="715">
        <v>2</v>
      </c>
      <c r="B64" s="237" t="s">
        <v>411</v>
      </c>
      <c r="C64" s="236">
        <v>740865</v>
      </c>
      <c r="D64" s="235"/>
      <c r="E64" s="235"/>
      <c r="F64" s="235"/>
      <c r="G64" s="235"/>
      <c r="H64" s="234">
        <v>740865</v>
      </c>
      <c r="I64" s="724">
        <v>755396</v>
      </c>
      <c r="J64">
        <v>2</v>
      </c>
    </row>
    <row r="65" spans="1:10" ht="22.5" customHeight="1" thickBot="1">
      <c r="A65" s="716"/>
      <c r="B65" s="233" t="s">
        <v>410</v>
      </c>
      <c r="C65" s="232">
        <v>98.076373187043615</v>
      </c>
      <c r="D65" s="231" t="s">
        <v>504</v>
      </c>
      <c r="E65" s="231" t="s">
        <v>504</v>
      </c>
      <c r="F65" s="231" t="s">
        <v>504</v>
      </c>
      <c r="G65" s="231" t="s">
        <v>504</v>
      </c>
      <c r="H65" s="230">
        <v>98.076373187043615</v>
      </c>
      <c r="I65" s="725"/>
    </row>
    <row r="66" spans="1:10">
      <c r="J66" s="229">
        <f>SUM(J6:J65)</f>
        <v>2</v>
      </c>
    </row>
  </sheetData>
  <mergeCells count="66">
    <mergeCell ref="A64:A65"/>
    <mergeCell ref="I64:I65"/>
    <mergeCell ref="A60:A61"/>
    <mergeCell ref="I60:I61"/>
    <mergeCell ref="J4:J5"/>
    <mergeCell ref="A62:A63"/>
    <mergeCell ref="I62:I63"/>
    <mergeCell ref="I34:I35"/>
    <mergeCell ref="I36:I37"/>
    <mergeCell ref="I46:I47"/>
    <mergeCell ref="I50:I51"/>
    <mergeCell ref="A48:A49"/>
    <mergeCell ref="A50:A51"/>
    <mergeCell ref="I58:I59"/>
    <mergeCell ref="A56:A57"/>
    <mergeCell ref="I56:I57"/>
    <mergeCell ref="I54:I55"/>
    <mergeCell ref="A52:A53"/>
    <mergeCell ref="I52:I53"/>
    <mergeCell ref="A58:A59"/>
    <mergeCell ref="I38:I39"/>
    <mergeCell ref="A54:A55"/>
    <mergeCell ref="I48:I49"/>
    <mergeCell ref="I44:I45"/>
    <mergeCell ref="A44:A45"/>
    <mergeCell ref="A46:A47"/>
    <mergeCell ref="A34:A35"/>
    <mergeCell ref="A42:A43"/>
    <mergeCell ref="A36:A37"/>
    <mergeCell ref="A40:A41"/>
    <mergeCell ref="I40:I41"/>
    <mergeCell ref="I42:I43"/>
    <mergeCell ref="A38:A39"/>
    <mergeCell ref="I20:I21"/>
    <mergeCell ref="A8:A9"/>
    <mergeCell ref="A32:A33"/>
    <mergeCell ref="I32:I33"/>
    <mergeCell ref="I26:I27"/>
    <mergeCell ref="A14:A15"/>
    <mergeCell ref="A20:A21"/>
    <mergeCell ref="A26:A27"/>
    <mergeCell ref="A28:A29"/>
    <mergeCell ref="A22:A23"/>
    <mergeCell ref="I24:I25"/>
    <mergeCell ref="I22:I23"/>
    <mergeCell ref="A24:A25"/>
    <mergeCell ref="A30:A31"/>
    <mergeCell ref="I30:I31"/>
    <mergeCell ref="I28:I29"/>
    <mergeCell ref="A16:A17"/>
    <mergeCell ref="I16:I17"/>
    <mergeCell ref="I18:I19"/>
    <mergeCell ref="A18:A19"/>
    <mergeCell ref="A12:A13"/>
    <mergeCell ref="I14:I15"/>
    <mergeCell ref="I12:I13"/>
    <mergeCell ref="F3:I3"/>
    <mergeCell ref="A6:A7"/>
    <mergeCell ref="I10:I11"/>
    <mergeCell ref="A1:I1"/>
    <mergeCell ref="A2:E2"/>
    <mergeCell ref="F2:G2"/>
    <mergeCell ref="C4:H4"/>
    <mergeCell ref="I8:I9"/>
    <mergeCell ref="I6:I7"/>
    <mergeCell ref="A10:A11"/>
  </mergeCells>
  <phoneticPr fontId="9"/>
  <pageMargins left="0.98425196850393704" right="0.23622047244094491" top="0.86614173228346458" bottom="0.49" header="0" footer="0.57999999999999996"/>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I22"/>
  <sheetViews>
    <sheetView tabSelected="1" view="pageBreakPreview" zoomScaleNormal="85" zoomScaleSheetLayoutView="100" workbookViewId="0"/>
  </sheetViews>
  <sheetFormatPr defaultRowHeight="13.5"/>
  <cols>
    <col min="1" max="1" width="9.140625" style="178"/>
    <col min="2" max="2" width="7.140625" style="178" customWidth="1"/>
    <col min="3" max="4" width="9.140625" style="178"/>
    <col min="5" max="5" width="17.140625" style="178" customWidth="1"/>
    <col min="6" max="7" width="9.140625" style="178"/>
    <col min="8" max="8" width="7.140625" style="178" customWidth="1"/>
    <col min="9" max="16384" width="9.140625" style="178"/>
  </cols>
  <sheetData>
    <row r="5" spans="1:9">
      <c r="F5" s="201"/>
    </row>
    <row r="10" spans="1:9" ht="78" customHeight="1">
      <c r="E10" s="201"/>
    </row>
    <row r="11" spans="1:9" s="408" customFormat="1" ht="35.25">
      <c r="A11" s="537" t="s">
        <v>349</v>
      </c>
      <c r="B11" s="537"/>
      <c r="C11" s="537"/>
      <c r="D11" s="537"/>
      <c r="E11" s="537"/>
      <c r="F11" s="537"/>
      <c r="G11" s="537"/>
      <c r="H11" s="537"/>
      <c r="I11" s="537"/>
    </row>
    <row r="12" spans="1:9" ht="25.5">
      <c r="A12" s="526"/>
      <c r="B12" s="526"/>
      <c r="C12" s="526"/>
      <c r="D12" s="526"/>
      <c r="E12" s="526"/>
      <c r="F12" s="526"/>
      <c r="G12" s="526"/>
      <c r="H12" s="526"/>
      <c r="I12" s="526"/>
    </row>
    <row r="13" spans="1:9" s="408" customFormat="1" ht="35.25">
      <c r="B13" s="538" t="s">
        <v>121</v>
      </c>
      <c r="C13" s="538"/>
      <c r="D13" s="538"/>
      <c r="E13" s="538"/>
      <c r="F13" s="538"/>
      <c r="G13" s="538"/>
      <c r="H13" s="538"/>
      <c r="I13" s="528"/>
    </row>
    <row r="14" spans="1:9" ht="25.5">
      <c r="A14" s="526"/>
      <c r="B14" s="526"/>
      <c r="C14" s="526"/>
      <c r="D14" s="526"/>
      <c r="E14" s="526"/>
      <c r="F14" s="526"/>
      <c r="G14" s="526"/>
      <c r="H14" s="526"/>
      <c r="I14" s="526"/>
    </row>
    <row r="15" spans="1:9" ht="25.5">
      <c r="A15" s="526"/>
      <c r="B15" s="526"/>
      <c r="C15" s="526"/>
      <c r="D15" s="526"/>
      <c r="E15" s="526"/>
      <c r="F15" s="526"/>
      <c r="G15" s="526"/>
      <c r="H15" s="526"/>
      <c r="I15" s="526"/>
    </row>
    <row r="16" spans="1:9" ht="25.5">
      <c r="A16" s="526"/>
      <c r="B16" s="526"/>
      <c r="C16" s="526"/>
      <c r="D16" s="526"/>
      <c r="E16" s="526"/>
      <c r="F16" s="526"/>
      <c r="G16" s="526"/>
      <c r="H16" s="526"/>
      <c r="I16" s="526"/>
    </row>
    <row r="17" spans="1:9" ht="25.5">
      <c r="A17" s="526"/>
      <c r="B17" s="526"/>
      <c r="C17" s="526"/>
      <c r="D17" s="526"/>
      <c r="E17" s="526"/>
      <c r="F17" s="526"/>
      <c r="G17" s="526"/>
      <c r="H17" s="526"/>
      <c r="I17" s="526"/>
    </row>
    <row r="18" spans="1:9" ht="201" customHeight="1">
      <c r="A18" s="526"/>
      <c r="B18" s="526"/>
      <c r="C18" s="526"/>
      <c r="D18" s="526"/>
      <c r="E18" s="526"/>
      <c r="F18" s="526"/>
      <c r="G18" s="526"/>
      <c r="H18" s="526"/>
      <c r="I18" s="526"/>
    </row>
    <row r="19" spans="1:9" ht="25.5">
      <c r="A19" s="526"/>
      <c r="B19" s="526"/>
      <c r="C19" s="526"/>
      <c r="D19" s="526"/>
      <c r="E19" s="526"/>
      <c r="F19" s="526"/>
      <c r="G19" s="526"/>
      <c r="H19" s="526"/>
      <c r="I19" s="526"/>
    </row>
    <row r="20" spans="1:9" ht="30" customHeight="1">
      <c r="B20" s="526"/>
      <c r="D20" s="538" t="s">
        <v>350</v>
      </c>
      <c r="E20" s="538"/>
      <c r="F20" s="538"/>
      <c r="G20" s="527"/>
      <c r="H20" s="526"/>
      <c r="I20" s="526"/>
    </row>
    <row r="21" spans="1:9" ht="25.5">
      <c r="A21" s="526"/>
      <c r="B21" s="526"/>
      <c r="D21" s="539"/>
      <c r="E21" s="539"/>
      <c r="F21" s="539"/>
      <c r="G21" s="526"/>
      <c r="H21" s="526"/>
      <c r="I21" s="526"/>
    </row>
    <row r="22" spans="1:9" ht="30" customHeight="1">
      <c r="B22" s="526"/>
      <c r="D22" s="538" t="s">
        <v>122</v>
      </c>
      <c r="E22" s="538"/>
      <c r="F22" s="538"/>
      <c r="G22" s="527"/>
      <c r="H22" s="526"/>
      <c r="I22" s="526"/>
    </row>
  </sheetData>
  <mergeCells count="5">
    <mergeCell ref="A11:I11"/>
    <mergeCell ref="B13:H13"/>
    <mergeCell ref="D20:F20"/>
    <mergeCell ref="D21:F21"/>
    <mergeCell ref="D22:F22"/>
  </mergeCells>
  <phoneticPr fontId="9"/>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S67"/>
  <sheetViews>
    <sheetView view="pageBreakPreview" zoomScaleNormal="100" zoomScaleSheetLayoutView="100" workbookViewId="0"/>
  </sheetViews>
  <sheetFormatPr defaultColWidth="9.85546875" defaultRowHeight="16.5"/>
  <cols>
    <col min="1" max="1" width="0.7109375" style="301" customWidth="1"/>
    <col min="2" max="4" width="1.7109375" style="301" customWidth="1"/>
    <col min="5" max="5" width="13.7109375" style="301" customWidth="1"/>
    <col min="6" max="6" width="14.7109375" style="301" customWidth="1"/>
    <col min="7" max="7" width="4.7109375" style="301" customWidth="1"/>
    <col min="8" max="8" width="10.7109375" style="301" customWidth="1"/>
    <col min="9" max="9" width="13.7109375" style="301" customWidth="1"/>
    <col min="10" max="10" width="1.7109375" style="301" customWidth="1"/>
    <col min="11" max="12" width="1.7109375" style="302" customWidth="1"/>
    <col min="13" max="13" width="1.7109375" style="301" customWidth="1"/>
    <col min="14" max="14" width="13.7109375" style="301" customWidth="1"/>
    <col min="15" max="16" width="14.7109375" style="301" customWidth="1"/>
    <col min="17" max="17" width="13.7109375" style="301" customWidth="1"/>
    <col min="18" max="18" width="1.7109375" style="300" customWidth="1"/>
    <col min="19" max="19" width="1.42578125" style="300" customWidth="1"/>
    <col min="20" max="16384" width="9.85546875" style="299"/>
  </cols>
  <sheetData>
    <row r="1" spans="1:19" ht="10.5" customHeight="1">
      <c r="H1" s="302"/>
      <c r="K1" s="301"/>
      <c r="L1" s="301"/>
      <c r="O1" s="540"/>
      <c r="P1" s="540"/>
      <c r="Q1" s="395"/>
      <c r="R1" s="394"/>
      <c r="S1" s="393"/>
    </row>
    <row r="2" spans="1:19" ht="21.95" customHeight="1">
      <c r="A2" s="302"/>
      <c r="B2" s="392" t="s">
        <v>435</v>
      </c>
      <c r="E2" s="302"/>
      <c r="H2" s="302"/>
      <c r="K2" s="301"/>
      <c r="L2" s="301"/>
      <c r="P2" s="391"/>
      <c r="Q2" s="302"/>
      <c r="R2" s="299"/>
      <c r="S2" s="299"/>
    </row>
    <row r="3" spans="1:19" ht="36.6" customHeight="1">
      <c r="A3" s="302"/>
      <c r="H3" s="302"/>
      <c r="K3" s="301"/>
      <c r="L3" s="301"/>
      <c r="P3" s="302"/>
      <c r="Q3" s="390" t="s">
        <v>178</v>
      </c>
      <c r="R3" s="389"/>
      <c r="S3" s="299"/>
    </row>
    <row r="4" spans="1:19" ht="24.95" customHeight="1">
      <c r="A4" s="300"/>
      <c r="B4" s="388"/>
      <c r="C4" s="386"/>
      <c r="D4" s="386"/>
      <c r="E4" s="385"/>
      <c r="F4" s="541" t="s">
        <v>215</v>
      </c>
      <c r="G4" s="541"/>
      <c r="H4" s="541"/>
      <c r="I4" s="542" t="s">
        <v>216</v>
      </c>
      <c r="J4" s="543"/>
      <c r="K4" s="387"/>
      <c r="L4" s="386"/>
      <c r="M4" s="386"/>
      <c r="N4" s="385"/>
      <c r="O4" s="541" t="s">
        <v>215</v>
      </c>
      <c r="P4" s="541"/>
      <c r="Q4" s="542" t="s">
        <v>216</v>
      </c>
      <c r="R4" s="551"/>
      <c r="S4" s="361"/>
    </row>
    <row r="5" spans="1:19" ht="24.95" customHeight="1">
      <c r="A5" s="300"/>
      <c r="B5" s="384"/>
      <c r="C5" s="382"/>
      <c r="D5" s="382"/>
      <c r="E5" s="381"/>
      <c r="F5" s="380" t="s">
        <v>367</v>
      </c>
      <c r="G5" s="552" t="s">
        <v>326</v>
      </c>
      <c r="H5" s="553"/>
      <c r="I5" s="581" t="s">
        <v>111</v>
      </c>
      <c r="J5" s="582"/>
      <c r="K5" s="383"/>
      <c r="L5" s="382"/>
      <c r="M5" s="382"/>
      <c r="N5" s="381"/>
      <c r="O5" s="380" t="str">
        <f>F5</f>
        <v>R２年度</v>
      </c>
      <c r="P5" s="380" t="str">
        <f>G5</f>
        <v>R元年度</v>
      </c>
      <c r="Q5" s="581" t="s">
        <v>217</v>
      </c>
      <c r="R5" s="583"/>
      <c r="S5" s="361"/>
    </row>
    <row r="6" spans="1:19" ht="12.6" customHeight="1">
      <c r="A6" s="378"/>
      <c r="B6" s="578" t="s">
        <v>218</v>
      </c>
      <c r="C6" s="570"/>
      <c r="D6" s="570"/>
      <c r="E6" s="571"/>
      <c r="F6" s="558">
        <v>2042685</v>
      </c>
      <c r="G6" s="561">
        <v>1764214</v>
      </c>
      <c r="H6" s="562"/>
      <c r="I6" s="567">
        <v>15.8</v>
      </c>
      <c r="J6" s="358"/>
      <c r="K6" s="569" t="s">
        <v>219</v>
      </c>
      <c r="L6" s="570"/>
      <c r="M6" s="570"/>
      <c r="N6" s="571"/>
      <c r="O6" s="544">
        <v>2014653</v>
      </c>
      <c r="P6" s="544">
        <v>1756789</v>
      </c>
      <c r="Q6" s="547">
        <v>14.7</v>
      </c>
      <c r="R6" s="355"/>
      <c r="S6" s="361"/>
    </row>
    <row r="7" spans="1:19" ht="12.6" customHeight="1">
      <c r="A7" s="378"/>
      <c r="B7" s="579"/>
      <c r="C7" s="573"/>
      <c r="D7" s="573"/>
      <c r="E7" s="574"/>
      <c r="F7" s="559"/>
      <c r="G7" s="563"/>
      <c r="H7" s="564"/>
      <c r="I7" s="568"/>
      <c r="J7" s="379"/>
      <c r="K7" s="572"/>
      <c r="L7" s="573"/>
      <c r="M7" s="573"/>
      <c r="N7" s="574"/>
      <c r="O7" s="554"/>
      <c r="P7" s="554"/>
      <c r="Q7" s="556"/>
      <c r="R7" s="355"/>
      <c r="S7" s="361"/>
    </row>
    <row r="8" spans="1:19" ht="12.6" customHeight="1">
      <c r="A8" s="378" t="s">
        <v>0</v>
      </c>
      <c r="B8" s="579"/>
      <c r="C8" s="573"/>
      <c r="D8" s="573"/>
      <c r="E8" s="574"/>
      <c r="F8" s="559"/>
      <c r="G8" s="563"/>
      <c r="H8" s="564"/>
      <c r="I8" s="549">
        <v>278471</v>
      </c>
      <c r="J8" s="358"/>
      <c r="K8" s="572"/>
      <c r="L8" s="573"/>
      <c r="M8" s="573"/>
      <c r="N8" s="574"/>
      <c r="O8" s="554"/>
      <c r="P8" s="554"/>
      <c r="Q8" s="549">
        <v>257864</v>
      </c>
      <c r="R8" s="355"/>
      <c r="S8" s="361"/>
    </row>
    <row r="9" spans="1:19" ht="12.6" customHeight="1">
      <c r="A9" s="378"/>
      <c r="B9" s="580"/>
      <c r="C9" s="576"/>
      <c r="D9" s="576"/>
      <c r="E9" s="577"/>
      <c r="F9" s="560"/>
      <c r="G9" s="565"/>
      <c r="H9" s="566"/>
      <c r="I9" s="557"/>
      <c r="J9" s="377"/>
      <c r="K9" s="575"/>
      <c r="L9" s="576"/>
      <c r="M9" s="576"/>
      <c r="N9" s="577"/>
      <c r="O9" s="555"/>
      <c r="P9" s="555"/>
      <c r="Q9" s="557"/>
      <c r="R9" s="350"/>
      <c r="S9" s="361"/>
    </row>
    <row r="10" spans="1:19" ht="12.6" customHeight="1">
      <c r="A10" s="300"/>
      <c r="B10" s="376"/>
      <c r="C10" s="578" t="s">
        <v>220</v>
      </c>
      <c r="D10" s="570"/>
      <c r="E10" s="570"/>
      <c r="F10" s="544">
        <v>744663</v>
      </c>
      <c r="G10" s="561">
        <v>776114</v>
      </c>
      <c r="H10" s="562"/>
      <c r="I10" s="567">
        <v>-4.0999999999999996</v>
      </c>
      <c r="J10" s="367"/>
      <c r="K10" s="375"/>
      <c r="L10" s="578" t="s">
        <v>221</v>
      </c>
      <c r="M10" s="570"/>
      <c r="N10" s="571"/>
      <c r="O10" s="544">
        <v>1090660</v>
      </c>
      <c r="P10" s="544">
        <v>1101683</v>
      </c>
      <c r="Q10" s="547">
        <v>-1</v>
      </c>
      <c r="R10" s="364"/>
      <c r="S10" s="361"/>
    </row>
    <row r="11" spans="1:19" ht="12.6" customHeight="1">
      <c r="A11" s="300"/>
      <c r="B11" s="356"/>
      <c r="C11" s="579"/>
      <c r="D11" s="573"/>
      <c r="E11" s="573"/>
      <c r="F11" s="545"/>
      <c r="G11" s="563"/>
      <c r="H11" s="564"/>
      <c r="I11" s="568"/>
      <c r="J11" s="358"/>
      <c r="K11" s="363"/>
      <c r="L11" s="579"/>
      <c r="M11" s="573"/>
      <c r="N11" s="574"/>
      <c r="O11" s="545"/>
      <c r="P11" s="545"/>
      <c r="Q11" s="548"/>
      <c r="R11" s="355"/>
      <c r="S11" s="361"/>
    </row>
    <row r="12" spans="1:19" ht="12.6" customHeight="1">
      <c r="A12" s="300"/>
      <c r="B12" s="356"/>
      <c r="C12" s="579"/>
      <c r="D12" s="573"/>
      <c r="E12" s="573"/>
      <c r="F12" s="545"/>
      <c r="G12" s="563"/>
      <c r="H12" s="564"/>
      <c r="I12" s="549">
        <v>-31451</v>
      </c>
      <c r="J12" s="358"/>
      <c r="K12" s="363"/>
      <c r="L12" s="579"/>
      <c r="M12" s="573"/>
      <c r="N12" s="574"/>
      <c r="O12" s="545"/>
      <c r="P12" s="545"/>
      <c r="Q12" s="549">
        <v>-11024</v>
      </c>
      <c r="R12" s="355"/>
      <c r="S12" s="361"/>
    </row>
    <row r="13" spans="1:19" ht="12.6" customHeight="1">
      <c r="A13" s="300"/>
      <c r="B13" s="356"/>
      <c r="C13" s="580"/>
      <c r="D13" s="576"/>
      <c r="E13" s="576"/>
      <c r="F13" s="546"/>
      <c r="G13" s="565"/>
      <c r="H13" s="566"/>
      <c r="I13" s="550"/>
      <c r="J13" s="353"/>
      <c r="K13" s="363"/>
      <c r="L13" s="580"/>
      <c r="M13" s="576"/>
      <c r="N13" s="577"/>
      <c r="O13" s="546"/>
      <c r="P13" s="546"/>
      <c r="Q13" s="550"/>
      <c r="R13" s="355"/>
      <c r="S13" s="361"/>
    </row>
    <row r="14" spans="1:19" ht="12.6" customHeight="1">
      <c r="A14" s="300"/>
      <c r="B14" s="356"/>
      <c r="C14" s="374"/>
      <c r="D14" s="600" t="s">
        <v>368</v>
      </c>
      <c r="E14" s="601"/>
      <c r="F14" s="544">
        <v>109444</v>
      </c>
      <c r="G14" s="561">
        <v>149945</v>
      </c>
      <c r="H14" s="562"/>
      <c r="I14" s="567">
        <v>-27</v>
      </c>
      <c r="J14" s="358"/>
      <c r="K14" s="372"/>
      <c r="L14" s="374"/>
      <c r="M14" s="578" t="s">
        <v>222</v>
      </c>
      <c r="N14" s="571"/>
      <c r="O14" s="544">
        <v>305796</v>
      </c>
      <c r="P14" s="544">
        <v>304487</v>
      </c>
      <c r="Q14" s="547">
        <v>0.4</v>
      </c>
      <c r="R14" s="364"/>
      <c r="S14" s="361"/>
    </row>
    <row r="15" spans="1:19" ht="12.6" customHeight="1">
      <c r="A15" s="300"/>
      <c r="B15" s="356"/>
      <c r="C15" s="374"/>
      <c r="D15" s="602"/>
      <c r="E15" s="603"/>
      <c r="F15" s="545"/>
      <c r="G15" s="563"/>
      <c r="H15" s="564"/>
      <c r="I15" s="568"/>
      <c r="J15" s="358"/>
      <c r="K15" s="372"/>
      <c r="L15" s="374"/>
      <c r="M15" s="579"/>
      <c r="N15" s="574"/>
      <c r="O15" s="545"/>
      <c r="P15" s="545"/>
      <c r="Q15" s="548"/>
      <c r="R15" s="355"/>
      <c r="S15" s="361"/>
    </row>
    <row r="16" spans="1:19" ht="12.6" customHeight="1">
      <c r="A16" s="300"/>
      <c r="B16" s="356"/>
      <c r="C16" s="374"/>
      <c r="D16" s="602"/>
      <c r="E16" s="603"/>
      <c r="F16" s="545"/>
      <c r="G16" s="563"/>
      <c r="H16" s="564"/>
      <c r="I16" s="606">
        <v>-40501</v>
      </c>
      <c r="J16" s="358"/>
      <c r="K16" s="372"/>
      <c r="L16" s="374"/>
      <c r="M16" s="579"/>
      <c r="N16" s="574"/>
      <c r="O16" s="545"/>
      <c r="P16" s="545"/>
      <c r="Q16" s="549">
        <v>1309</v>
      </c>
      <c r="R16" s="355"/>
      <c r="S16" s="361"/>
    </row>
    <row r="17" spans="1:19" ht="12.6" customHeight="1">
      <c r="A17" s="300"/>
      <c r="B17" s="356"/>
      <c r="C17" s="374"/>
      <c r="D17" s="604"/>
      <c r="E17" s="605"/>
      <c r="F17" s="546"/>
      <c r="G17" s="565"/>
      <c r="H17" s="566"/>
      <c r="I17" s="607"/>
      <c r="J17" s="358"/>
      <c r="K17" s="372"/>
      <c r="L17" s="374"/>
      <c r="M17" s="580"/>
      <c r="N17" s="577"/>
      <c r="O17" s="546"/>
      <c r="P17" s="546"/>
      <c r="Q17" s="550"/>
      <c r="R17" s="355"/>
      <c r="S17" s="361"/>
    </row>
    <row r="18" spans="1:19" ht="24.95" customHeight="1">
      <c r="A18" s="300"/>
      <c r="B18" s="356"/>
      <c r="C18" s="584" t="s">
        <v>223</v>
      </c>
      <c r="D18" s="585"/>
      <c r="E18" s="586"/>
      <c r="F18" s="544">
        <v>106086</v>
      </c>
      <c r="G18" s="561">
        <v>88300</v>
      </c>
      <c r="H18" s="562"/>
      <c r="I18" s="365">
        <v>20.100000000000001</v>
      </c>
      <c r="J18" s="367"/>
      <c r="K18" s="372"/>
      <c r="L18" s="356"/>
      <c r="M18" s="578" t="s">
        <v>224</v>
      </c>
      <c r="N18" s="570"/>
      <c r="O18" s="544">
        <v>589363</v>
      </c>
      <c r="P18" s="544">
        <v>572052</v>
      </c>
      <c r="Q18" s="365">
        <v>3</v>
      </c>
      <c r="R18" s="364"/>
      <c r="S18" s="361"/>
    </row>
    <row r="19" spans="1:19" ht="24.95" customHeight="1">
      <c r="A19" s="300"/>
      <c r="B19" s="356"/>
      <c r="C19" s="587"/>
      <c r="D19" s="588"/>
      <c r="E19" s="589"/>
      <c r="F19" s="546"/>
      <c r="G19" s="565"/>
      <c r="H19" s="566"/>
      <c r="I19" s="362">
        <v>17786</v>
      </c>
      <c r="J19" s="353"/>
      <c r="K19" s="372"/>
      <c r="L19" s="356"/>
      <c r="M19" s="580"/>
      <c r="N19" s="576"/>
      <c r="O19" s="546"/>
      <c r="P19" s="546"/>
      <c r="Q19" s="362">
        <v>17311</v>
      </c>
      <c r="R19" s="350"/>
      <c r="S19" s="361"/>
    </row>
    <row r="20" spans="1:19" ht="24.95" customHeight="1">
      <c r="A20" s="300"/>
      <c r="B20" s="356"/>
      <c r="C20" s="369"/>
      <c r="D20" s="592" t="s">
        <v>369</v>
      </c>
      <c r="E20" s="593"/>
      <c r="F20" s="544">
        <v>11021</v>
      </c>
      <c r="G20" s="596">
        <v>0</v>
      </c>
      <c r="H20" s="597"/>
      <c r="I20" s="365" t="s">
        <v>385</v>
      </c>
      <c r="J20" s="367"/>
      <c r="K20" s="366"/>
      <c r="L20" s="374"/>
      <c r="M20" s="374"/>
      <c r="N20" s="590" t="s">
        <v>386</v>
      </c>
      <c r="O20" s="544">
        <v>102673</v>
      </c>
      <c r="P20" s="544">
        <v>94320</v>
      </c>
      <c r="Q20" s="365">
        <v>8.9</v>
      </c>
      <c r="R20" s="364"/>
      <c r="S20" s="361"/>
    </row>
    <row r="21" spans="1:19" ht="24.95" customHeight="1">
      <c r="A21" s="300"/>
      <c r="B21" s="356"/>
      <c r="C21" s="368"/>
      <c r="D21" s="594"/>
      <c r="E21" s="595"/>
      <c r="F21" s="546"/>
      <c r="G21" s="598"/>
      <c r="H21" s="599"/>
      <c r="I21" s="362">
        <v>11021</v>
      </c>
      <c r="J21" s="353"/>
      <c r="K21" s="366"/>
      <c r="L21" s="374"/>
      <c r="M21" s="374"/>
      <c r="N21" s="591"/>
      <c r="O21" s="546"/>
      <c r="P21" s="545"/>
      <c r="Q21" s="362">
        <v>8353</v>
      </c>
      <c r="R21" s="355"/>
      <c r="S21" s="361"/>
    </row>
    <row r="22" spans="1:19" ht="24.95" customHeight="1">
      <c r="A22" s="300"/>
      <c r="B22" s="356"/>
      <c r="C22" s="578" t="s">
        <v>10</v>
      </c>
      <c r="D22" s="570"/>
      <c r="E22" s="571"/>
      <c r="F22" s="544">
        <v>33867</v>
      </c>
      <c r="G22" s="561">
        <v>44514</v>
      </c>
      <c r="H22" s="562"/>
      <c r="I22" s="365">
        <v>-23.9</v>
      </c>
      <c r="J22" s="367"/>
      <c r="K22" s="372"/>
      <c r="L22" s="356"/>
      <c r="M22" s="374"/>
      <c r="N22" s="590" t="s">
        <v>387</v>
      </c>
      <c r="O22" s="544">
        <v>76654</v>
      </c>
      <c r="P22" s="544">
        <v>73804</v>
      </c>
      <c r="Q22" s="365">
        <v>3.9</v>
      </c>
      <c r="R22" s="364"/>
      <c r="S22" s="361"/>
    </row>
    <row r="23" spans="1:19" ht="24.95" customHeight="1">
      <c r="A23" s="300"/>
      <c r="B23" s="356"/>
      <c r="C23" s="580"/>
      <c r="D23" s="576"/>
      <c r="E23" s="577"/>
      <c r="F23" s="546"/>
      <c r="G23" s="565"/>
      <c r="H23" s="566"/>
      <c r="I23" s="362">
        <v>-10647</v>
      </c>
      <c r="J23" s="353"/>
      <c r="K23" s="372"/>
      <c r="L23" s="356"/>
      <c r="M23" s="374"/>
      <c r="N23" s="591"/>
      <c r="O23" s="546"/>
      <c r="P23" s="546"/>
      <c r="Q23" s="362">
        <v>2850</v>
      </c>
      <c r="R23" s="350"/>
      <c r="S23" s="361"/>
    </row>
    <row r="24" spans="1:19" ht="24.95" customHeight="1">
      <c r="A24" s="300"/>
      <c r="B24" s="356"/>
      <c r="C24" s="578" t="s">
        <v>11</v>
      </c>
      <c r="D24" s="570"/>
      <c r="E24" s="571"/>
      <c r="F24" s="544">
        <v>770142</v>
      </c>
      <c r="G24" s="561">
        <v>421185</v>
      </c>
      <c r="H24" s="562"/>
      <c r="I24" s="365">
        <v>82.9</v>
      </c>
      <c r="J24" s="367"/>
      <c r="K24" s="372"/>
      <c r="L24" s="356"/>
      <c r="M24" s="374"/>
      <c r="N24" s="608" t="s">
        <v>388</v>
      </c>
      <c r="O24" s="544">
        <v>265405</v>
      </c>
      <c r="P24" s="544">
        <v>272276</v>
      </c>
      <c r="Q24" s="365">
        <v>-2.5</v>
      </c>
      <c r="R24" s="355"/>
      <c r="S24" s="361"/>
    </row>
    <row r="25" spans="1:19" ht="24.95" customHeight="1">
      <c r="A25" s="300"/>
      <c r="B25" s="356"/>
      <c r="C25" s="580"/>
      <c r="D25" s="576"/>
      <c r="E25" s="577"/>
      <c r="F25" s="546"/>
      <c r="G25" s="565"/>
      <c r="H25" s="566"/>
      <c r="I25" s="362">
        <v>348957</v>
      </c>
      <c r="J25" s="353"/>
      <c r="K25" s="372"/>
      <c r="L25" s="356"/>
      <c r="M25" s="366"/>
      <c r="N25" s="609"/>
      <c r="O25" s="546"/>
      <c r="P25" s="546"/>
      <c r="Q25" s="362">
        <v>-6871</v>
      </c>
      <c r="R25" s="355"/>
      <c r="S25" s="361"/>
    </row>
    <row r="26" spans="1:19" ht="24.95" customHeight="1">
      <c r="A26" s="300"/>
      <c r="B26" s="356"/>
      <c r="C26" s="369"/>
      <c r="D26" s="592" t="s">
        <v>434</v>
      </c>
      <c r="E26" s="593"/>
      <c r="F26" s="544">
        <v>274959</v>
      </c>
      <c r="G26" s="596">
        <v>0</v>
      </c>
      <c r="H26" s="597"/>
      <c r="I26" s="365" t="s">
        <v>385</v>
      </c>
      <c r="J26" s="367"/>
      <c r="K26" s="366"/>
      <c r="L26" s="374"/>
      <c r="M26" s="374"/>
      <c r="N26" s="590" t="s">
        <v>389</v>
      </c>
      <c r="O26" s="544">
        <v>13500</v>
      </c>
      <c r="P26" s="610">
        <v>0</v>
      </c>
      <c r="Q26" s="365" t="s">
        <v>385</v>
      </c>
      <c r="R26" s="364"/>
      <c r="S26" s="361"/>
    </row>
    <row r="27" spans="1:19" ht="24.95" customHeight="1">
      <c r="A27" s="300"/>
      <c r="B27" s="356"/>
      <c r="C27" s="368"/>
      <c r="D27" s="594"/>
      <c r="E27" s="595"/>
      <c r="F27" s="546"/>
      <c r="G27" s="598"/>
      <c r="H27" s="599"/>
      <c r="I27" s="362">
        <v>274959</v>
      </c>
      <c r="J27" s="353"/>
      <c r="K27" s="366"/>
      <c r="L27" s="374"/>
      <c r="M27" s="373"/>
      <c r="N27" s="591"/>
      <c r="O27" s="546"/>
      <c r="P27" s="611"/>
      <c r="Q27" s="362">
        <v>13500</v>
      </c>
      <c r="R27" s="355"/>
      <c r="S27" s="361"/>
    </row>
    <row r="28" spans="1:19" ht="24.95" customHeight="1">
      <c r="A28" s="300"/>
      <c r="B28" s="356"/>
      <c r="C28" s="578" t="s">
        <v>12</v>
      </c>
      <c r="D28" s="570"/>
      <c r="E28" s="571"/>
      <c r="F28" s="544">
        <v>108576</v>
      </c>
      <c r="G28" s="561">
        <v>100265</v>
      </c>
      <c r="H28" s="562"/>
      <c r="I28" s="365">
        <v>8.3000000000000007</v>
      </c>
      <c r="J28" s="367"/>
      <c r="K28" s="372"/>
      <c r="L28" s="356"/>
      <c r="M28" s="578" t="s">
        <v>390</v>
      </c>
      <c r="N28" s="570"/>
      <c r="O28" s="544">
        <v>195501</v>
      </c>
      <c r="P28" s="612">
        <v>225144</v>
      </c>
      <c r="Q28" s="365">
        <v>-13.2</v>
      </c>
      <c r="R28" s="364"/>
      <c r="S28" s="361"/>
    </row>
    <row r="29" spans="1:19" ht="24.95" customHeight="1">
      <c r="A29" s="300"/>
      <c r="B29" s="356"/>
      <c r="C29" s="580"/>
      <c r="D29" s="576"/>
      <c r="E29" s="577"/>
      <c r="F29" s="546"/>
      <c r="G29" s="565"/>
      <c r="H29" s="566"/>
      <c r="I29" s="362">
        <v>8311</v>
      </c>
      <c r="J29" s="358"/>
      <c r="K29" s="366"/>
      <c r="L29" s="371"/>
      <c r="M29" s="580"/>
      <c r="N29" s="576"/>
      <c r="O29" s="546"/>
      <c r="P29" s="613"/>
      <c r="Q29" s="362">
        <v>-29644</v>
      </c>
      <c r="R29" s="370"/>
      <c r="S29" s="361"/>
    </row>
    <row r="30" spans="1:19" ht="24.95" customHeight="1">
      <c r="A30" s="300"/>
      <c r="B30" s="356"/>
      <c r="C30" s="369"/>
      <c r="D30" s="592" t="s">
        <v>433</v>
      </c>
      <c r="E30" s="593"/>
      <c r="F30" s="544">
        <v>39144</v>
      </c>
      <c r="G30" s="561">
        <v>52754</v>
      </c>
      <c r="H30" s="562"/>
      <c r="I30" s="365">
        <v>-25.8</v>
      </c>
      <c r="J30" s="367"/>
      <c r="K30" s="366"/>
      <c r="L30" s="578" t="s">
        <v>391</v>
      </c>
      <c r="M30" s="570"/>
      <c r="N30" s="571"/>
      <c r="O30" s="544">
        <v>177781</v>
      </c>
      <c r="P30" s="544">
        <v>157306</v>
      </c>
      <c r="Q30" s="365">
        <v>13</v>
      </c>
      <c r="R30" s="364"/>
      <c r="S30" s="361"/>
    </row>
    <row r="31" spans="1:19" ht="24.95" customHeight="1">
      <c r="A31" s="300"/>
      <c r="B31" s="356"/>
      <c r="C31" s="368"/>
      <c r="D31" s="594"/>
      <c r="E31" s="595"/>
      <c r="F31" s="546"/>
      <c r="G31" s="565"/>
      <c r="H31" s="566"/>
      <c r="I31" s="362">
        <v>-13610</v>
      </c>
      <c r="J31" s="353"/>
      <c r="K31" s="366"/>
      <c r="L31" s="580"/>
      <c r="M31" s="576"/>
      <c r="N31" s="577"/>
      <c r="O31" s="546"/>
      <c r="P31" s="545"/>
      <c r="Q31" s="362">
        <v>20475</v>
      </c>
      <c r="R31" s="355"/>
      <c r="S31" s="361"/>
    </row>
    <row r="32" spans="1:19" ht="24.95" customHeight="1">
      <c r="A32" s="300"/>
      <c r="B32" s="356"/>
      <c r="C32" s="578" t="s">
        <v>225</v>
      </c>
      <c r="D32" s="570"/>
      <c r="E32" s="571"/>
      <c r="F32" s="544">
        <v>279351</v>
      </c>
      <c r="G32" s="561">
        <v>333836</v>
      </c>
      <c r="H32" s="562"/>
      <c r="I32" s="365">
        <v>-16.3</v>
      </c>
      <c r="J32" s="367"/>
      <c r="K32" s="366"/>
      <c r="L32" s="578" t="s">
        <v>392</v>
      </c>
      <c r="M32" s="570"/>
      <c r="N32" s="571"/>
      <c r="O32" s="544">
        <v>746213</v>
      </c>
      <c r="P32" s="544">
        <v>497800</v>
      </c>
      <c r="Q32" s="365">
        <v>49.9</v>
      </c>
      <c r="R32" s="364"/>
      <c r="S32" s="361"/>
    </row>
    <row r="33" spans="1:19" ht="24.95" customHeight="1">
      <c r="A33" s="300"/>
      <c r="B33" s="356"/>
      <c r="C33" s="580"/>
      <c r="D33" s="576"/>
      <c r="E33" s="577"/>
      <c r="F33" s="546"/>
      <c r="G33" s="565"/>
      <c r="H33" s="566"/>
      <c r="I33" s="362">
        <v>-54485</v>
      </c>
      <c r="J33" s="353"/>
      <c r="K33" s="363"/>
      <c r="L33" s="580"/>
      <c r="M33" s="576"/>
      <c r="N33" s="577"/>
      <c r="O33" s="546"/>
      <c r="P33" s="546"/>
      <c r="Q33" s="362">
        <v>248413</v>
      </c>
      <c r="R33" s="350"/>
      <c r="S33" s="361"/>
    </row>
    <row r="34" spans="1:19" ht="12.6" customHeight="1">
      <c r="A34" s="354"/>
      <c r="B34" s="356"/>
      <c r="C34" s="356"/>
      <c r="D34" s="600" t="s">
        <v>370</v>
      </c>
      <c r="E34" s="614"/>
      <c r="F34" s="544">
        <v>55933</v>
      </c>
      <c r="G34" s="561">
        <v>137395</v>
      </c>
      <c r="H34" s="562"/>
      <c r="I34" s="547">
        <v>-59.3</v>
      </c>
      <c r="J34" s="358"/>
      <c r="K34" s="357"/>
      <c r="L34" s="356"/>
      <c r="M34" s="600" t="s">
        <v>371</v>
      </c>
      <c r="N34" s="614"/>
      <c r="O34" s="544">
        <v>437720</v>
      </c>
      <c r="P34" s="544">
        <v>119575</v>
      </c>
      <c r="Q34" s="547" t="s">
        <v>393</v>
      </c>
      <c r="R34" s="355"/>
      <c r="S34" s="331"/>
    </row>
    <row r="35" spans="1:19" ht="12.6" customHeight="1">
      <c r="A35" s="354"/>
      <c r="B35" s="356"/>
      <c r="C35" s="356"/>
      <c r="D35" s="615"/>
      <c r="E35" s="616"/>
      <c r="F35" s="545"/>
      <c r="G35" s="563"/>
      <c r="H35" s="564"/>
      <c r="I35" s="548"/>
      <c r="J35" s="358"/>
      <c r="K35" s="357"/>
      <c r="L35" s="356"/>
      <c r="M35" s="615"/>
      <c r="N35" s="616"/>
      <c r="O35" s="545"/>
      <c r="P35" s="545"/>
      <c r="Q35" s="556"/>
      <c r="R35" s="355"/>
      <c r="S35" s="331"/>
    </row>
    <row r="36" spans="1:19" ht="12.6" customHeight="1">
      <c r="A36" s="354"/>
      <c r="B36" s="356"/>
      <c r="C36" s="356"/>
      <c r="D36" s="615"/>
      <c r="E36" s="616"/>
      <c r="F36" s="545"/>
      <c r="G36" s="563"/>
      <c r="H36" s="564"/>
      <c r="I36" s="549">
        <v>-81462</v>
      </c>
      <c r="J36" s="358"/>
      <c r="K36" s="357"/>
      <c r="L36" s="356"/>
      <c r="M36" s="615"/>
      <c r="N36" s="616"/>
      <c r="O36" s="545"/>
      <c r="P36" s="545"/>
      <c r="Q36" s="549">
        <v>318145</v>
      </c>
      <c r="R36" s="355"/>
      <c r="S36" s="331"/>
    </row>
    <row r="37" spans="1:19" ht="12.6" customHeight="1">
      <c r="A37" s="360"/>
      <c r="B37" s="356"/>
      <c r="C37" s="356"/>
      <c r="D37" s="617"/>
      <c r="E37" s="618"/>
      <c r="F37" s="546"/>
      <c r="G37" s="565"/>
      <c r="H37" s="566"/>
      <c r="I37" s="550"/>
      <c r="J37" s="353"/>
      <c r="K37" s="359"/>
      <c r="L37" s="356"/>
      <c r="M37" s="617"/>
      <c r="N37" s="618"/>
      <c r="O37" s="546"/>
      <c r="P37" s="546"/>
      <c r="Q37" s="557"/>
      <c r="R37" s="350"/>
      <c r="S37" s="331"/>
    </row>
    <row r="38" spans="1:19" ht="12.6" customHeight="1">
      <c r="A38" s="354"/>
      <c r="B38" s="356"/>
      <c r="C38" s="356"/>
      <c r="D38" s="600" t="s">
        <v>394</v>
      </c>
      <c r="E38" s="614"/>
      <c r="F38" s="544">
        <v>108920</v>
      </c>
      <c r="G38" s="561">
        <v>78612</v>
      </c>
      <c r="H38" s="562"/>
      <c r="I38" s="547">
        <v>38.6</v>
      </c>
      <c r="J38" s="358"/>
      <c r="K38" s="357"/>
      <c r="L38" s="356"/>
      <c r="M38" s="600" t="s">
        <v>372</v>
      </c>
      <c r="N38" s="614"/>
      <c r="O38" s="544">
        <v>9110</v>
      </c>
      <c r="P38" s="544">
        <v>84630</v>
      </c>
      <c r="Q38" s="547">
        <v>-89.2</v>
      </c>
      <c r="R38" s="355"/>
      <c r="S38" s="331"/>
    </row>
    <row r="39" spans="1:19" ht="12.6" customHeight="1">
      <c r="A39" s="354"/>
      <c r="B39" s="356"/>
      <c r="C39" s="356"/>
      <c r="D39" s="615"/>
      <c r="E39" s="616"/>
      <c r="F39" s="545"/>
      <c r="G39" s="563"/>
      <c r="H39" s="564"/>
      <c r="I39" s="548"/>
      <c r="J39" s="358"/>
      <c r="K39" s="357"/>
      <c r="L39" s="356"/>
      <c r="M39" s="615"/>
      <c r="N39" s="616"/>
      <c r="O39" s="545"/>
      <c r="P39" s="545"/>
      <c r="Q39" s="556"/>
      <c r="R39" s="355"/>
      <c r="S39" s="331"/>
    </row>
    <row r="40" spans="1:19" ht="12.6" customHeight="1">
      <c r="A40" s="354"/>
      <c r="B40" s="356"/>
      <c r="C40" s="356"/>
      <c r="D40" s="615"/>
      <c r="E40" s="616"/>
      <c r="F40" s="545"/>
      <c r="G40" s="563"/>
      <c r="H40" s="564"/>
      <c r="I40" s="549">
        <v>30308</v>
      </c>
      <c r="J40" s="358"/>
      <c r="K40" s="357"/>
      <c r="L40" s="356"/>
      <c r="M40" s="615"/>
      <c r="N40" s="616"/>
      <c r="O40" s="545"/>
      <c r="P40" s="545"/>
      <c r="Q40" s="549">
        <v>-75520</v>
      </c>
      <c r="R40" s="355"/>
      <c r="S40" s="331"/>
    </row>
    <row r="41" spans="1:19" ht="12.6" customHeight="1">
      <c r="A41" s="354"/>
      <c r="B41" s="351"/>
      <c r="C41" s="351"/>
      <c r="D41" s="617"/>
      <c r="E41" s="618"/>
      <c r="F41" s="546"/>
      <c r="G41" s="565"/>
      <c r="H41" s="566"/>
      <c r="I41" s="550"/>
      <c r="J41" s="353"/>
      <c r="K41" s="352"/>
      <c r="L41" s="351"/>
      <c r="M41" s="617"/>
      <c r="N41" s="618"/>
      <c r="O41" s="546"/>
      <c r="P41" s="546"/>
      <c r="Q41" s="557"/>
      <c r="R41" s="350"/>
      <c r="S41" s="331"/>
    </row>
    <row r="42" spans="1:19" ht="37.5" customHeight="1">
      <c r="B42" s="347"/>
      <c r="C42" s="347"/>
      <c r="D42" s="349"/>
      <c r="E42" s="349"/>
      <c r="F42" s="346"/>
      <c r="G42" s="346"/>
      <c r="H42" s="346"/>
      <c r="I42" s="345"/>
      <c r="J42" s="348"/>
      <c r="K42" s="113"/>
      <c r="L42" s="113"/>
      <c r="M42" s="347"/>
      <c r="N42" s="347"/>
      <c r="O42" s="346"/>
      <c r="P42" s="346"/>
      <c r="Q42" s="345"/>
      <c r="R42" s="344"/>
      <c r="S42" s="331"/>
    </row>
    <row r="43" spans="1:19" s="334" customFormat="1" ht="26.1" customHeight="1">
      <c r="A43" s="343"/>
      <c r="B43" s="342"/>
      <c r="C43" s="342"/>
      <c r="D43" s="342"/>
      <c r="E43" s="342"/>
      <c r="H43" s="342"/>
      <c r="I43" s="339" t="s">
        <v>432</v>
      </c>
      <c r="J43" s="341"/>
      <c r="K43" s="340"/>
      <c r="L43" s="340"/>
      <c r="M43" s="338"/>
      <c r="N43" s="338"/>
      <c r="O43" s="339" t="s">
        <v>431</v>
      </c>
      <c r="P43" s="338"/>
      <c r="Q43" s="337"/>
      <c r="R43" s="336"/>
      <c r="S43" s="335"/>
    </row>
    <row r="44" spans="1:19" ht="9.9499999999999993" customHeight="1">
      <c r="A44" s="300"/>
      <c r="B44" s="306"/>
      <c r="C44" s="306"/>
      <c r="D44" s="306"/>
      <c r="E44" s="306"/>
      <c r="F44" s="299"/>
      <c r="G44" s="299"/>
      <c r="H44" s="306"/>
      <c r="I44" s="300"/>
      <c r="J44" s="300"/>
      <c r="K44" s="299"/>
      <c r="L44" s="299"/>
      <c r="M44" s="300"/>
      <c r="N44" s="300"/>
      <c r="O44" s="300"/>
      <c r="P44" s="300"/>
      <c r="Q44" s="333"/>
      <c r="R44" s="332"/>
      <c r="S44" s="331"/>
    </row>
    <row r="45" spans="1:19" ht="9.9499999999999993" customHeight="1">
      <c r="A45" s="300"/>
      <c r="B45" s="306"/>
      <c r="C45" s="306"/>
      <c r="D45" s="306"/>
      <c r="E45" s="306"/>
      <c r="F45" s="299"/>
      <c r="G45" s="299"/>
      <c r="H45" s="306"/>
      <c r="I45" s="300"/>
      <c r="J45" s="300"/>
      <c r="K45" s="299"/>
      <c r="L45" s="299"/>
      <c r="M45" s="300"/>
      <c r="N45" s="300"/>
      <c r="O45" s="300"/>
      <c r="P45" s="300"/>
      <c r="Q45" s="333"/>
      <c r="R45" s="332"/>
      <c r="S45" s="331"/>
    </row>
    <row r="46" spans="1:19" ht="25.5" customHeight="1">
      <c r="A46" s="300"/>
      <c r="B46" s="306"/>
      <c r="C46" s="306"/>
      <c r="D46" s="306"/>
      <c r="E46" s="619" t="s">
        <v>239</v>
      </c>
      <c r="F46" s="619"/>
      <c r="G46" s="619"/>
      <c r="H46" s="317"/>
      <c r="I46" s="318"/>
      <c r="J46" s="317" t="s">
        <v>373</v>
      </c>
      <c r="K46" s="317"/>
      <c r="L46" s="318"/>
      <c r="M46" s="317"/>
      <c r="N46" s="317"/>
      <c r="O46" s="317" t="s">
        <v>430</v>
      </c>
      <c r="P46" s="317"/>
      <c r="Q46" s="319"/>
      <c r="R46" s="319"/>
      <c r="S46" s="330"/>
    </row>
    <row r="47" spans="1:19" ht="20.100000000000001" customHeight="1">
      <c r="A47" s="300"/>
      <c r="B47" s="306"/>
      <c r="C47" s="306"/>
      <c r="D47" s="306"/>
      <c r="E47" s="317"/>
      <c r="F47" s="323"/>
      <c r="G47" s="323"/>
      <c r="H47" s="317"/>
      <c r="I47" s="318"/>
      <c r="J47" s="318"/>
      <c r="K47" s="318"/>
      <c r="L47" s="317"/>
      <c r="M47" s="317"/>
      <c r="N47" s="317"/>
      <c r="O47" s="329"/>
      <c r="P47" s="317"/>
      <c r="Q47" s="319"/>
      <c r="R47" s="319"/>
      <c r="S47" s="319"/>
    </row>
    <row r="48" spans="1:19" ht="25.5" customHeight="1">
      <c r="A48" s="300"/>
      <c r="B48" s="306"/>
      <c r="C48" s="306"/>
      <c r="D48" s="306"/>
      <c r="E48" s="619" t="s">
        <v>240</v>
      </c>
      <c r="F48" s="619"/>
      <c r="G48" s="619"/>
      <c r="H48" s="317"/>
      <c r="I48" s="318"/>
      <c r="J48" s="328" t="s">
        <v>374</v>
      </c>
      <c r="K48" s="328"/>
      <c r="L48" s="318"/>
      <c r="M48" s="327"/>
      <c r="N48" s="327"/>
      <c r="O48" s="327" t="s">
        <v>429</v>
      </c>
      <c r="P48" s="317"/>
      <c r="Q48" s="319"/>
      <c r="R48" s="319"/>
      <c r="S48" s="309"/>
    </row>
    <row r="49" spans="1:19" ht="20.100000000000001" customHeight="1">
      <c r="A49" s="300"/>
      <c r="B49" s="306"/>
      <c r="C49" s="306"/>
      <c r="D49" s="306"/>
      <c r="E49" s="317"/>
      <c r="F49" s="323"/>
      <c r="G49" s="323"/>
      <c r="H49" s="317"/>
      <c r="I49" s="318"/>
      <c r="J49" s="318"/>
      <c r="K49" s="318"/>
      <c r="L49" s="324"/>
      <c r="M49" s="317"/>
      <c r="N49" s="317"/>
      <c r="O49" s="326"/>
      <c r="P49" s="317"/>
      <c r="Q49" s="325"/>
      <c r="R49" s="319"/>
      <c r="S49" s="309"/>
    </row>
    <row r="50" spans="1:19" ht="25.5" customHeight="1">
      <c r="A50" s="300"/>
      <c r="B50" s="306"/>
      <c r="C50" s="306"/>
      <c r="D50" s="306"/>
      <c r="E50" s="619" t="s">
        <v>241</v>
      </c>
      <c r="F50" s="619"/>
      <c r="G50" s="619"/>
      <c r="H50" s="317"/>
      <c r="I50" s="318"/>
      <c r="J50" s="324" t="s">
        <v>395</v>
      </c>
      <c r="K50" s="324"/>
      <c r="L50" s="318"/>
      <c r="M50" s="317"/>
      <c r="N50" s="317"/>
      <c r="O50" s="324" t="s">
        <v>428</v>
      </c>
      <c r="P50" s="317"/>
      <c r="Q50" s="319"/>
      <c r="R50" s="319"/>
      <c r="S50" s="309"/>
    </row>
    <row r="51" spans="1:19" ht="20.100000000000001" customHeight="1">
      <c r="A51" s="300"/>
      <c r="B51" s="300"/>
      <c r="C51" s="300"/>
      <c r="D51" s="300"/>
      <c r="E51" s="322"/>
      <c r="F51" s="323"/>
      <c r="G51" s="323"/>
      <c r="H51" s="322"/>
      <c r="I51" s="322"/>
      <c r="J51" s="318"/>
      <c r="K51" s="318"/>
      <c r="L51" s="317"/>
      <c r="M51" s="317"/>
      <c r="N51" s="317"/>
      <c r="O51" s="321"/>
      <c r="P51" s="317"/>
      <c r="Q51" s="320" t="s">
        <v>120</v>
      </c>
      <c r="R51" s="319"/>
      <c r="S51" s="310"/>
    </row>
    <row r="52" spans="1:19" s="304" customFormat="1" ht="25.5" customHeight="1">
      <c r="A52" s="306"/>
      <c r="B52" s="300"/>
      <c r="C52" s="300"/>
      <c r="D52" s="300"/>
      <c r="E52" s="619" t="s">
        <v>242</v>
      </c>
      <c r="F52" s="619"/>
      <c r="G52" s="619"/>
      <c r="H52" s="317"/>
      <c r="I52" s="318"/>
      <c r="J52" s="318" t="s">
        <v>396</v>
      </c>
      <c r="K52" s="318"/>
      <c r="L52" s="318"/>
      <c r="M52" s="317"/>
      <c r="N52" s="317"/>
      <c r="O52" s="317" t="s">
        <v>503</v>
      </c>
      <c r="P52" s="317"/>
      <c r="Q52" s="620">
        <v>683</v>
      </c>
      <c r="R52" s="620"/>
      <c r="S52" s="310"/>
    </row>
    <row r="53" spans="1:19" s="304" customFormat="1" ht="20.100000000000001" customHeight="1">
      <c r="A53" s="303"/>
      <c r="B53" s="301"/>
      <c r="C53" s="301"/>
      <c r="D53" s="301"/>
      <c r="E53" s="316"/>
      <c r="F53" s="315"/>
      <c r="G53" s="315"/>
      <c r="H53" s="313"/>
      <c r="I53" s="314"/>
      <c r="J53" s="313"/>
      <c r="K53" s="314"/>
      <c r="L53" s="314"/>
      <c r="M53" s="313"/>
      <c r="N53" s="313"/>
      <c r="O53" s="313"/>
      <c r="P53" s="313"/>
      <c r="Q53" s="312"/>
      <c r="R53" s="311"/>
      <c r="S53" s="310"/>
    </row>
    <row r="54" spans="1:19" s="304" customFormat="1" ht="51" customHeight="1">
      <c r="A54" s="308"/>
      <c r="B54" s="303"/>
      <c r="C54" s="303"/>
      <c r="D54" s="303"/>
      <c r="E54" s="621" t="s">
        <v>213</v>
      </c>
      <c r="F54" s="621"/>
      <c r="G54" s="621"/>
      <c r="H54" s="621"/>
      <c r="I54" s="621"/>
      <c r="J54" s="621"/>
      <c r="K54" s="621"/>
      <c r="L54" s="621"/>
      <c r="M54" s="621"/>
      <c r="N54" s="621"/>
      <c r="O54" s="621"/>
      <c r="P54" s="621"/>
      <c r="Q54" s="621"/>
      <c r="R54" s="306"/>
      <c r="S54" s="309"/>
    </row>
    <row r="55" spans="1:19" s="304" customFormat="1" ht="15" customHeight="1">
      <c r="A55" s="308"/>
      <c r="B55" s="303"/>
      <c r="C55" s="303"/>
      <c r="D55" s="303"/>
      <c r="E55" s="303"/>
      <c r="F55" s="303"/>
      <c r="G55" s="303"/>
      <c r="H55" s="303"/>
      <c r="I55" s="303"/>
      <c r="J55" s="303"/>
      <c r="K55" s="305"/>
      <c r="L55" s="305"/>
      <c r="M55" s="305"/>
      <c r="N55" s="305"/>
      <c r="O55" s="305"/>
      <c r="P55" s="305"/>
      <c r="Q55" s="305"/>
      <c r="S55" s="307"/>
    </row>
    <row r="56" spans="1:19" s="304" customFormat="1" ht="15" customHeight="1">
      <c r="A56" s="301"/>
      <c r="B56" s="303"/>
      <c r="C56" s="303"/>
      <c r="D56" s="303"/>
      <c r="E56" s="303"/>
      <c r="F56" s="303"/>
      <c r="G56" s="303"/>
      <c r="H56" s="303"/>
      <c r="I56" s="303"/>
      <c r="J56" s="303"/>
      <c r="K56" s="305"/>
      <c r="L56" s="305"/>
      <c r="M56" s="305"/>
      <c r="N56" s="305"/>
      <c r="O56" s="305"/>
      <c r="P56" s="305"/>
      <c r="Q56" s="305"/>
      <c r="S56" s="307"/>
    </row>
    <row r="57" spans="1:19" s="304" customFormat="1" ht="15" customHeight="1">
      <c r="A57" s="301"/>
      <c r="B57" s="301"/>
      <c r="C57" s="301"/>
      <c r="D57" s="301"/>
      <c r="E57" s="301"/>
      <c r="F57" s="301"/>
      <c r="G57" s="301"/>
      <c r="H57" s="301"/>
      <c r="I57" s="301"/>
      <c r="J57" s="301"/>
      <c r="K57" s="305"/>
      <c r="L57" s="305"/>
      <c r="M57" s="305"/>
      <c r="N57" s="305"/>
      <c r="O57" s="305"/>
      <c r="P57" s="305"/>
      <c r="Q57" s="305"/>
      <c r="S57" s="306"/>
    </row>
    <row r="58" spans="1:19" s="304" customFormat="1" ht="14.25" customHeight="1">
      <c r="A58" s="303"/>
      <c r="B58" s="301"/>
      <c r="C58" s="301"/>
      <c r="D58" s="301"/>
      <c r="E58" s="301"/>
      <c r="F58" s="301"/>
      <c r="G58" s="301"/>
      <c r="H58" s="301"/>
      <c r="I58" s="301"/>
      <c r="J58" s="301"/>
      <c r="K58" s="302"/>
      <c r="L58" s="302"/>
      <c r="M58" s="301"/>
      <c r="N58" s="301"/>
      <c r="O58" s="301"/>
      <c r="P58" s="301"/>
      <c r="Q58" s="301"/>
      <c r="R58" s="300"/>
      <c r="S58" s="300"/>
    </row>
    <row r="59" spans="1:19" s="304" customFormat="1" ht="15" customHeight="1">
      <c r="A59" s="303"/>
      <c r="B59" s="301"/>
      <c r="C59" s="301"/>
      <c r="D59" s="301"/>
      <c r="E59" s="301"/>
      <c r="F59" s="301"/>
      <c r="G59" s="301"/>
      <c r="H59" s="301"/>
      <c r="I59" s="301"/>
      <c r="J59" s="301"/>
      <c r="K59" s="302"/>
      <c r="L59" s="302"/>
      <c r="M59" s="301"/>
      <c r="N59" s="301"/>
      <c r="O59" s="301"/>
      <c r="P59" s="301"/>
      <c r="Q59" s="301"/>
      <c r="R59" s="300"/>
      <c r="S59" s="300"/>
    </row>
    <row r="60" spans="1:19" s="304" customFormat="1" ht="15" customHeight="1">
      <c r="A60" s="303"/>
      <c r="B60" s="301"/>
      <c r="C60" s="301"/>
      <c r="D60" s="301"/>
      <c r="E60" s="301"/>
      <c r="F60" s="301"/>
      <c r="G60" s="301"/>
      <c r="H60" s="301"/>
      <c r="I60" s="301"/>
      <c r="J60" s="301"/>
      <c r="K60" s="302"/>
      <c r="L60" s="302"/>
      <c r="M60" s="301"/>
      <c r="N60" s="301"/>
      <c r="O60" s="301"/>
      <c r="P60" s="301"/>
      <c r="Q60" s="301"/>
      <c r="R60" s="300"/>
      <c r="S60" s="300"/>
    </row>
    <row r="61" spans="1:19" s="304" customFormat="1" ht="15" customHeight="1">
      <c r="A61" s="303"/>
      <c r="B61" s="301"/>
      <c r="C61" s="301"/>
      <c r="D61" s="301"/>
      <c r="E61" s="301"/>
      <c r="F61" s="301"/>
      <c r="G61" s="301"/>
      <c r="H61" s="301"/>
      <c r="I61" s="301"/>
      <c r="J61" s="301"/>
      <c r="K61" s="302"/>
      <c r="L61" s="302"/>
      <c r="M61" s="301"/>
      <c r="N61" s="301"/>
      <c r="O61" s="301"/>
      <c r="P61" s="301"/>
      <c r="Q61" s="301"/>
      <c r="R61" s="300"/>
      <c r="S61" s="300"/>
    </row>
    <row r="62" spans="1:19" s="304" customFormat="1" ht="15" customHeight="1">
      <c r="A62" s="303"/>
      <c r="B62" s="301"/>
      <c r="C62" s="301"/>
      <c r="D62" s="301"/>
      <c r="E62" s="301"/>
      <c r="F62" s="301"/>
      <c r="G62" s="301"/>
      <c r="H62" s="301"/>
      <c r="I62" s="301"/>
      <c r="J62" s="301"/>
      <c r="K62" s="302"/>
      <c r="L62" s="302"/>
      <c r="M62" s="301"/>
      <c r="N62" s="301"/>
      <c r="O62" s="301"/>
      <c r="P62" s="301"/>
      <c r="Q62" s="301"/>
      <c r="R62" s="300"/>
      <c r="S62" s="300"/>
    </row>
    <row r="63" spans="1:19" s="304" customFormat="1" ht="15" customHeight="1">
      <c r="A63" s="303"/>
      <c r="B63" s="301"/>
      <c r="C63" s="301"/>
      <c r="D63" s="301"/>
      <c r="E63" s="301"/>
      <c r="F63" s="301"/>
      <c r="G63" s="301"/>
      <c r="H63" s="301"/>
      <c r="I63" s="301"/>
      <c r="J63" s="301"/>
      <c r="K63" s="302"/>
      <c r="L63" s="302"/>
      <c r="M63" s="301"/>
      <c r="N63" s="301"/>
      <c r="O63" s="301"/>
      <c r="P63" s="301"/>
      <c r="Q63" s="301"/>
      <c r="R63" s="300"/>
      <c r="S63" s="300"/>
    </row>
    <row r="64" spans="1:19" s="304" customFormat="1" ht="15" customHeight="1">
      <c r="A64" s="305"/>
      <c r="B64" s="301"/>
      <c r="C64" s="301"/>
      <c r="D64" s="301"/>
      <c r="E64" s="301"/>
      <c r="F64" s="301"/>
      <c r="G64" s="301"/>
      <c r="H64" s="301"/>
      <c r="I64" s="301"/>
      <c r="J64" s="301"/>
      <c r="K64" s="302"/>
      <c r="L64" s="302"/>
      <c r="M64" s="301"/>
      <c r="N64" s="301"/>
      <c r="O64" s="301"/>
      <c r="P64" s="301"/>
      <c r="Q64" s="301"/>
      <c r="R64" s="300"/>
      <c r="S64" s="300"/>
    </row>
    <row r="65" spans="1:19" s="304" customFormat="1" ht="15" customHeight="1">
      <c r="A65" s="303"/>
      <c r="B65" s="301"/>
      <c r="C65" s="301"/>
      <c r="D65" s="301"/>
      <c r="E65" s="301"/>
      <c r="F65" s="301"/>
      <c r="G65" s="301"/>
      <c r="H65" s="301"/>
      <c r="I65" s="301"/>
      <c r="J65" s="301"/>
      <c r="K65" s="302"/>
      <c r="L65" s="302"/>
      <c r="M65" s="301"/>
      <c r="N65" s="301"/>
      <c r="O65" s="301"/>
      <c r="P65" s="301"/>
      <c r="Q65" s="301"/>
      <c r="R65" s="300"/>
      <c r="S65" s="300"/>
    </row>
    <row r="66" spans="1:19" ht="12.95" customHeight="1">
      <c r="A66" s="303"/>
    </row>
    <row r="67" spans="1:19" ht="12.95" customHeight="1"/>
  </sheetData>
  <mergeCells count="112">
    <mergeCell ref="Q34:Q35"/>
    <mergeCell ref="I36:I37"/>
    <mergeCell ref="Q36:Q37"/>
    <mergeCell ref="E50:G50"/>
    <mergeCell ref="E52:G52"/>
    <mergeCell ref="Q52:R52"/>
    <mergeCell ref="E54:Q54"/>
    <mergeCell ref="P38:P41"/>
    <mergeCell ref="Q38:Q39"/>
    <mergeCell ref="I40:I41"/>
    <mergeCell ref="Q40:Q41"/>
    <mergeCell ref="E46:G46"/>
    <mergeCell ref="E48:G48"/>
    <mergeCell ref="D38:E41"/>
    <mergeCell ref="F38:F41"/>
    <mergeCell ref="G38:H41"/>
    <mergeCell ref="I38:I39"/>
    <mergeCell ref="M38:N41"/>
    <mergeCell ref="O38:O41"/>
    <mergeCell ref="C32:E33"/>
    <mergeCell ref="F32:F33"/>
    <mergeCell ref="G32:H33"/>
    <mergeCell ref="L32:N33"/>
    <mergeCell ref="O32:O33"/>
    <mergeCell ref="P32:P33"/>
    <mergeCell ref="D34:E37"/>
    <mergeCell ref="F34:F37"/>
    <mergeCell ref="G34:H37"/>
    <mergeCell ref="I34:I35"/>
    <mergeCell ref="M34:N37"/>
    <mergeCell ref="O34:O37"/>
    <mergeCell ref="P34:P37"/>
    <mergeCell ref="C28:E29"/>
    <mergeCell ref="F28:F29"/>
    <mergeCell ref="G28:H29"/>
    <mergeCell ref="M28:N29"/>
    <mergeCell ref="O28:O29"/>
    <mergeCell ref="P28:P29"/>
    <mergeCell ref="D30:E31"/>
    <mergeCell ref="F30:F31"/>
    <mergeCell ref="G30:H31"/>
    <mergeCell ref="L30:N31"/>
    <mergeCell ref="O30:O31"/>
    <mergeCell ref="P30:P31"/>
    <mergeCell ref="C24:E25"/>
    <mergeCell ref="F24:F25"/>
    <mergeCell ref="G24:H25"/>
    <mergeCell ref="N24:N25"/>
    <mergeCell ref="O24:O25"/>
    <mergeCell ref="P24:P25"/>
    <mergeCell ref="D26:E27"/>
    <mergeCell ref="F26:F27"/>
    <mergeCell ref="G26:H27"/>
    <mergeCell ref="N26:N27"/>
    <mergeCell ref="O26:O27"/>
    <mergeCell ref="P26:P27"/>
    <mergeCell ref="B6:E9"/>
    <mergeCell ref="C22:E23"/>
    <mergeCell ref="F22:F23"/>
    <mergeCell ref="G22:H23"/>
    <mergeCell ref="N22:N23"/>
    <mergeCell ref="O22:O23"/>
    <mergeCell ref="P22:P23"/>
    <mergeCell ref="D20:E21"/>
    <mergeCell ref="F20:F21"/>
    <mergeCell ref="G20:H21"/>
    <mergeCell ref="N20:N21"/>
    <mergeCell ref="O20:O21"/>
    <mergeCell ref="P20:P21"/>
    <mergeCell ref="P14:P17"/>
    <mergeCell ref="C10:E13"/>
    <mergeCell ref="F10:F13"/>
    <mergeCell ref="G10:H13"/>
    <mergeCell ref="O10:O13"/>
    <mergeCell ref="D14:E17"/>
    <mergeCell ref="F14:F17"/>
    <mergeCell ref="I14:I15"/>
    <mergeCell ref="M14:N17"/>
    <mergeCell ref="O14:O17"/>
    <mergeCell ref="I16:I17"/>
    <mergeCell ref="G18:H19"/>
    <mergeCell ref="M18:N19"/>
    <mergeCell ref="O18:O19"/>
    <mergeCell ref="Q16:Q17"/>
    <mergeCell ref="P18:P19"/>
    <mergeCell ref="C18:E19"/>
    <mergeCell ref="F18:F19"/>
    <mergeCell ref="G14:H17"/>
    <mergeCell ref="Q14:Q15"/>
    <mergeCell ref="O1:P1"/>
    <mergeCell ref="F4:H4"/>
    <mergeCell ref="I4:J4"/>
    <mergeCell ref="O4:P4"/>
    <mergeCell ref="P10:P13"/>
    <mergeCell ref="Q10:Q11"/>
    <mergeCell ref="I12:I13"/>
    <mergeCell ref="Q12:Q13"/>
    <mergeCell ref="Q4:R4"/>
    <mergeCell ref="G5:H5"/>
    <mergeCell ref="P6:P9"/>
    <mergeCell ref="Q6:Q7"/>
    <mergeCell ref="I8:I9"/>
    <mergeCell ref="Q8:Q9"/>
    <mergeCell ref="F6:F9"/>
    <mergeCell ref="G6:H9"/>
    <mergeCell ref="I6:I7"/>
    <mergeCell ref="K6:N9"/>
    <mergeCell ref="O6:O9"/>
    <mergeCell ref="I10:I11"/>
    <mergeCell ref="L10:N13"/>
    <mergeCell ref="I5:J5"/>
    <mergeCell ref="Q5:R5"/>
  </mergeCells>
  <phoneticPr fontId="9"/>
  <pageMargins left="0.39370078740157483" right="0.39370078740157483" top="0.55118110236220474" bottom="0.35433070866141736" header="0" footer="0.39370078740157483"/>
  <pageSetup paperSize="9" scale="7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Y163"/>
  <sheetViews>
    <sheetView view="pageBreakPreview" zoomScaleNormal="100" zoomScaleSheetLayoutView="100" workbookViewId="0"/>
  </sheetViews>
  <sheetFormatPr defaultRowHeight="13.5"/>
  <cols>
    <col min="1" max="1" width="2.85546875" style="396" customWidth="1"/>
    <col min="2" max="2" width="12.42578125" style="396" customWidth="1"/>
    <col min="3" max="3" width="2.85546875" style="396" customWidth="1"/>
    <col min="4" max="4" width="9.140625" style="396"/>
    <col min="5" max="5" width="15" style="396" customWidth="1"/>
    <col min="6" max="7" width="9.140625" style="396"/>
    <col min="8" max="8" width="15.42578125" style="396" customWidth="1"/>
    <col min="9" max="9" width="12.140625" style="396" customWidth="1"/>
    <col min="10" max="10" width="18.5703125" style="396" customWidth="1"/>
    <col min="11" max="11" width="2.85546875" style="396" customWidth="1"/>
    <col min="12" max="12" width="3.140625" style="396" customWidth="1"/>
    <col min="13" max="13" width="9.140625" style="396"/>
    <col min="14" max="14" width="11.140625" style="396" bestFit="1" customWidth="1"/>
    <col min="15" max="16384" width="9.140625" style="396"/>
  </cols>
  <sheetData>
    <row r="4" spans="1:11" ht="42.75" customHeight="1"/>
    <row r="5" spans="1:11" ht="15" customHeight="1">
      <c r="A5" s="432"/>
      <c r="B5" s="628" t="s">
        <v>123</v>
      </c>
      <c r="C5" s="431"/>
      <c r="D5" s="431"/>
      <c r="E5" s="431"/>
      <c r="F5" s="431"/>
      <c r="G5" s="431"/>
      <c r="H5" s="431"/>
      <c r="I5" s="431"/>
      <c r="J5" s="431"/>
      <c r="K5" s="430"/>
    </row>
    <row r="6" spans="1:11" ht="15" customHeight="1">
      <c r="A6" s="425"/>
      <c r="B6" s="629"/>
      <c r="C6" s="424"/>
      <c r="D6" s="424"/>
      <c r="E6" s="424"/>
      <c r="F6" s="424"/>
      <c r="G6" s="424"/>
      <c r="H6" s="424"/>
      <c r="I6" s="424"/>
      <c r="J6" s="424"/>
      <c r="K6" s="422"/>
    </row>
    <row r="7" spans="1:11" ht="15" customHeight="1">
      <c r="A7" s="425"/>
      <c r="B7" s="629"/>
      <c r="C7" s="424"/>
      <c r="D7" s="424"/>
      <c r="E7" s="424"/>
      <c r="F7" s="424"/>
      <c r="G7" s="424"/>
      <c r="H7" s="424"/>
      <c r="I7" s="424"/>
      <c r="J7" s="424"/>
      <c r="K7" s="422"/>
    </row>
    <row r="8" spans="1:11" ht="14.1" customHeight="1">
      <c r="A8" s="425"/>
      <c r="B8" s="433"/>
      <c r="C8" s="424"/>
      <c r="D8" s="432"/>
      <c r="E8" s="431"/>
      <c r="F8" s="431"/>
      <c r="G8" s="431"/>
      <c r="H8" s="431"/>
      <c r="I8" s="431"/>
      <c r="J8" s="430"/>
      <c r="K8" s="422"/>
    </row>
    <row r="9" spans="1:11" ht="20.100000000000001" customHeight="1">
      <c r="A9" s="425"/>
      <c r="B9" s="424"/>
      <c r="C9" s="424"/>
      <c r="D9" s="630" t="s">
        <v>467</v>
      </c>
      <c r="E9" s="631"/>
      <c r="F9" s="631"/>
      <c r="G9" s="631"/>
      <c r="H9" s="631"/>
      <c r="I9" s="631"/>
      <c r="J9" s="632"/>
      <c r="K9" s="422"/>
    </row>
    <row r="10" spans="1:11" ht="14.1" customHeight="1">
      <c r="A10" s="425"/>
      <c r="B10" s="426"/>
      <c r="C10" s="427"/>
      <c r="D10" s="633"/>
      <c r="E10" s="634"/>
      <c r="F10" s="634"/>
      <c r="G10" s="634"/>
      <c r="H10" s="634"/>
      <c r="I10" s="634"/>
      <c r="J10" s="635"/>
      <c r="K10" s="422"/>
    </row>
    <row r="11" spans="1:11" ht="20.100000000000001" customHeight="1">
      <c r="A11" s="425"/>
      <c r="B11" s="426"/>
      <c r="C11" s="424"/>
      <c r="D11" s="633" t="s">
        <v>476</v>
      </c>
      <c r="E11" s="634"/>
      <c r="F11" s="634"/>
      <c r="G11" s="634"/>
      <c r="H11" s="634"/>
      <c r="I11" s="634"/>
      <c r="J11" s="635"/>
      <c r="K11" s="422"/>
    </row>
    <row r="12" spans="1:11" ht="20.100000000000001" customHeight="1">
      <c r="A12" s="425"/>
      <c r="B12" s="426"/>
      <c r="C12" s="424"/>
      <c r="D12" s="633" t="s">
        <v>477</v>
      </c>
      <c r="E12" s="634"/>
      <c r="F12" s="634"/>
      <c r="G12" s="634"/>
      <c r="H12" s="634"/>
      <c r="I12" s="634"/>
      <c r="J12" s="635"/>
      <c r="K12" s="422"/>
    </row>
    <row r="13" spans="1:11" ht="14.1" customHeight="1">
      <c r="A13" s="425"/>
      <c r="B13" s="426"/>
      <c r="C13" s="424"/>
      <c r="D13" s="633"/>
      <c r="E13" s="634"/>
      <c r="F13" s="634"/>
      <c r="G13" s="634"/>
      <c r="H13" s="634"/>
      <c r="I13" s="634"/>
      <c r="J13" s="635"/>
      <c r="K13" s="422"/>
    </row>
    <row r="14" spans="1:11" ht="20.100000000000001" customHeight="1">
      <c r="A14" s="425"/>
      <c r="B14" s="426"/>
      <c r="C14" s="424"/>
      <c r="D14" s="633" t="s">
        <v>466</v>
      </c>
      <c r="E14" s="634"/>
      <c r="F14" s="634"/>
      <c r="G14" s="634"/>
      <c r="H14" s="634"/>
      <c r="I14" s="634"/>
      <c r="J14" s="635"/>
      <c r="K14" s="422"/>
    </row>
    <row r="15" spans="1:11" ht="14.1" customHeight="1">
      <c r="A15" s="425"/>
      <c r="B15" s="426"/>
      <c r="C15" s="424"/>
      <c r="D15" s="633"/>
      <c r="E15" s="634"/>
      <c r="F15" s="634"/>
      <c r="G15" s="634"/>
      <c r="H15" s="634"/>
      <c r="I15" s="634"/>
      <c r="J15" s="635"/>
      <c r="K15" s="422"/>
    </row>
    <row r="16" spans="1:11" ht="20.100000000000001" customHeight="1">
      <c r="A16" s="425"/>
      <c r="B16" s="424"/>
      <c r="C16" s="424"/>
      <c r="D16" s="633" t="s">
        <v>465</v>
      </c>
      <c r="E16" s="634"/>
      <c r="F16" s="634"/>
      <c r="G16" s="634"/>
      <c r="H16" s="634"/>
      <c r="I16" s="634"/>
      <c r="J16" s="635"/>
      <c r="K16" s="422"/>
    </row>
    <row r="17" spans="1:11" ht="14.1" customHeight="1">
      <c r="A17" s="425"/>
      <c r="B17" s="424"/>
      <c r="C17" s="424"/>
      <c r="D17" s="429"/>
      <c r="E17" s="419"/>
      <c r="F17" s="419"/>
      <c r="G17" s="419"/>
      <c r="H17" s="419"/>
      <c r="I17" s="419"/>
      <c r="J17" s="428"/>
      <c r="K17" s="422"/>
    </row>
    <row r="18" spans="1:11" ht="30" customHeight="1">
      <c r="A18" s="425"/>
      <c r="B18" s="424"/>
      <c r="C18" s="424"/>
      <c r="D18" s="424"/>
      <c r="E18" s="424"/>
      <c r="F18" s="424"/>
      <c r="G18" s="424"/>
      <c r="H18" s="424"/>
      <c r="I18" s="424"/>
      <c r="J18" s="424"/>
      <c r="K18" s="422"/>
    </row>
    <row r="19" spans="1:11" ht="14.1" customHeight="1">
      <c r="A19" s="425"/>
      <c r="B19" s="424"/>
      <c r="C19" s="424"/>
      <c r="D19" s="432"/>
      <c r="E19" s="431"/>
      <c r="F19" s="431"/>
      <c r="G19" s="431"/>
      <c r="H19" s="431"/>
      <c r="I19" s="431"/>
      <c r="J19" s="430"/>
      <c r="K19" s="422"/>
    </row>
    <row r="20" spans="1:11" ht="20.100000000000001" customHeight="1">
      <c r="A20" s="425"/>
      <c r="B20" s="426"/>
      <c r="C20" s="424"/>
      <c r="D20" s="633" t="s">
        <v>464</v>
      </c>
      <c r="E20" s="634"/>
      <c r="F20" s="634"/>
      <c r="G20" s="634"/>
      <c r="H20" s="634"/>
      <c r="I20" s="634"/>
      <c r="J20" s="635"/>
      <c r="K20" s="422"/>
    </row>
    <row r="21" spans="1:11" ht="20.100000000000001" customHeight="1">
      <c r="A21" s="425"/>
      <c r="B21" s="426"/>
      <c r="C21" s="424"/>
      <c r="D21" s="633" t="s">
        <v>463</v>
      </c>
      <c r="E21" s="634"/>
      <c r="F21" s="634"/>
      <c r="G21" s="634"/>
      <c r="H21" s="634"/>
      <c r="I21" s="634"/>
      <c r="J21" s="635"/>
      <c r="K21" s="422"/>
    </row>
    <row r="22" spans="1:11" ht="14.1" customHeight="1">
      <c r="A22" s="425"/>
      <c r="B22" s="426"/>
      <c r="C22" s="424"/>
      <c r="D22" s="633"/>
      <c r="E22" s="634"/>
      <c r="F22" s="634"/>
      <c r="G22" s="634"/>
      <c r="H22" s="634"/>
      <c r="I22" s="634"/>
      <c r="J22" s="635"/>
      <c r="K22" s="422"/>
    </row>
    <row r="23" spans="1:11" ht="20.100000000000001" customHeight="1">
      <c r="A23" s="425"/>
      <c r="B23" s="426"/>
      <c r="C23" s="424"/>
      <c r="D23" s="633" t="s">
        <v>462</v>
      </c>
      <c r="E23" s="634"/>
      <c r="F23" s="634"/>
      <c r="G23" s="634"/>
      <c r="H23" s="634"/>
      <c r="I23" s="634"/>
      <c r="J23" s="635"/>
      <c r="K23" s="422"/>
    </row>
    <row r="24" spans="1:11" ht="20.100000000000001" customHeight="1">
      <c r="A24" s="425"/>
      <c r="B24" s="426"/>
      <c r="C24" s="424"/>
      <c r="D24" s="633" t="s">
        <v>499</v>
      </c>
      <c r="E24" s="634"/>
      <c r="F24" s="634"/>
      <c r="G24" s="634"/>
      <c r="H24" s="634"/>
      <c r="I24" s="634"/>
      <c r="J24" s="635"/>
      <c r="K24" s="422"/>
    </row>
    <row r="25" spans="1:11" ht="14.1" customHeight="1">
      <c r="A25" s="425"/>
      <c r="B25" s="426"/>
      <c r="C25" s="424"/>
      <c r="D25" s="633"/>
      <c r="E25" s="634"/>
      <c r="F25" s="634"/>
      <c r="G25" s="634"/>
      <c r="H25" s="634"/>
      <c r="I25" s="634"/>
      <c r="J25" s="635"/>
      <c r="K25" s="422"/>
    </row>
    <row r="26" spans="1:11" ht="20.100000000000001" customHeight="1">
      <c r="A26" s="425"/>
      <c r="B26" s="424"/>
      <c r="C26" s="424"/>
      <c r="D26" s="633" t="s">
        <v>461</v>
      </c>
      <c r="E26" s="634"/>
      <c r="F26" s="634"/>
      <c r="G26" s="634"/>
      <c r="H26" s="634"/>
      <c r="I26" s="634"/>
      <c r="J26" s="635"/>
      <c r="K26" s="422"/>
    </row>
    <row r="27" spans="1:11" ht="14.1" customHeight="1">
      <c r="A27" s="425"/>
      <c r="B27" s="424"/>
      <c r="C27" s="424"/>
      <c r="D27" s="429"/>
      <c r="E27" s="419"/>
      <c r="F27" s="419"/>
      <c r="G27" s="419"/>
      <c r="H27" s="419"/>
      <c r="I27" s="419"/>
      <c r="J27" s="428"/>
      <c r="K27" s="422"/>
    </row>
    <row r="28" spans="1:11" ht="30" customHeight="1">
      <c r="A28" s="425"/>
      <c r="B28" s="424"/>
      <c r="C28" s="424"/>
      <c r="D28" s="424"/>
      <c r="E28" s="424"/>
      <c r="F28" s="424"/>
      <c r="G28" s="424"/>
      <c r="H28" s="424"/>
      <c r="I28" s="424"/>
      <c r="J28" s="424"/>
      <c r="K28" s="422"/>
    </row>
    <row r="29" spans="1:11" ht="14.1" customHeight="1">
      <c r="A29" s="425"/>
      <c r="B29" s="424"/>
      <c r="C29" s="424"/>
      <c r="D29" s="432"/>
      <c r="E29" s="431"/>
      <c r="F29" s="431"/>
      <c r="G29" s="431"/>
      <c r="H29" s="431"/>
      <c r="I29" s="431"/>
      <c r="J29" s="430"/>
      <c r="K29" s="422"/>
    </row>
    <row r="30" spans="1:11" ht="20.100000000000001" customHeight="1">
      <c r="A30" s="425"/>
      <c r="B30" s="426"/>
      <c r="C30" s="424"/>
      <c r="D30" s="633" t="s">
        <v>460</v>
      </c>
      <c r="E30" s="634"/>
      <c r="F30" s="634"/>
      <c r="G30" s="634"/>
      <c r="H30" s="634"/>
      <c r="I30" s="634"/>
      <c r="J30" s="635"/>
      <c r="K30" s="422"/>
    </row>
    <row r="31" spans="1:11" ht="20.100000000000001" customHeight="1">
      <c r="A31" s="425"/>
      <c r="B31" s="426"/>
      <c r="C31" s="424"/>
      <c r="D31" s="633" t="s">
        <v>459</v>
      </c>
      <c r="E31" s="634"/>
      <c r="F31" s="634"/>
      <c r="G31" s="634"/>
      <c r="H31" s="634"/>
      <c r="I31" s="634"/>
      <c r="J31" s="635"/>
      <c r="K31" s="422"/>
    </row>
    <row r="32" spans="1:11" ht="14.1" customHeight="1">
      <c r="A32" s="425"/>
      <c r="B32" s="424"/>
      <c r="C32" s="424"/>
      <c r="D32" s="429"/>
      <c r="E32" s="419"/>
      <c r="F32" s="419"/>
      <c r="G32" s="419"/>
      <c r="H32" s="419"/>
      <c r="I32" s="419"/>
      <c r="J32" s="428"/>
      <c r="K32" s="422"/>
    </row>
    <row r="33" spans="1:11" ht="30" customHeight="1">
      <c r="A33" s="425"/>
      <c r="B33" s="424"/>
      <c r="C33" s="424"/>
      <c r="D33" s="424"/>
      <c r="E33" s="424"/>
      <c r="F33" s="424"/>
      <c r="G33" s="424"/>
      <c r="H33" s="424"/>
      <c r="I33" s="424"/>
      <c r="J33" s="424"/>
      <c r="K33" s="422"/>
    </row>
    <row r="34" spans="1:11" ht="14.1" customHeight="1">
      <c r="A34" s="425"/>
      <c r="B34" s="426"/>
      <c r="C34" s="427"/>
      <c r="D34" s="636"/>
      <c r="E34" s="637"/>
      <c r="F34" s="637"/>
      <c r="G34" s="637"/>
      <c r="H34" s="637"/>
      <c r="I34" s="637"/>
      <c r="J34" s="638"/>
      <c r="K34" s="422"/>
    </row>
    <row r="35" spans="1:11" ht="20.100000000000001" customHeight="1">
      <c r="A35" s="425"/>
      <c r="B35" s="426"/>
      <c r="C35" s="424"/>
      <c r="D35" s="633" t="s">
        <v>458</v>
      </c>
      <c r="E35" s="634"/>
      <c r="F35" s="634"/>
      <c r="G35" s="634"/>
      <c r="H35" s="634"/>
      <c r="I35" s="634"/>
      <c r="J35" s="635"/>
      <c r="K35" s="422"/>
    </row>
    <row r="36" spans="1:11" ht="14.1" customHeight="1">
      <c r="A36" s="425"/>
      <c r="B36" s="426"/>
      <c r="C36" s="424"/>
      <c r="D36" s="633"/>
      <c r="E36" s="634"/>
      <c r="F36" s="634"/>
      <c r="G36" s="634"/>
      <c r="H36" s="634"/>
      <c r="I36" s="634"/>
      <c r="J36" s="635"/>
      <c r="K36" s="422"/>
    </row>
    <row r="37" spans="1:11" ht="20.100000000000001" customHeight="1">
      <c r="A37" s="425"/>
      <c r="B37" s="426"/>
      <c r="C37" s="424"/>
      <c r="D37" s="633" t="s">
        <v>457</v>
      </c>
      <c r="E37" s="634"/>
      <c r="F37" s="634"/>
      <c r="G37" s="634"/>
      <c r="H37" s="634"/>
      <c r="I37" s="634"/>
      <c r="J37" s="635"/>
      <c r="K37" s="422"/>
    </row>
    <row r="38" spans="1:11" ht="14.1" customHeight="1">
      <c r="A38" s="425"/>
      <c r="B38" s="426"/>
      <c r="C38" s="424"/>
      <c r="D38" s="633"/>
      <c r="E38" s="634"/>
      <c r="F38" s="634"/>
      <c r="G38" s="634"/>
      <c r="H38" s="634"/>
      <c r="I38" s="634"/>
      <c r="J38" s="635"/>
      <c r="K38" s="422"/>
    </row>
    <row r="39" spans="1:11" ht="20.100000000000001" customHeight="1">
      <c r="A39" s="425"/>
      <c r="B39" s="424"/>
      <c r="C39" s="424"/>
      <c r="D39" s="633" t="s">
        <v>456</v>
      </c>
      <c r="E39" s="634"/>
      <c r="F39" s="634"/>
      <c r="G39" s="634"/>
      <c r="H39" s="634"/>
      <c r="I39" s="634"/>
      <c r="J39" s="635"/>
      <c r="K39" s="422"/>
    </row>
    <row r="40" spans="1:11" ht="14.1" customHeight="1">
      <c r="A40" s="425"/>
      <c r="B40" s="424"/>
      <c r="C40" s="424"/>
      <c r="D40" s="202"/>
      <c r="E40" s="203"/>
      <c r="F40" s="203"/>
      <c r="G40" s="203"/>
      <c r="H40" s="203"/>
      <c r="I40" s="203"/>
      <c r="J40" s="204"/>
      <c r="K40" s="422"/>
    </row>
    <row r="41" spans="1:11" ht="30" customHeight="1">
      <c r="A41" s="425"/>
      <c r="B41" s="424"/>
      <c r="C41" s="424"/>
      <c r="D41" s="423"/>
      <c r="E41" s="423"/>
      <c r="F41" s="423"/>
      <c r="G41" s="423"/>
      <c r="H41" s="423"/>
      <c r="I41" s="423"/>
      <c r="J41" s="423"/>
      <c r="K41" s="422"/>
    </row>
    <row r="42" spans="1:11" ht="14.1" customHeight="1">
      <c r="A42" s="425"/>
      <c r="B42" s="426"/>
      <c r="C42" s="427"/>
      <c r="D42" s="636"/>
      <c r="E42" s="637"/>
      <c r="F42" s="637"/>
      <c r="G42" s="637"/>
      <c r="H42" s="637"/>
      <c r="I42" s="637"/>
      <c r="J42" s="638"/>
      <c r="K42" s="422"/>
    </row>
    <row r="43" spans="1:11" ht="20.100000000000001" customHeight="1">
      <c r="A43" s="425"/>
      <c r="B43" s="426"/>
      <c r="C43" s="424"/>
      <c r="D43" s="633" t="s">
        <v>455</v>
      </c>
      <c r="E43" s="634"/>
      <c r="F43" s="634"/>
      <c r="G43" s="634"/>
      <c r="H43" s="634"/>
      <c r="I43" s="634"/>
      <c r="J43" s="635"/>
      <c r="K43" s="422"/>
    </row>
    <row r="44" spans="1:11" ht="14.1" customHeight="1">
      <c r="A44" s="425"/>
      <c r="B44" s="426"/>
      <c r="C44" s="424"/>
      <c r="D44" s="633"/>
      <c r="E44" s="634"/>
      <c r="F44" s="634"/>
      <c r="G44" s="634"/>
      <c r="H44" s="634"/>
      <c r="I44" s="634"/>
      <c r="J44" s="635"/>
      <c r="K44" s="422"/>
    </row>
    <row r="45" spans="1:11" ht="20.100000000000001" customHeight="1">
      <c r="A45" s="425"/>
      <c r="B45" s="426"/>
      <c r="C45" s="424"/>
      <c r="D45" s="633" t="s">
        <v>454</v>
      </c>
      <c r="E45" s="634"/>
      <c r="F45" s="634"/>
      <c r="G45" s="634"/>
      <c r="H45" s="634"/>
      <c r="I45" s="634"/>
      <c r="J45" s="635"/>
      <c r="K45" s="422"/>
    </row>
    <row r="46" spans="1:11" ht="14.1" customHeight="1">
      <c r="A46" s="425"/>
      <c r="B46" s="426"/>
      <c r="C46" s="424"/>
      <c r="D46" s="633"/>
      <c r="E46" s="634"/>
      <c r="F46" s="634"/>
      <c r="G46" s="634"/>
      <c r="H46" s="634"/>
      <c r="I46" s="634"/>
      <c r="J46" s="635"/>
      <c r="K46" s="422"/>
    </row>
    <row r="47" spans="1:11" ht="20.100000000000001" customHeight="1">
      <c r="A47" s="425"/>
      <c r="B47" s="424"/>
      <c r="C47" s="424"/>
      <c r="D47" s="633" t="s">
        <v>453</v>
      </c>
      <c r="E47" s="634"/>
      <c r="F47" s="634"/>
      <c r="G47" s="634"/>
      <c r="H47" s="634"/>
      <c r="I47" s="634"/>
      <c r="J47" s="635"/>
      <c r="K47" s="422"/>
    </row>
    <row r="48" spans="1:11" ht="14.1" customHeight="1">
      <c r="A48" s="425"/>
      <c r="B48" s="424"/>
      <c r="C48" s="424"/>
      <c r="D48" s="202"/>
      <c r="E48" s="203"/>
      <c r="F48" s="203"/>
      <c r="G48" s="203"/>
      <c r="H48" s="203"/>
      <c r="I48" s="203"/>
      <c r="J48" s="204"/>
      <c r="K48" s="422"/>
    </row>
    <row r="49" spans="1:11" ht="15" customHeight="1">
      <c r="A49" s="425"/>
      <c r="B49" s="424"/>
      <c r="C49" s="424"/>
      <c r="D49" s="423"/>
      <c r="E49" s="423"/>
      <c r="F49" s="423"/>
      <c r="G49" s="423"/>
      <c r="H49" s="423"/>
      <c r="I49" s="423"/>
      <c r="J49" s="423"/>
      <c r="K49" s="422"/>
    </row>
    <row r="50" spans="1:11" ht="15" customHeight="1">
      <c r="A50" s="425"/>
      <c r="B50" s="424"/>
      <c r="C50" s="424"/>
      <c r="D50" s="423"/>
      <c r="E50" s="423"/>
      <c r="F50" s="423"/>
      <c r="G50" s="423"/>
      <c r="H50" s="423"/>
      <c r="I50" s="423"/>
      <c r="J50" s="423"/>
      <c r="K50" s="422"/>
    </row>
    <row r="51" spans="1:11" ht="15" customHeight="1">
      <c r="A51" s="421"/>
      <c r="B51" s="420"/>
      <c r="C51" s="420"/>
      <c r="D51" s="419"/>
      <c r="E51" s="419"/>
      <c r="F51" s="419"/>
      <c r="G51" s="419"/>
      <c r="H51" s="419"/>
      <c r="I51" s="419"/>
      <c r="J51" s="419"/>
      <c r="K51" s="418"/>
    </row>
    <row r="52" spans="1:11" ht="27" customHeight="1">
      <c r="A52" s="408"/>
      <c r="B52" s="624" t="s">
        <v>125</v>
      </c>
      <c r="C52" s="624"/>
      <c r="D52" s="408"/>
      <c r="E52" s="408"/>
      <c r="F52" s="408"/>
      <c r="G52" s="408"/>
      <c r="H52" s="408"/>
      <c r="I52" s="408"/>
      <c r="J52" s="408"/>
      <c r="K52" s="408"/>
    </row>
    <row r="53" spans="1:11" s="402" customFormat="1" ht="6.75" customHeight="1">
      <c r="A53" s="403"/>
      <c r="B53" s="403"/>
      <c r="C53" s="403"/>
      <c r="D53" s="403"/>
      <c r="E53" s="403"/>
      <c r="F53" s="403"/>
      <c r="G53" s="403"/>
      <c r="H53" s="403"/>
      <c r="I53" s="403"/>
      <c r="J53" s="403"/>
      <c r="K53" s="403"/>
    </row>
    <row r="54" spans="1:11" s="402" customFormat="1" ht="18.75" customHeight="1">
      <c r="A54" s="403"/>
      <c r="B54" s="404"/>
      <c r="C54" s="404"/>
      <c r="D54" s="404"/>
      <c r="E54" s="404"/>
      <c r="F54" s="404"/>
      <c r="G54" s="404"/>
      <c r="H54" s="404"/>
      <c r="I54" s="404"/>
      <c r="J54" s="404"/>
      <c r="K54" s="403"/>
    </row>
    <row r="55" spans="1:11" s="402" customFormat="1" ht="30" customHeight="1">
      <c r="A55" s="403"/>
      <c r="B55" s="416" t="s">
        <v>375</v>
      </c>
      <c r="C55" s="404"/>
      <c r="D55" s="404"/>
      <c r="E55" s="404"/>
      <c r="F55" s="404"/>
      <c r="G55" s="404"/>
      <c r="H55" s="404"/>
      <c r="I55" s="404"/>
      <c r="J55" s="404"/>
      <c r="K55" s="403"/>
    </row>
    <row r="56" spans="1:11" s="402" customFormat="1" ht="39.950000000000003" customHeight="1">
      <c r="A56" s="403"/>
      <c r="B56" s="404"/>
      <c r="C56" s="404"/>
      <c r="D56" s="404"/>
      <c r="E56" s="404"/>
      <c r="F56" s="404"/>
      <c r="G56" s="404"/>
      <c r="H56" s="404"/>
      <c r="I56" s="404"/>
      <c r="J56" s="404"/>
      <c r="K56" s="403"/>
    </row>
    <row r="57" spans="1:11" s="402" customFormat="1" ht="24" customHeight="1">
      <c r="A57" s="403"/>
      <c r="B57" s="404" t="s">
        <v>126</v>
      </c>
      <c r="C57" s="404"/>
      <c r="D57" s="404"/>
      <c r="E57" s="404"/>
      <c r="F57" s="404"/>
      <c r="G57" s="404"/>
      <c r="H57" s="404"/>
      <c r="I57" s="404"/>
      <c r="J57" s="404"/>
      <c r="K57" s="403"/>
    </row>
    <row r="58" spans="1:11" s="402" customFormat="1" ht="12" customHeight="1">
      <c r="A58" s="403"/>
      <c r="B58" s="404"/>
      <c r="C58" s="404"/>
      <c r="D58" s="404"/>
      <c r="E58" s="404"/>
      <c r="F58" s="404"/>
      <c r="G58" s="404"/>
      <c r="H58" s="404"/>
      <c r="I58" s="404"/>
      <c r="J58" s="404"/>
      <c r="K58" s="403"/>
    </row>
    <row r="59" spans="1:11" s="402" customFormat="1" ht="24" customHeight="1">
      <c r="A59" s="403"/>
      <c r="B59" s="404" t="s">
        <v>376</v>
      </c>
      <c r="C59" s="404"/>
      <c r="D59" s="404"/>
      <c r="E59" s="404"/>
      <c r="F59" s="404"/>
      <c r="G59" s="404"/>
      <c r="H59" s="404"/>
      <c r="I59" s="404"/>
      <c r="J59" s="404"/>
      <c r="K59" s="403"/>
    </row>
    <row r="60" spans="1:11" s="402" customFormat="1" ht="24" customHeight="1">
      <c r="A60" s="403"/>
      <c r="B60" s="403" t="s">
        <v>452</v>
      </c>
      <c r="C60" s="404"/>
      <c r="D60" s="404"/>
      <c r="E60" s="404"/>
      <c r="F60" s="404"/>
      <c r="G60" s="404"/>
      <c r="H60" s="404"/>
      <c r="I60" s="404"/>
      <c r="J60" s="404"/>
      <c r="K60" s="403"/>
    </row>
    <row r="61" spans="1:11" s="402" customFormat="1" ht="24" customHeight="1">
      <c r="A61" s="403"/>
      <c r="B61" s="403" t="s">
        <v>451</v>
      </c>
      <c r="C61" s="404"/>
      <c r="D61" s="404"/>
      <c r="E61" s="404"/>
      <c r="F61" s="404"/>
      <c r="G61" s="404"/>
      <c r="H61" s="404"/>
      <c r="I61" s="404"/>
      <c r="J61" s="404"/>
      <c r="K61" s="403"/>
    </row>
    <row r="62" spans="1:11" s="402" customFormat="1" ht="24" customHeight="1">
      <c r="A62" s="403"/>
      <c r="B62" s="404" t="s">
        <v>382</v>
      </c>
      <c r="C62" s="404"/>
      <c r="D62" s="404"/>
      <c r="E62" s="404"/>
      <c r="F62" s="404"/>
      <c r="G62" s="404"/>
      <c r="H62" s="404"/>
      <c r="I62" s="404"/>
      <c r="J62" s="404"/>
      <c r="K62" s="403"/>
    </row>
    <row r="63" spans="1:11" s="402" customFormat="1" ht="24" customHeight="1">
      <c r="A63" s="403"/>
      <c r="B63" s="403"/>
      <c r="C63" s="404"/>
      <c r="D63" s="404"/>
      <c r="E63" s="404"/>
      <c r="F63" s="404"/>
      <c r="G63" s="404"/>
      <c r="H63" s="404"/>
      <c r="I63" s="404"/>
      <c r="J63" s="404"/>
      <c r="K63" s="403"/>
    </row>
    <row r="64" spans="1:11" s="402" customFormat="1" ht="24" customHeight="1">
      <c r="A64" s="403"/>
      <c r="B64" s="404"/>
      <c r="C64" s="404"/>
      <c r="D64" s="404"/>
      <c r="E64" s="404"/>
      <c r="F64" s="404"/>
      <c r="G64" s="404"/>
      <c r="H64" s="404"/>
      <c r="I64" s="404"/>
      <c r="J64" s="404"/>
      <c r="K64" s="403"/>
    </row>
    <row r="65" spans="1:14" s="402" customFormat="1" ht="24" customHeight="1">
      <c r="A65" s="403"/>
      <c r="B65" s="404" t="s">
        <v>127</v>
      </c>
      <c r="C65" s="404"/>
      <c r="D65" s="404"/>
      <c r="E65" s="404"/>
      <c r="F65" s="404"/>
      <c r="G65" s="404"/>
      <c r="H65" s="404"/>
      <c r="I65" s="404"/>
      <c r="J65" s="404"/>
      <c r="K65" s="403"/>
    </row>
    <row r="66" spans="1:14" s="402" customFormat="1" ht="12" customHeight="1">
      <c r="A66" s="403"/>
      <c r="B66" s="404"/>
      <c r="C66" s="404"/>
      <c r="D66" s="404"/>
      <c r="E66" s="404"/>
      <c r="F66" s="404"/>
      <c r="G66" s="404"/>
      <c r="H66" s="404"/>
      <c r="I66" s="404"/>
      <c r="J66" s="404"/>
      <c r="K66" s="403"/>
    </row>
    <row r="67" spans="1:14" s="402" customFormat="1" ht="24" customHeight="1">
      <c r="A67" s="403"/>
      <c r="B67" s="417" t="s">
        <v>383</v>
      </c>
      <c r="C67" s="404"/>
      <c r="D67" s="404"/>
      <c r="E67" s="404"/>
      <c r="F67" s="404"/>
      <c r="G67" s="404"/>
      <c r="H67" s="404"/>
      <c r="I67" s="404"/>
      <c r="J67" s="404"/>
      <c r="K67" s="403"/>
    </row>
    <row r="68" spans="1:14" s="402" customFormat="1" ht="24" customHeight="1">
      <c r="A68" s="403"/>
      <c r="B68" s="404" t="s">
        <v>381</v>
      </c>
      <c r="C68" s="404"/>
      <c r="D68" s="404"/>
      <c r="E68" s="404"/>
      <c r="F68" s="404"/>
      <c r="G68" s="404"/>
      <c r="H68" s="404"/>
      <c r="I68" s="404"/>
      <c r="J68" s="404"/>
      <c r="K68" s="403"/>
    </row>
    <row r="69" spans="1:14" s="402" customFormat="1" ht="24" customHeight="1">
      <c r="A69" s="403"/>
      <c r="B69" s="404"/>
      <c r="C69" s="404"/>
      <c r="D69" s="404"/>
      <c r="E69" s="404"/>
      <c r="F69" s="404"/>
      <c r="G69" s="404"/>
      <c r="H69" s="404"/>
      <c r="I69" s="404"/>
      <c r="J69" s="404"/>
      <c r="K69" s="403"/>
    </row>
    <row r="70" spans="1:14" s="402" customFormat="1" ht="24" customHeight="1">
      <c r="A70" s="403"/>
      <c r="B70" s="404"/>
      <c r="C70" s="404"/>
      <c r="D70" s="404"/>
      <c r="E70" s="404"/>
      <c r="F70" s="404"/>
      <c r="G70" s="404"/>
      <c r="H70" s="404"/>
      <c r="I70" s="404"/>
      <c r="J70" s="404"/>
      <c r="K70" s="403"/>
    </row>
    <row r="71" spans="1:14" s="402" customFormat="1" ht="24" customHeight="1">
      <c r="A71" s="403"/>
      <c r="B71" s="404" t="s">
        <v>128</v>
      </c>
      <c r="C71" s="404"/>
      <c r="D71" s="404"/>
      <c r="E71" s="404"/>
      <c r="F71" s="404"/>
      <c r="G71" s="404"/>
      <c r="H71" s="404"/>
      <c r="I71" s="404"/>
      <c r="J71" s="404"/>
      <c r="K71" s="403"/>
    </row>
    <row r="72" spans="1:14" s="402" customFormat="1" ht="12" customHeight="1">
      <c r="A72" s="403"/>
      <c r="B72" s="404"/>
      <c r="C72" s="404"/>
      <c r="D72" s="404"/>
      <c r="E72" s="404"/>
      <c r="F72" s="404"/>
      <c r="G72" s="404"/>
      <c r="H72" s="404"/>
      <c r="I72" s="404"/>
      <c r="J72" s="404"/>
      <c r="K72" s="403"/>
    </row>
    <row r="73" spans="1:14" s="402" customFormat="1" ht="24" customHeight="1">
      <c r="A73" s="403"/>
      <c r="B73" s="404" t="s">
        <v>401</v>
      </c>
      <c r="C73" s="404"/>
      <c r="D73" s="404"/>
      <c r="E73" s="404"/>
      <c r="F73" s="404"/>
      <c r="G73" s="404"/>
      <c r="H73" s="404"/>
      <c r="I73" s="404"/>
      <c r="J73" s="404"/>
      <c r="K73" s="403"/>
      <c r="N73" s="411"/>
    </row>
    <row r="74" spans="1:14" s="402" customFormat="1" ht="24" customHeight="1">
      <c r="A74" s="403"/>
      <c r="B74" s="404" t="s">
        <v>500</v>
      </c>
      <c r="C74" s="404"/>
      <c r="D74" s="404"/>
      <c r="E74" s="404"/>
      <c r="F74" s="404"/>
      <c r="G74" s="404"/>
      <c r="H74" s="404"/>
      <c r="I74" s="404"/>
      <c r="J74" s="404"/>
      <c r="K74" s="403"/>
      <c r="N74" s="411"/>
    </row>
    <row r="75" spans="1:14" s="402" customFormat="1" ht="24" customHeight="1">
      <c r="A75" s="403"/>
      <c r="B75" s="404" t="s">
        <v>450</v>
      </c>
      <c r="C75" s="404"/>
      <c r="D75" s="404"/>
      <c r="E75" s="404"/>
      <c r="F75" s="404"/>
      <c r="G75" s="404"/>
      <c r="H75" s="404"/>
      <c r="I75" s="404"/>
      <c r="J75" s="404"/>
      <c r="K75" s="403"/>
      <c r="N75" s="411"/>
    </row>
    <row r="76" spans="1:14" s="402" customFormat="1" ht="24" customHeight="1">
      <c r="A76" s="403"/>
      <c r="B76" s="404" t="s">
        <v>449</v>
      </c>
      <c r="C76" s="404"/>
      <c r="D76" s="404"/>
      <c r="E76" s="404"/>
      <c r="F76" s="404"/>
      <c r="G76" s="404"/>
      <c r="H76" s="404"/>
      <c r="I76" s="404"/>
      <c r="J76" s="404"/>
      <c r="K76" s="403"/>
      <c r="N76" s="411"/>
    </row>
    <row r="77" spans="1:14" s="402" customFormat="1" ht="24" customHeight="1">
      <c r="A77" s="403"/>
      <c r="B77" s="403"/>
      <c r="C77" s="403"/>
      <c r="D77" s="403"/>
      <c r="E77" s="403"/>
      <c r="F77" s="403"/>
      <c r="G77" s="403"/>
      <c r="H77" s="403"/>
      <c r="I77" s="403"/>
      <c r="J77" s="403"/>
      <c r="K77" s="403"/>
      <c r="N77" s="411"/>
    </row>
    <row r="78" spans="1:14" s="402" customFormat="1" ht="24" customHeight="1">
      <c r="A78" s="403"/>
      <c r="B78" s="404"/>
      <c r="C78" s="404"/>
      <c r="D78" s="404"/>
      <c r="E78" s="403"/>
      <c r="F78" s="403"/>
      <c r="G78" s="403"/>
      <c r="H78" s="403"/>
      <c r="I78" s="403"/>
      <c r="J78" s="403"/>
      <c r="K78" s="403"/>
      <c r="N78" s="411"/>
    </row>
    <row r="79" spans="1:14" s="402" customFormat="1" ht="24" customHeight="1">
      <c r="A79" s="403"/>
      <c r="B79" s="404"/>
      <c r="C79" s="404"/>
      <c r="D79" s="404"/>
      <c r="E79" s="403"/>
      <c r="F79" s="403"/>
      <c r="G79" s="403"/>
      <c r="H79" s="403"/>
      <c r="I79" s="403"/>
      <c r="J79" s="403"/>
      <c r="K79" s="403"/>
    </row>
    <row r="80" spans="1:14" s="402" customFormat="1" ht="24" customHeight="1">
      <c r="A80" s="403"/>
      <c r="B80" s="403"/>
      <c r="C80" s="403"/>
      <c r="D80" s="403"/>
      <c r="E80" s="403"/>
      <c r="F80" s="403"/>
      <c r="G80" s="403"/>
      <c r="H80" s="403"/>
      <c r="I80" s="403"/>
      <c r="J80" s="403"/>
      <c r="K80" s="403"/>
    </row>
    <row r="81" spans="1:21" s="402" customFormat="1" ht="24" customHeight="1">
      <c r="A81" s="403"/>
      <c r="B81" s="403"/>
      <c r="C81" s="403"/>
      <c r="D81" s="403"/>
      <c r="E81" s="403"/>
      <c r="F81" s="403"/>
      <c r="G81" s="403"/>
      <c r="H81" s="403"/>
      <c r="I81" s="403"/>
      <c r="J81" s="403"/>
      <c r="K81" s="403"/>
    </row>
    <row r="82" spans="1:21" s="402" customFormat="1" ht="24" customHeight="1">
      <c r="A82" s="403"/>
      <c r="B82" s="403"/>
      <c r="C82" s="403"/>
      <c r="D82" s="403"/>
      <c r="E82" s="403"/>
      <c r="F82" s="403"/>
      <c r="G82" s="403"/>
      <c r="H82" s="403"/>
      <c r="I82" s="403"/>
      <c r="J82" s="403"/>
      <c r="K82" s="403"/>
    </row>
    <row r="83" spans="1:21" s="402" customFormat="1" ht="24" customHeight="1">
      <c r="A83" s="403"/>
      <c r="B83" s="403"/>
      <c r="C83" s="403"/>
      <c r="D83" s="403"/>
      <c r="E83" s="403"/>
      <c r="F83" s="403"/>
      <c r="G83" s="403"/>
      <c r="H83" s="403"/>
      <c r="I83" s="403"/>
      <c r="J83" s="403"/>
      <c r="K83" s="403"/>
    </row>
    <row r="84" spans="1:21" s="402" customFormat="1" ht="24" customHeight="1">
      <c r="A84" s="403"/>
      <c r="B84" s="403"/>
      <c r="C84" s="403"/>
      <c r="D84" s="403"/>
      <c r="E84" s="403"/>
      <c r="F84" s="403"/>
      <c r="G84" s="403"/>
      <c r="H84" s="403"/>
      <c r="I84" s="403"/>
      <c r="J84" s="403"/>
      <c r="K84" s="403"/>
    </row>
    <row r="85" spans="1:21" s="402" customFormat="1" ht="24" customHeight="1">
      <c r="A85" s="403"/>
      <c r="B85" s="403"/>
      <c r="C85" s="403"/>
      <c r="D85" s="403"/>
      <c r="E85" s="403"/>
      <c r="F85" s="403"/>
      <c r="G85" s="403"/>
      <c r="H85" s="403"/>
      <c r="I85" s="403"/>
      <c r="J85" s="403"/>
      <c r="K85" s="403"/>
    </row>
    <row r="86" spans="1:21" s="402" customFormat="1" ht="24" customHeight="1">
      <c r="A86" s="403"/>
      <c r="B86" s="403"/>
      <c r="C86" s="403"/>
      <c r="D86" s="403"/>
      <c r="E86" s="403"/>
      <c r="F86" s="403"/>
      <c r="G86" s="403"/>
      <c r="H86" s="403"/>
      <c r="I86" s="403"/>
      <c r="J86" s="403"/>
      <c r="K86" s="403"/>
    </row>
    <row r="87" spans="1:21" s="402" customFormat="1" ht="24" customHeight="1">
      <c r="A87" s="403"/>
      <c r="B87" s="403"/>
      <c r="C87" s="403"/>
      <c r="D87" s="403"/>
      <c r="E87" s="403"/>
      <c r="F87" s="403"/>
      <c r="G87" s="403"/>
      <c r="H87" s="403"/>
      <c r="I87" s="403"/>
      <c r="J87" s="403"/>
      <c r="K87" s="403"/>
    </row>
    <row r="88" spans="1:21" ht="27" customHeight="1">
      <c r="A88" s="408"/>
      <c r="B88" s="624" t="s">
        <v>129</v>
      </c>
      <c r="C88" s="624"/>
      <c r="D88" s="408"/>
      <c r="E88" s="408"/>
      <c r="F88" s="408"/>
      <c r="G88" s="408"/>
      <c r="H88" s="408"/>
      <c r="I88" s="408"/>
      <c r="J88" s="408"/>
      <c r="K88" s="408"/>
    </row>
    <row r="89" spans="1:21" s="402" customFormat="1" ht="6.75" customHeight="1">
      <c r="A89" s="403"/>
      <c r="B89" s="403"/>
      <c r="C89" s="403"/>
      <c r="D89" s="403"/>
      <c r="E89" s="403"/>
      <c r="F89" s="403"/>
      <c r="G89" s="403"/>
      <c r="H89" s="403"/>
      <c r="I89" s="403"/>
      <c r="J89" s="403"/>
      <c r="K89" s="403"/>
    </row>
    <row r="90" spans="1:21" s="402" customFormat="1" ht="18.75" customHeight="1">
      <c r="A90" s="403"/>
      <c r="B90" s="404"/>
      <c r="C90" s="404"/>
      <c r="D90" s="404"/>
      <c r="E90" s="404"/>
      <c r="F90" s="404"/>
      <c r="G90" s="404"/>
      <c r="H90" s="404"/>
      <c r="I90" s="404"/>
      <c r="J90" s="404"/>
      <c r="K90" s="403"/>
    </row>
    <row r="91" spans="1:21" s="402" customFormat="1" ht="30" customHeight="1">
      <c r="A91" s="403"/>
      <c r="B91" s="416" t="s">
        <v>377</v>
      </c>
      <c r="C91" s="412"/>
      <c r="D91" s="412"/>
      <c r="E91" s="412"/>
      <c r="F91" s="412"/>
      <c r="G91" s="412"/>
      <c r="H91" s="412"/>
      <c r="I91" s="412"/>
      <c r="J91" s="412"/>
      <c r="K91" s="403"/>
      <c r="L91" s="411"/>
    </row>
    <row r="92" spans="1:21" s="402" customFormat="1" ht="39.950000000000003" customHeight="1">
      <c r="A92" s="403"/>
      <c r="B92" s="404"/>
      <c r="C92" s="412"/>
      <c r="D92" s="412"/>
      <c r="E92" s="412"/>
      <c r="F92" s="412"/>
      <c r="G92" s="412"/>
      <c r="H92" s="412"/>
      <c r="I92" s="412"/>
      <c r="J92" s="412"/>
      <c r="K92" s="403"/>
      <c r="L92" s="411"/>
    </row>
    <row r="93" spans="1:21" s="402" customFormat="1" ht="24" customHeight="1">
      <c r="A93" s="403"/>
      <c r="B93" s="404" t="s">
        <v>130</v>
      </c>
      <c r="C93" s="412"/>
      <c r="D93" s="412"/>
      <c r="E93" s="412"/>
      <c r="F93" s="412"/>
      <c r="G93" s="412"/>
      <c r="H93" s="412"/>
      <c r="I93" s="412"/>
      <c r="J93" s="412"/>
      <c r="K93" s="403"/>
      <c r="L93" s="411"/>
    </row>
    <row r="94" spans="1:21" s="402" customFormat="1" ht="12" customHeight="1">
      <c r="A94" s="403"/>
      <c r="B94" s="404"/>
      <c r="C94" s="404"/>
      <c r="D94" s="404"/>
      <c r="E94" s="404"/>
      <c r="F94" s="404"/>
      <c r="G94" s="404"/>
      <c r="H94" s="404"/>
      <c r="I94" s="404"/>
      <c r="J94" s="404"/>
      <c r="K94" s="403"/>
    </row>
    <row r="95" spans="1:21" s="402" customFormat="1" ht="24" customHeight="1">
      <c r="A95" s="403"/>
      <c r="B95" s="404" t="s">
        <v>448</v>
      </c>
      <c r="C95" s="412"/>
      <c r="D95" s="412"/>
      <c r="E95" s="412"/>
      <c r="F95" s="412"/>
      <c r="G95" s="412"/>
      <c r="H95" s="412"/>
      <c r="I95" s="412"/>
      <c r="J95" s="412"/>
      <c r="K95" s="403"/>
      <c r="L95" s="411"/>
      <c r="N95" s="411"/>
      <c r="O95" s="415"/>
      <c r="P95" s="415"/>
      <c r="Q95" s="415"/>
      <c r="R95" s="415"/>
      <c r="S95" s="415"/>
      <c r="T95" s="415"/>
      <c r="U95" s="415"/>
    </row>
    <row r="96" spans="1:21" s="402" customFormat="1" ht="24" customHeight="1">
      <c r="A96" s="403"/>
      <c r="B96" s="404" t="s">
        <v>447</v>
      </c>
      <c r="C96" s="412"/>
      <c r="D96" s="412"/>
      <c r="E96" s="412"/>
      <c r="F96" s="412"/>
      <c r="G96" s="412"/>
      <c r="H96" s="412"/>
      <c r="I96" s="412"/>
      <c r="J96" s="412"/>
      <c r="K96" s="403"/>
      <c r="L96" s="411"/>
      <c r="N96" s="411"/>
      <c r="O96" s="415"/>
      <c r="P96" s="415"/>
      <c r="Q96" s="415"/>
      <c r="R96" s="415"/>
      <c r="S96" s="415"/>
      <c r="T96" s="415"/>
      <c r="U96" s="415"/>
    </row>
    <row r="97" spans="1:21" s="402" customFormat="1" ht="24" customHeight="1">
      <c r="A97" s="403"/>
      <c r="B97" s="404" t="s">
        <v>384</v>
      </c>
      <c r="C97" s="412"/>
      <c r="D97" s="412"/>
      <c r="E97" s="412"/>
      <c r="F97" s="412"/>
      <c r="G97" s="412"/>
      <c r="H97" s="412"/>
      <c r="I97" s="412"/>
      <c r="J97" s="412"/>
      <c r="K97" s="403"/>
      <c r="L97" s="411"/>
      <c r="N97" s="411"/>
      <c r="O97" s="415"/>
      <c r="P97" s="415"/>
      <c r="Q97" s="415"/>
      <c r="R97" s="415"/>
      <c r="S97" s="415"/>
      <c r="T97" s="415"/>
      <c r="U97" s="415"/>
    </row>
    <row r="98" spans="1:21" s="402" customFormat="1" ht="24" customHeight="1">
      <c r="A98" s="403"/>
      <c r="B98" s="404"/>
      <c r="C98" s="412"/>
      <c r="D98" s="412"/>
      <c r="E98" s="412"/>
      <c r="F98" s="412"/>
      <c r="G98" s="412"/>
      <c r="H98" s="412"/>
      <c r="I98" s="412"/>
      <c r="J98" s="412"/>
      <c r="K98" s="403"/>
      <c r="L98" s="411"/>
    </row>
    <row r="99" spans="1:21" s="402" customFormat="1" ht="14.1" customHeight="1">
      <c r="A99" s="403"/>
      <c r="B99" s="404"/>
      <c r="C99" s="412"/>
      <c r="D99" s="412"/>
      <c r="E99" s="412"/>
      <c r="F99" s="412"/>
      <c r="G99" s="412"/>
      <c r="H99" s="412"/>
      <c r="I99" s="412"/>
      <c r="J99" s="412"/>
      <c r="K99" s="403"/>
      <c r="L99" s="411"/>
    </row>
    <row r="100" spans="1:21" s="402" customFormat="1" ht="24" customHeight="1">
      <c r="A100" s="403"/>
      <c r="B100" s="404" t="s">
        <v>150</v>
      </c>
      <c r="C100" s="412"/>
      <c r="D100" s="412"/>
      <c r="E100" s="412"/>
      <c r="F100" s="412"/>
      <c r="G100" s="412"/>
      <c r="H100" s="412"/>
      <c r="I100" s="412"/>
      <c r="J100" s="412"/>
      <c r="K100" s="403"/>
      <c r="L100" s="411"/>
    </row>
    <row r="101" spans="1:21" s="402" customFormat="1" ht="12" customHeight="1">
      <c r="A101" s="403"/>
      <c r="B101" s="404"/>
      <c r="C101" s="404"/>
      <c r="D101" s="404"/>
      <c r="E101" s="404"/>
      <c r="F101" s="404"/>
      <c r="G101" s="404"/>
      <c r="H101" s="404"/>
      <c r="I101" s="404"/>
      <c r="J101" s="404"/>
      <c r="K101" s="403"/>
    </row>
    <row r="102" spans="1:21" s="402" customFormat="1" ht="24" customHeight="1">
      <c r="A102" s="403"/>
      <c r="B102" s="404" t="s">
        <v>446</v>
      </c>
      <c r="C102" s="412"/>
      <c r="D102" s="412"/>
      <c r="E102" s="412"/>
      <c r="F102" s="412"/>
      <c r="G102" s="412"/>
      <c r="H102" s="412"/>
      <c r="I102" s="412"/>
      <c r="J102" s="412"/>
      <c r="K102" s="403"/>
      <c r="L102" s="411"/>
    </row>
    <row r="103" spans="1:21" s="402" customFormat="1" ht="24" customHeight="1">
      <c r="A103" s="403"/>
      <c r="B103" s="404" t="s">
        <v>445</v>
      </c>
      <c r="C103" s="412"/>
      <c r="D103" s="412"/>
      <c r="E103" s="412"/>
      <c r="F103" s="412"/>
      <c r="G103" s="412"/>
      <c r="H103" s="412"/>
      <c r="I103" s="412"/>
      <c r="J103" s="412"/>
      <c r="K103" s="403"/>
      <c r="L103" s="411"/>
    </row>
    <row r="104" spans="1:21" s="402" customFormat="1" ht="24" customHeight="1">
      <c r="A104" s="403"/>
      <c r="B104" s="404" t="s">
        <v>444</v>
      </c>
      <c r="C104" s="412"/>
      <c r="D104" s="412"/>
      <c r="E104" s="412"/>
      <c r="F104" s="412"/>
      <c r="G104" s="412"/>
      <c r="H104" s="412"/>
      <c r="I104" s="412"/>
      <c r="J104" s="412"/>
      <c r="K104" s="403"/>
      <c r="L104" s="411"/>
    </row>
    <row r="105" spans="1:21" s="402" customFormat="1" ht="24" customHeight="1">
      <c r="A105" s="403"/>
      <c r="B105" s="404"/>
      <c r="C105" s="412"/>
      <c r="D105" s="412"/>
      <c r="E105" s="412"/>
      <c r="F105" s="412"/>
      <c r="G105" s="412"/>
      <c r="H105" s="412"/>
      <c r="I105" s="412"/>
      <c r="J105" s="412"/>
      <c r="K105" s="403"/>
      <c r="L105" s="411"/>
    </row>
    <row r="106" spans="1:21" s="413" customFormat="1" ht="14.1" customHeight="1">
      <c r="A106" s="404"/>
      <c r="B106" s="404"/>
      <c r="C106" s="412"/>
      <c r="D106" s="412"/>
      <c r="E106" s="412"/>
      <c r="F106" s="412"/>
      <c r="G106" s="412"/>
      <c r="H106" s="412"/>
      <c r="I106" s="412"/>
      <c r="J106" s="412"/>
      <c r="K106" s="404"/>
      <c r="L106" s="414"/>
    </row>
    <row r="107" spans="1:21" s="402" customFormat="1" ht="24" customHeight="1">
      <c r="A107" s="403"/>
      <c r="B107" s="404" t="s">
        <v>131</v>
      </c>
      <c r="C107" s="412"/>
      <c r="D107" s="412"/>
      <c r="E107" s="412"/>
      <c r="F107" s="412"/>
      <c r="G107" s="412"/>
      <c r="H107" s="412"/>
      <c r="I107" s="412"/>
      <c r="J107" s="412"/>
      <c r="K107" s="403"/>
      <c r="L107" s="411"/>
    </row>
    <row r="108" spans="1:21" s="402" customFormat="1" ht="12" customHeight="1">
      <c r="A108" s="403"/>
      <c r="B108" s="404"/>
      <c r="C108" s="404"/>
      <c r="D108" s="404"/>
      <c r="E108" s="404"/>
      <c r="F108" s="404"/>
      <c r="G108" s="404"/>
      <c r="H108" s="404"/>
      <c r="I108" s="404"/>
      <c r="J108" s="404"/>
      <c r="K108" s="403"/>
    </row>
    <row r="109" spans="1:21" s="402" customFormat="1" ht="24" customHeight="1">
      <c r="A109" s="403"/>
      <c r="B109" s="404" t="s">
        <v>443</v>
      </c>
      <c r="C109" s="412"/>
      <c r="D109" s="412"/>
      <c r="E109" s="412"/>
      <c r="F109" s="412"/>
      <c r="G109" s="412"/>
      <c r="H109" s="412"/>
      <c r="I109" s="412"/>
      <c r="J109" s="412"/>
      <c r="K109" s="403"/>
      <c r="L109" s="411"/>
    </row>
    <row r="110" spans="1:21" s="402" customFormat="1" ht="24" customHeight="1">
      <c r="A110" s="403"/>
      <c r="B110" s="404" t="s">
        <v>442</v>
      </c>
      <c r="C110" s="412"/>
      <c r="D110" s="412"/>
      <c r="E110" s="412"/>
      <c r="F110" s="412"/>
      <c r="G110" s="412"/>
      <c r="H110" s="412"/>
      <c r="I110" s="412"/>
      <c r="J110" s="412"/>
      <c r="K110" s="403"/>
      <c r="L110" s="411"/>
    </row>
    <row r="111" spans="1:21" s="402" customFormat="1" ht="24" customHeight="1">
      <c r="A111" s="403"/>
      <c r="B111" s="404" t="s">
        <v>441</v>
      </c>
      <c r="C111" s="412"/>
      <c r="D111" s="412"/>
      <c r="E111" s="412"/>
      <c r="F111" s="412"/>
      <c r="G111" s="412"/>
      <c r="H111" s="412"/>
      <c r="I111" s="412"/>
      <c r="J111" s="412"/>
      <c r="K111" s="403"/>
      <c r="L111" s="411"/>
    </row>
    <row r="112" spans="1:21" s="402" customFormat="1" ht="24" customHeight="1">
      <c r="A112" s="403"/>
      <c r="B112" s="404"/>
      <c r="C112" s="412"/>
      <c r="D112" s="412"/>
      <c r="E112" s="412"/>
      <c r="F112" s="412"/>
      <c r="G112" s="412"/>
      <c r="H112" s="412"/>
      <c r="I112" s="412"/>
      <c r="J112" s="412"/>
      <c r="K112" s="403"/>
      <c r="L112" s="411"/>
    </row>
    <row r="113" spans="1:12" s="402" customFormat="1" ht="14.1" customHeight="1">
      <c r="A113" s="403"/>
      <c r="B113" s="412"/>
      <c r="C113" s="412"/>
      <c r="D113" s="412"/>
      <c r="E113" s="412"/>
      <c r="F113" s="412"/>
      <c r="G113" s="412"/>
      <c r="H113" s="412"/>
      <c r="I113" s="412"/>
      <c r="J113" s="412"/>
      <c r="K113" s="403"/>
      <c r="L113" s="411"/>
    </row>
    <row r="114" spans="1:12" s="413" customFormat="1" ht="24" customHeight="1">
      <c r="A114" s="404"/>
      <c r="B114" s="404" t="s">
        <v>132</v>
      </c>
      <c r="C114" s="412"/>
      <c r="D114" s="412"/>
      <c r="E114" s="412"/>
      <c r="F114" s="412"/>
      <c r="G114" s="412"/>
      <c r="H114" s="412"/>
      <c r="I114" s="412"/>
      <c r="J114" s="412"/>
      <c r="K114" s="404"/>
      <c r="L114" s="414"/>
    </row>
    <row r="115" spans="1:12" s="402" customFormat="1" ht="12" customHeight="1">
      <c r="A115" s="403"/>
      <c r="B115" s="404"/>
      <c r="C115" s="404"/>
      <c r="D115" s="404"/>
      <c r="E115" s="404"/>
      <c r="F115" s="404"/>
      <c r="G115" s="404"/>
      <c r="H115" s="404"/>
      <c r="I115" s="404"/>
      <c r="J115" s="404"/>
      <c r="K115" s="403"/>
    </row>
    <row r="116" spans="1:12" s="402" customFormat="1" ht="24" customHeight="1">
      <c r="A116" s="403"/>
      <c r="B116" s="404" t="s">
        <v>397</v>
      </c>
      <c r="C116" s="412"/>
      <c r="D116" s="412"/>
      <c r="E116" s="412"/>
      <c r="F116" s="412"/>
      <c r="G116" s="412"/>
      <c r="H116" s="412"/>
      <c r="I116" s="412"/>
      <c r="J116" s="412"/>
      <c r="K116" s="404"/>
      <c r="L116" s="411"/>
    </row>
    <row r="117" spans="1:12" s="402" customFormat="1" ht="24" customHeight="1">
      <c r="A117" s="403"/>
      <c r="B117" s="404" t="s">
        <v>398</v>
      </c>
      <c r="C117" s="412"/>
      <c r="D117" s="412"/>
      <c r="E117" s="412"/>
      <c r="F117" s="412"/>
      <c r="G117" s="412"/>
      <c r="H117" s="412"/>
      <c r="I117" s="412"/>
      <c r="J117" s="412"/>
      <c r="K117" s="403"/>
      <c r="L117" s="411"/>
    </row>
    <row r="118" spans="1:12" s="413" customFormat="1" ht="24" customHeight="1">
      <c r="A118" s="404"/>
      <c r="B118" s="404"/>
      <c r="C118" s="412"/>
      <c r="D118" s="412"/>
      <c r="E118" s="412"/>
      <c r="F118" s="412"/>
      <c r="G118" s="412"/>
      <c r="H118" s="412"/>
      <c r="I118" s="412"/>
      <c r="J118" s="412"/>
      <c r="K118" s="404"/>
      <c r="L118" s="414"/>
    </row>
    <row r="119" spans="1:12" s="402" customFormat="1" ht="14.1" customHeight="1">
      <c r="A119" s="403"/>
      <c r="B119" s="404"/>
      <c r="C119" s="412"/>
      <c r="D119" s="412"/>
      <c r="E119" s="412"/>
      <c r="F119" s="412"/>
      <c r="G119" s="412"/>
      <c r="H119" s="412"/>
      <c r="I119" s="412"/>
      <c r="J119" s="412"/>
      <c r="K119" s="403"/>
      <c r="L119" s="411"/>
    </row>
    <row r="120" spans="1:12" s="402" customFormat="1" ht="24" customHeight="1">
      <c r="A120" s="403"/>
      <c r="B120" s="404" t="s">
        <v>133</v>
      </c>
      <c r="C120" s="412"/>
      <c r="D120" s="412"/>
      <c r="E120" s="412"/>
      <c r="F120" s="412"/>
      <c r="G120" s="412"/>
      <c r="H120" s="412"/>
      <c r="I120" s="412"/>
      <c r="J120" s="412"/>
      <c r="K120" s="403"/>
      <c r="L120" s="411"/>
    </row>
    <row r="121" spans="1:12" s="402" customFormat="1" ht="12" customHeight="1">
      <c r="A121" s="403"/>
      <c r="B121" s="404"/>
      <c r="C121" s="412"/>
      <c r="D121" s="412"/>
      <c r="E121" s="412"/>
      <c r="F121" s="412"/>
      <c r="G121" s="412"/>
      <c r="H121" s="412"/>
      <c r="I121" s="412"/>
      <c r="J121" s="412"/>
      <c r="K121" s="403"/>
      <c r="L121" s="411"/>
    </row>
    <row r="122" spans="1:12" s="402" customFormat="1" ht="24" customHeight="1">
      <c r="A122" s="403"/>
      <c r="B122" s="404" t="s">
        <v>406</v>
      </c>
      <c r="C122" s="412"/>
      <c r="D122" s="412"/>
      <c r="E122" s="412"/>
      <c r="F122" s="412"/>
      <c r="G122" s="412"/>
      <c r="H122" s="412"/>
      <c r="I122" s="412"/>
      <c r="J122" s="412"/>
      <c r="K122" s="403"/>
      <c r="L122" s="411"/>
    </row>
    <row r="123" spans="1:12" s="402" customFormat="1" ht="24" customHeight="1">
      <c r="A123" s="403"/>
      <c r="B123" s="404"/>
      <c r="C123" s="412"/>
      <c r="D123" s="412"/>
      <c r="E123" s="412"/>
      <c r="F123" s="412"/>
      <c r="G123" s="412"/>
      <c r="H123" s="412"/>
      <c r="I123" s="412"/>
      <c r="J123" s="412"/>
      <c r="K123" s="403"/>
      <c r="L123" s="411"/>
    </row>
    <row r="124" spans="1:12" s="402" customFormat="1" ht="14.1" customHeight="1">
      <c r="A124" s="403"/>
      <c r="B124" s="404"/>
      <c r="C124" s="412"/>
      <c r="D124" s="412"/>
      <c r="E124" s="412"/>
      <c r="F124" s="412"/>
      <c r="G124" s="412"/>
      <c r="H124" s="412"/>
      <c r="I124" s="412"/>
      <c r="J124" s="412"/>
      <c r="K124" s="403"/>
      <c r="L124" s="411"/>
    </row>
    <row r="125" spans="1:12" s="402" customFormat="1" ht="24" customHeight="1">
      <c r="A125" s="403"/>
      <c r="B125" s="404" t="s">
        <v>134</v>
      </c>
      <c r="C125" s="412"/>
      <c r="D125" s="412"/>
      <c r="E125" s="412"/>
      <c r="F125" s="412"/>
      <c r="G125" s="412"/>
      <c r="H125" s="412"/>
      <c r="I125" s="412"/>
      <c r="J125" s="412"/>
      <c r="K125" s="403"/>
      <c r="L125" s="411"/>
    </row>
    <row r="126" spans="1:12" s="402" customFormat="1" ht="12" customHeight="1">
      <c r="A126" s="403"/>
      <c r="B126" s="404"/>
      <c r="C126" s="404"/>
      <c r="D126" s="404"/>
      <c r="E126" s="404"/>
      <c r="F126" s="404"/>
      <c r="G126" s="404"/>
      <c r="H126" s="404"/>
      <c r="I126" s="404"/>
      <c r="J126" s="404"/>
      <c r="K126" s="403"/>
    </row>
    <row r="127" spans="1:12" s="402" customFormat="1" ht="24" customHeight="1">
      <c r="A127" s="403"/>
      <c r="B127" s="404" t="s">
        <v>399</v>
      </c>
      <c r="C127" s="404"/>
      <c r="D127" s="404"/>
      <c r="E127" s="404"/>
      <c r="F127" s="404"/>
      <c r="G127" s="404"/>
      <c r="H127" s="404"/>
      <c r="I127" s="404"/>
      <c r="J127" s="404"/>
      <c r="K127" s="403"/>
      <c r="L127" s="411"/>
    </row>
    <row r="128" spans="1:12" s="402" customFormat="1" ht="24" customHeight="1">
      <c r="A128" s="403"/>
      <c r="B128" s="404" t="s">
        <v>400</v>
      </c>
      <c r="C128" s="404"/>
      <c r="D128" s="404"/>
      <c r="E128" s="404"/>
      <c r="F128" s="404"/>
      <c r="G128" s="404"/>
      <c r="H128" s="404"/>
      <c r="I128" s="404"/>
      <c r="J128" s="404"/>
      <c r="K128" s="403"/>
      <c r="L128" s="411"/>
    </row>
    <row r="129" spans="1:12" s="402" customFormat="1" ht="24" customHeight="1">
      <c r="A129" s="403"/>
      <c r="B129" s="404" t="s">
        <v>404</v>
      </c>
      <c r="C129" s="412"/>
      <c r="D129" s="412"/>
      <c r="E129" s="412"/>
      <c r="F129" s="412"/>
      <c r="G129" s="412"/>
      <c r="H129" s="412"/>
      <c r="I129" s="412"/>
      <c r="J129" s="412"/>
      <c r="K129" s="403"/>
      <c r="L129" s="411"/>
    </row>
    <row r="130" spans="1:12" s="402" customFormat="1" ht="24" customHeight="1">
      <c r="A130" s="403"/>
      <c r="B130" s="403" t="s">
        <v>405</v>
      </c>
      <c r="C130" s="403"/>
      <c r="D130" s="403"/>
      <c r="E130" s="403"/>
      <c r="F130" s="403"/>
      <c r="G130" s="403"/>
      <c r="H130" s="403"/>
      <c r="I130" s="403"/>
      <c r="J130" s="403"/>
      <c r="K130" s="403"/>
      <c r="L130" s="411"/>
    </row>
    <row r="131" spans="1:12" ht="27" customHeight="1">
      <c r="A131" s="408"/>
      <c r="B131" s="624" t="s">
        <v>135</v>
      </c>
      <c r="C131" s="624"/>
      <c r="D131" s="624"/>
      <c r="E131" s="408"/>
      <c r="F131" s="408"/>
      <c r="G131" s="408"/>
      <c r="H131" s="408"/>
      <c r="I131" s="408"/>
      <c r="J131" s="408"/>
      <c r="K131" s="408"/>
    </row>
    <row r="132" spans="1:12" s="402" customFormat="1" ht="6.75" customHeight="1">
      <c r="A132" s="403"/>
      <c r="B132" s="403"/>
      <c r="C132" s="403"/>
      <c r="D132" s="403"/>
      <c r="E132" s="403"/>
      <c r="F132" s="403"/>
      <c r="G132" s="403"/>
      <c r="H132" s="403"/>
      <c r="I132" s="403"/>
      <c r="J132" s="403"/>
      <c r="K132" s="403"/>
    </row>
    <row r="133" spans="1:12" s="402" customFormat="1" ht="18.75" customHeight="1">
      <c r="A133" s="403"/>
      <c r="B133" s="404"/>
      <c r="C133" s="404"/>
      <c r="D133" s="404"/>
      <c r="E133" s="404"/>
      <c r="F133" s="404"/>
      <c r="G133" s="404"/>
      <c r="H133" s="404"/>
      <c r="I133" s="404"/>
      <c r="J133" s="404"/>
      <c r="K133" s="403"/>
    </row>
    <row r="134" spans="1:12" s="402" customFormat="1" ht="30" customHeight="1">
      <c r="A134" s="403"/>
      <c r="B134" s="625" t="s">
        <v>440</v>
      </c>
      <c r="C134" s="625"/>
      <c r="D134" s="625"/>
      <c r="E134" s="625"/>
      <c r="F134" s="625"/>
      <c r="G134" s="625"/>
      <c r="H134" s="625"/>
      <c r="I134" s="625"/>
      <c r="J134" s="625"/>
      <c r="K134" s="403"/>
    </row>
    <row r="135" spans="1:12" s="402" customFormat="1" ht="18.75" customHeight="1">
      <c r="A135" s="403"/>
      <c r="B135" s="403"/>
      <c r="C135" s="403"/>
      <c r="D135" s="403"/>
      <c r="E135" s="403"/>
      <c r="F135" s="403"/>
      <c r="G135" s="403"/>
      <c r="H135" s="403"/>
      <c r="I135" s="403"/>
      <c r="J135" s="403"/>
      <c r="K135" s="403"/>
    </row>
    <row r="136" spans="1:12" s="402" customFormat="1" ht="18.75" customHeight="1">
      <c r="A136" s="403"/>
      <c r="B136" s="403" t="s">
        <v>136</v>
      </c>
      <c r="C136" s="403"/>
      <c r="D136" s="403"/>
      <c r="E136" s="403"/>
      <c r="F136" s="403"/>
      <c r="G136" s="403"/>
      <c r="H136" s="403"/>
      <c r="I136" s="403"/>
      <c r="J136" s="403"/>
      <c r="K136" s="403"/>
    </row>
    <row r="137" spans="1:12" s="402" customFormat="1" ht="19.5">
      <c r="A137" s="403"/>
      <c r="B137" s="403"/>
      <c r="C137" s="403"/>
      <c r="D137" s="403"/>
      <c r="E137" s="403"/>
      <c r="F137" s="403"/>
      <c r="G137" s="403"/>
      <c r="H137" s="403"/>
      <c r="I137" s="403"/>
      <c r="J137" s="410"/>
      <c r="K137" s="403"/>
    </row>
    <row r="138" spans="1:12" s="402" customFormat="1" ht="19.5">
      <c r="A138" s="403"/>
      <c r="B138" s="403"/>
      <c r="C138" s="403"/>
      <c r="D138" s="403"/>
      <c r="E138" s="403"/>
      <c r="F138" s="403"/>
      <c r="G138" s="403"/>
      <c r="H138" s="403"/>
      <c r="I138" s="403"/>
      <c r="J138" s="403"/>
      <c r="K138" s="403"/>
    </row>
    <row r="139" spans="1:12" s="402" customFormat="1" ht="19.5">
      <c r="A139" s="403"/>
      <c r="B139" s="403"/>
      <c r="C139" s="403"/>
      <c r="D139" s="403"/>
      <c r="E139" s="403"/>
      <c r="F139" s="403"/>
      <c r="G139" s="403"/>
      <c r="H139" s="403"/>
      <c r="I139" s="403"/>
      <c r="J139" s="403"/>
      <c r="K139" s="403"/>
    </row>
    <row r="140" spans="1:12" s="402" customFormat="1" ht="19.5">
      <c r="A140" s="403"/>
      <c r="B140" s="403"/>
      <c r="C140" s="403"/>
      <c r="D140" s="403"/>
      <c r="E140" s="403"/>
      <c r="F140" s="403"/>
      <c r="G140" s="403"/>
      <c r="H140" s="403"/>
      <c r="I140" s="403"/>
      <c r="J140" s="403"/>
      <c r="K140" s="403"/>
    </row>
    <row r="141" spans="1:12" s="402" customFormat="1" ht="19.5">
      <c r="A141" s="403"/>
      <c r="B141" s="403"/>
      <c r="C141" s="403"/>
      <c r="D141" s="403"/>
      <c r="E141" s="403"/>
      <c r="F141" s="403"/>
      <c r="G141" s="403"/>
      <c r="H141" s="403"/>
      <c r="I141" s="403"/>
      <c r="J141" s="403"/>
      <c r="K141" s="403"/>
    </row>
    <row r="142" spans="1:12" s="402" customFormat="1" ht="19.5">
      <c r="A142" s="403"/>
      <c r="B142" s="403"/>
      <c r="C142" s="403"/>
      <c r="D142" s="403"/>
      <c r="E142" s="403"/>
      <c r="F142" s="403"/>
      <c r="G142" s="403"/>
      <c r="H142" s="403"/>
      <c r="I142" s="403"/>
      <c r="J142" s="403"/>
      <c r="K142" s="403"/>
    </row>
    <row r="143" spans="1:12" s="402" customFormat="1" ht="19.5">
      <c r="A143" s="403"/>
      <c r="B143" s="403"/>
      <c r="C143" s="403"/>
      <c r="D143" s="403"/>
      <c r="E143" s="403"/>
      <c r="F143" s="403"/>
      <c r="G143" s="403"/>
      <c r="H143" s="403"/>
      <c r="I143" s="403"/>
      <c r="J143" s="403"/>
      <c r="K143" s="403"/>
    </row>
    <row r="144" spans="1:12" s="402" customFormat="1" ht="19.5">
      <c r="A144" s="403"/>
      <c r="B144" s="403"/>
      <c r="C144" s="403"/>
      <c r="D144" s="403"/>
      <c r="E144" s="403"/>
      <c r="F144" s="403"/>
      <c r="G144" s="403"/>
      <c r="H144" s="403"/>
      <c r="I144" s="403"/>
      <c r="J144" s="403"/>
      <c r="K144" s="403"/>
    </row>
    <row r="145" spans="1:25" s="402" customFormat="1" ht="19.5">
      <c r="A145" s="403"/>
      <c r="B145" s="403"/>
      <c r="C145" s="403"/>
      <c r="D145" s="403"/>
      <c r="E145" s="403"/>
      <c r="F145" s="403"/>
      <c r="G145" s="403"/>
      <c r="H145" s="403"/>
      <c r="I145" s="403"/>
      <c r="J145" s="403"/>
      <c r="K145" s="403"/>
    </row>
    <row r="146" spans="1:25" s="402" customFormat="1" ht="19.5">
      <c r="A146" s="403"/>
      <c r="B146" s="403"/>
      <c r="C146" s="403"/>
      <c r="D146" s="403"/>
      <c r="E146" s="403"/>
      <c r="F146" s="403"/>
      <c r="G146" s="403"/>
      <c r="H146" s="403"/>
      <c r="I146" s="403"/>
      <c r="J146" s="403"/>
      <c r="K146" s="403"/>
    </row>
    <row r="147" spans="1:25" s="402" customFormat="1" ht="30" customHeight="1">
      <c r="A147" s="403"/>
      <c r="B147" s="403"/>
      <c r="C147" s="403"/>
      <c r="D147" s="403"/>
      <c r="E147" s="403"/>
      <c r="F147" s="403"/>
      <c r="G147" s="403"/>
      <c r="H147" s="403"/>
      <c r="I147" s="403"/>
      <c r="J147" s="403"/>
      <c r="K147" s="403"/>
    </row>
    <row r="148" spans="1:25" s="402" customFormat="1" ht="23.25" customHeight="1">
      <c r="A148" s="403"/>
      <c r="B148" s="403"/>
      <c r="C148" s="403"/>
      <c r="D148" s="403"/>
      <c r="E148" s="403"/>
      <c r="F148" s="403"/>
      <c r="G148" s="403"/>
      <c r="H148" s="403"/>
      <c r="I148" s="403"/>
      <c r="J148" s="403"/>
      <c r="K148" s="403"/>
    </row>
    <row r="149" spans="1:25" ht="27" customHeight="1">
      <c r="A149" s="408"/>
      <c r="B149" s="627" t="s">
        <v>439</v>
      </c>
      <c r="C149" s="627"/>
      <c r="D149" s="627"/>
      <c r="E149" s="627"/>
      <c r="F149" s="627"/>
      <c r="G149" s="627"/>
      <c r="H149" s="409"/>
      <c r="I149" s="408"/>
      <c r="J149" s="408"/>
      <c r="K149" s="408"/>
    </row>
    <row r="150" spans="1:25" s="402" customFormat="1" ht="6.75" customHeight="1">
      <c r="A150" s="403"/>
      <c r="B150" s="403"/>
      <c r="C150" s="403"/>
      <c r="D150" s="403"/>
      <c r="E150" s="403"/>
      <c r="F150" s="403"/>
      <c r="G150" s="403"/>
      <c r="H150" s="403"/>
      <c r="I150" s="403"/>
      <c r="J150" s="403"/>
      <c r="K150" s="403"/>
    </row>
    <row r="151" spans="1:25" s="402" customFormat="1" ht="18.75" customHeight="1">
      <c r="A151" s="403"/>
      <c r="B151" s="404"/>
      <c r="C151" s="404"/>
      <c r="D151" s="404"/>
      <c r="E151" s="404"/>
      <c r="F151" s="404"/>
      <c r="G151" s="404"/>
      <c r="H151" s="404"/>
      <c r="I151" s="404"/>
      <c r="J151" s="404"/>
      <c r="K151" s="403"/>
    </row>
    <row r="152" spans="1:25" s="402" customFormat="1" ht="30" customHeight="1">
      <c r="A152" s="403"/>
      <c r="B152" s="404" t="s">
        <v>438</v>
      </c>
      <c r="C152" s="404"/>
      <c r="D152" s="404"/>
      <c r="E152" s="404"/>
      <c r="F152" s="404"/>
      <c r="G152" s="404"/>
      <c r="H152" s="404"/>
      <c r="I152" s="404"/>
      <c r="J152" s="404"/>
      <c r="K152" s="404"/>
      <c r="N152" s="626"/>
      <c r="O152" s="626"/>
      <c r="P152" s="626"/>
      <c r="Q152" s="626"/>
      <c r="R152" s="626"/>
      <c r="S152" s="626"/>
      <c r="T152" s="626"/>
      <c r="U152" s="626"/>
      <c r="V152" s="626"/>
      <c r="W152" s="626"/>
      <c r="X152" s="626"/>
      <c r="Y152" s="626"/>
    </row>
    <row r="153" spans="1:25" s="402" customFormat="1" ht="30" customHeight="1">
      <c r="A153" s="403"/>
      <c r="B153" s="404" t="s">
        <v>437</v>
      </c>
      <c r="C153" s="404"/>
      <c r="D153" s="404"/>
      <c r="E153" s="404"/>
      <c r="F153" s="404"/>
      <c r="G153" s="404"/>
      <c r="H153" s="404"/>
      <c r="I153" s="404"/>
      <c r="J153" s="404"/>
      <c r="K153" s="404"/>
      <c r="N153" s="626"/>
      <c r="O153" s="626"/>
      <c r="P153" s="626"/>
      <c r="Q153" s="626"/>
      <c r="R153" s="626"/>
      <c r="S153" s="626"/>
      <c r="T153" s="626"/>
      <c r="U153" s="626"/>
      <c r="V153" s="626"/>
      <c r="W153" s="626"/>
      <c r="X153" s="626"/>
      <c r="Y153" s="626"/>
    </row>
    <row r="154" spans="1:25" s="402" customFormat="1" ht="30" customHeight="1">
      <c r="A154" s="403"/>
      <c r="B154" s="407"/>
      <c r="C154" s="403"/>
      <c r="D154" s="403"/>
      <c r="E154" s="403"/>
      <c r="F154" s="403"/>
      <c r="G154" s="403"/>
      <c r="H154" s="403"/>
      <c r="I154" s="403"/>
      <c r="J154" s="403"/>
      <c r="K154" s="403"/>
      <c r="N154" s="406"/>
      <c r="O154" s="406"/>
      <c r="P154" s="406"/>
      <c r="Q154" s="406"/>
      <c r="R154" s="406"/>
      <c r="S154" s="406"/>
      <c r="T154" s="406"/>
      <c r="U154" s="406"/>
      <c r="V154" s="406"/>
      <c r="W154" s="406"/>
      <c r="X154" s="406"/>
      <c r="Y154" s="406"/>
    </row>
    <row r="155" spans="1:25" s="402" customFormat="1" ht="30" customHeight="1">
      <c r="A155" s="403"/>
      <c r="B155" s="403"/>
      <c r="C155" s="403"/>
      <c r="D155" s="403"/>
      <c r="E155" s="403"/>
      <c r="F155" s="403"/>
      <c r="G155" s="403"/>
      <c r="H155" s="403"/>
      <c r="I155" s="403"/>
      <c r="J155" s="403"/>
      <c r="K155" s="403"/>
    </row>
    <row r="156" spans="1:25" ht="27" customHeight="1">
      <c r="A156" s="405"/>
      <c r="B156" s="623" t="s">
        <v>148</v>
      </c>
      <c r="C156" s="623"/>
      <c r="D156" s="623"/>
      <c r="E156" s="405"/>
      <c r="F156" s="405"/>
      <c r="G156" s="405"/>
      <c r="H156" s="405"/>
      <c r="I156" s="405"/>
      <c r="J156" s="405"/>
      <c r="K156" s="405"/>
    </row>
    <row r="157" spans="1:25" s="402" customFormat="1" ht="6.75" customHeight="1">
      <c r="A157" s="403"/>
      <c r="B157" s="403"/>
      <c r="C157" s="403"/>
      <c r="D157" s="403"/>
      <c r="E157" s="403"/>
      <c r="F157" s="403"/>
      <c r="G157" s="403"/>
      <c r="H157" s="403"/>
      <c r="I157" s="403"/>
      <c r="J157" s="403"/>
      <c r="K157" s="403"/>
    </row>
    <row r="158" spans="1:25" s="402" customFormat="1" ht="18.75" customHeight="1">
      <c r="A158" s="403"/>
      <c r="B158" s="404"/>
      <c r="C158" s="404"/>
      <c r="D158" s="404"/>
      <c r="E158" s="404"/>
      <c r="F158" s="404"/>
      <c r="G158" s="404"/>
      <c r="H158" s="404"/>
      <c r="I158" s="404"/>
      <c r="J158" s="404"/>
      <c r="K158" s="403"/>
    </row>
    <row r="159" spans="1:25" s="397" customFormat="1" ht="27" customHeight="1">
      <c r="A159" s="398"/>
      <c r="B159" s="401" t="s">
        <v>436</v>
      </c>
      <c r="C159" s="401"/>
      <c r="D159" s="401"/>
      <c r="E159" s="401"/>
      <c r="F159" s="401"/>
      <c r="G159" s="398"/>
      <c r="H159" s="398"/>
      <c r="I159" s="398"/>
      <c r="J159" s="398"/>
      <c r="K159" s="398"/>
      <c r="N159" s="622"/>
      <c r="O159" s="622"/>
      <c r="P159" s="622"/>
      <c r="Q159" s="622"/>
      <c r="R159" s="622"/>
      <c r="S159" s="622"/>
      <c r="T159" s="622"/>
    </row>
    <row r="160" spans="1:25" s="397" customFormat="1" ht="27" customHeight="1">
      <c r="A160" s="398"/>
      <c r="B160" s="401" t="s">
        <v>379</v>
      </c>
      <c r="C160" s="401"/>
      <c r="D160" s="401"/>
      <c r="E160" s="401"/>
      <c r="F160" s="401"/>
      <c r="G160" s="398"/>
      <c r="H160" s="398"/>
      <c r="I160" s="398"/>
      <c r="J160" s="398"/>
      <c r="K160" s="398"/>
      <c r="N160" s="622"/>
      <c r="O160" s="622"/>
      <c r="P160" s="622"/>
      <c r="Q160" s="622"/>
      <c r="R160" s="622"/>
      <c r="S160" s="622"/>
      <c r="T160" s="622"/>
    </row>
    <row r="161" spans="1:20" s="397" customFormat="1" ht="27" customHeight="1">
      <c r="A161" s="398"/>
      <c r="B161" s="400" t="s">
        <v>380</v>
      </c>
      <c r="C161" s="400"/>
      <c r="D161" s="400"/>
      <c r="E161" s="400"/>
      <c r="F161" s="400"/>
      <c r="G161" s="399"/>
      <c r="H161" s="399"/>
      <c r="I161" s="399"/>
      <c r="J161" s="399"/>
      <c r="K161" s="398"/>
      <c r="N161" s="622"/>
      <c r="O161" s="622"/>
      <c r="P161" s="622"/>
      <c r="Q161" s="622"/>
      <c r="R161" s="622"/>
      <c r="S161" s="622"/>
      <c r="T161" s="622"/>
    </row>
    <row r="162" spans="1:20" ht="27" customHeight="1">
      <c r="A162" s="50"/>
      <c r="B162" s="227"/>
      <c r="C162" s="50"/>
      <c r="D162" s="50"/>
      <c r="E162" s="50"/>
      <c r="F162" s="50"/>
      <c r="G162" s="50"/>
      <c r="H162" s="50"/>
      <c r="I162" s="50"/>
      <c r="J162" s="50"/>
      <c r="K162" s="50"/>
    </row>
    <row r="163" spans="1:20" ht="27" customHeight="1">
      <c r="A163" s="50"/>
      <c r="B163" s="51"/>
      <c r="C163" s="50"/>
      <c r="D163" s="50"/>
      <c r="E163" s="50"/>
      <c r="F163" s="50"/>
      <c r="G163" s="50"/>
      <c r="H163" s="50"/>
      <c r="I163" s="50"/>
      <c r="J163" s="50"/>
      <c r="K163" s="50"/>
    </row>
  </sheetData>
  <mergeCells count="38">
    <mergeCell ref="D31:J31"/>
    <mergeCell ref="D34:J34"/>
    <mergeCell ref="D35:J35"/>
    <mergeCell ref="D36:J36"/>
    <mergeCell ref="D37:J37"/>
    <mergeCell ref="D22:J22"/>
    <mergeCell ref="D25:J25"/>
    <mergeCell ref="D26:J26"/>
    <mergeCell ref="D23:J23"/>
    <mergeCell ref="D24:J24"/>
    <mergeCell ref="D38:J38"/>
    <mergeCell ref="D39:J39"/>
    <mergeCell ref="D42:J42"/>
    <mergeCell ref="D43:J43"/>
    <mergeCell ref="D44:J44"/>
    <mergeCell ref="B5:B7"/>
    <mergeCell ref="B52:C52"/>
    <mergeCell ref="D9:J9"/>
    <mergeCell ref="D10:J10"/>
    <mergeCell ref="D11:J11"/>
    <mergeCell ref="D13:J13"/>
    <mergeCell ref="D16:J16"/>
    <mergeCell ref="D14:J14"/>
    <mergeCell ref="D15:J15"/>
    <mergeCell ref="D12:J12"/>
    <mergeCell ref="D21:J21"/>
    <mergeCell ref="D45:J45"/>
    <mergeCell ref="D46:J46"/>
    <mergeCell ref="D47:J47"/>
    <mergeCell ref="D20:J20"/>
    <mergeCell ref="D30:J30"/>
    <mergeCell ref="N159:T161"/>
    <mergeCell ref="B156:D156"/>
    <mergeCell ref="B88:C88"/>
    <mergeCell ref="B131:D131"/>
    <mergeCell ref="B134:J134"/>
    <mergeCell ref="N152:Y153"/>
    <mergeCell ref="B149:G149"/>
  </mergeCells>
  <phoneticPr fontId="9"/>
  <pageMargins left="0.62992125984251968" right="0.39370078740157483" top="0.55118110236220474" bottom="0.55118110236220474" header="0.51181102362204722" footer="0.51181102362204722"/>
  <pageSetup paperSize="9" scale="89" fitToHeight="0" orientation="portrait" r:id="rId1"/>
  <headerFooter alignWithMargins="0"/>
  <rowBreaks count="3" manualBreakCount="3">
    <brk id="51" max="16383" man="1"/>
    <brk id="87" max="16383" man="1"/>
    <brk id="130"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AA89"/>
  <sheetViews>
    <sheetView view="pageBreakPreview" topLeftCell="A69" zoomScale="70" zoomScaleNormal="100" zoomScaleSheetLayoutView="70" workbookViewId="0">
      <pane xSplit="2" topLeftCell="C1" activePane="topRight" state="frozen"/>
      <selection activeCell="D15" sqref="D15"/>
      <selection pane="topRight" activeCell="Q76" sqref="Q76"/>
    </sheetView>
  </sheetViews>
  <sheetFormatPr defaultColWidth="10.28515625" defaultRowHeight="13.5"/>
  <cols>
    <col min="1" max="1" width="1" style="70" customWidth="1"/>
    <col min="2" max="2" width="16.7109375" style="70" customWidth="1"/>
    <col min="3" max="3" width="11.5703125" style="70" customWidth="1"/>
    <col min="4" max="4" width="11.5703125" style="70" hidden="1" customWidth="1"/>
    <col min="5" max="5" width="12" style="70" hidden="1" customWidth="1"/>
    <col min="6" max="6" width="11.5703125" style="70" hidden="1" customWidth="1"/>
    <col min="7" max="7" width="12" style="70" hidden="1" customWidth="1"/>
    <col min="8" max="8" width="11.5703125" style="70" hidden="1" customWidth="1"/>
    <col min="9" max="9" width="10.5703125" style="70" hidden="1" customWidth="1"/>
    <col min="10" max="10" width="10.5703125" style="70" customWidth="1"/>
    <col min="11" max="11" width="11.5703125" style="70" customWidth="1"/>
    <col min="12" max="12" width="11" style="70" customWidth="1"/>
    <col min="13" max="13" width="11.5703125" style="70" customWidth="1"/>
    <col min="14" max="20" width="10.7109375" style="70" customWidth="1"/>
    <col min="21" max="27" width="10.5703125" style="70" bestFit="1" customWidth="1"/>
    <col min="28" max="16384" width="10.28515625" style="70"/>
  </cols>
  <sheetData>
    <row r="1" spans="2:27">
      <c r="B1" s="70" t="s">
        <v>81</v>
      </c>
    </row>
    <row r="3" spans="2:27">
      <c r="B3" s="70" t="s">
        <v>61</v>
      </c>
    </row>
    <row r="4" spans="2:27" s="74" customFormat="1">
      <c r="B4" s="71"/>
      <c r="C4" s="72" t="s">
        <v>48</v>
      </c>
      <c r="D4" s="72" t="s">
        <v>62</v>
      </c>
      <c r="E4" s="72" t="s">
        <v>49</v>
      </c>
      <c r="F4" s="72" t="s">
        <v>63</v>
      </c>
      <c r="G4" s="72" t="s">
        <v>50</v>
      </c>
      <c r="H4" s="72" t="s">
        <v>64</v>
      </c>
      <c r="I4" s="72" t="s">
        <v>51</v>
      </c>
      <c r="J4" s="72" t="s">
        <v>65</v>
      </c>
      <c r="K4" s="72" t="s">
        <v>52</v>
      </c>
      <c r="L4" s="72" t="s">
        <v>53</v>
      </c>
      <c r="M4" s="72" t="s">
        <v>54</v>
      </c>
      <c r="N4" s="73" t="s">
        <v>89</v>
      </c>
      <c r="O4" s="73" t="s">
        <v>104</v>
      </c>
      <c r="P4" s="73" t="s">
        <v>107</v>
      </c>
      <c r="Q4" s="73" t="s">
        <v>113</v>
      </c>
      <c r="R4" s="73" t="s">
        <v>144</v>
      </c>
      <c r="S4" s="73" t="s">
        <v>151</v>
      </c>
      <c r="T4" s="73" t="s">
        <v>167</v>
      </c>
      <c r="U4" s="105" t="s">
        <v>173</v>
      </c>
      <c r="V4" s="112" t="s">
        <v>179</v>
      </c>
      <c r="W4" s="114" t="s">
        <v>205</v>
      </c>
      <c r="X4" s="123" t="s">
        <v>209</v>
      </c>
      <c r="Y4" s="125" t="s">
        <v>227</v>
      </c>
      <c r="Z4" s="125" t="s">
        <v>286</v>
      </c>
      <c r="AA4" s="125" t="s">
        <v>360</v>
      </c>
    </row>
    <row r="5" spans="2:27" s="74" customFormat="1">
      <c r="B5" s="75" t="s">
        <v>82</v>
      </c>
      <c r="C5" s="76">
        <v>490419</v>
      </c>
      <c r="D5" s="76">
        <v>473096</v>
      </c>
      <c r="E5" s="76">
        <v>555592</v>
      </c>
      <c r="F5" s="76">
        <v>407813</v>
      </c>
      <c r="G5" s="76">
        <v>390207</v>
      </c>
      <c r="H5" s="76">
        <v>357302</v>
      </c>
      <c r="I5" s="76">
        <v>287916</v>
      </c>
      <c r="J5" s="76">
        <v>219703</v>
      </c>
      <c r="K5" s="76">
        <v>185020</v>
      </c>
      <c r="L5" s="76">
        <v>166774</v>
      </c>
      <c r="M5" s="76">
        <v>150545</v>
      </c>
      <c r="N5" s="77">
        <v>162129</v>
      </c>
      <c r="O5" s="77">
        <v>124207</v>
      </c>
      <c r="P5" s="77">
        <v>125825</v>
      </c>
      <c r="Q5" s="77">
        <v>95376</v>
      </c>
      <c r="R5" s="77">
        <v>90088</v>
      </c>
      <c r="S5" s="77">
        <v>76715</v>
      </c>
      <c r="T5" s="77">
        <v>83723</v>
      </c>
      <c r="U5" s="77">
        <v>101864</v>
      </c>
      <c r="V5" s="77">
        <v>100879</v>
      </c>
      <c r="W5" s="78">
        <v>100112</v>
      </c>
      <c r="X5" s="78">
        <v>115757</v>
      </c>
      <c r="Y5" s="78">
        <v>124704</v>
      </c>
      <c r="Z5" s="78">
        <v>157306</v>
      </c>
      <c r="AA5" s="78">
        <v>177781</v>
      </c>
    </row>
    <row r="6" spans="2:27" s="74" customFormat="1">
      <c r="B6" s="75" t="s">
        <v>73</v>
      </c>
      <c r="C6" s="76">
        <f t="shared" ref="C6:L6" si="0">C10-C9-C8-C5-C7</f>
        <v>657571</v>
      </c>
      <c r="D6" s="76">
        <f t="shared" si="0"/>
        <v>647421</v>
      </c>
      <c r="E6" s="76">
        <f t="shared" si="0"/>
        <v>658464</v>
      </c>
      <c r="F6" s="76">
        <f t="shared" si="0"/>
        <v>699410</v>
      </c>
      <c r="G6" s="76">
        <f t="shared" si="0"/>
        <v>672493</v>
      </c>
      <c r="H6" s="76">
        <f t="shared" si="0"/>
        <v>672899</v>
      </c>
      <c r="I6" s="76">
        <f t="shared" si="0"/>
        <v>641302</v>
      </c>
      <c r="J6" s="76">
        <f t="shared" si="0"/>
        <v>629351</v>
      </c>
      <c r="K6" s="76">
        <f t="shared" si="0"/>
        <v>640522</v>
      </c>
      <c r="L6" s="76">
        <f t="shared" si="0"/>
        <v>635380</v>
      </c>
      <c r="M6" s="76">
        <v>587893</v>
      </c>
      <c r="N6" s="77">
        <v>553627</v>
      </c>
      <c r="O6" s="77">
        <v>573465</v>
      </c>
      <c r="P6" s="77">
        <v>652275</v>
      </c>
      <c r="Q6" s="77">
        <v>602938</v>
      </c>
      <c r="R6" s="77">
        <v>584309</v>
      </c>
      <c r="S6" s="77">
        <v>631833</v>
      </c>
      <c r="T6" s="78">
        <v>576794</v>
      </c>
      <c r="U6" s="78">
        <v>543322</v>
      </c>
      <c r="V6" s="78">
        <v>518938</v>
      </c>
      <c r="W6" s="78">
        <v>468576</v>
      </c>
      <c r="X6" s="78">
        <v>508666</v>
      </c>
      <c r="Y6" s="78">
        <v>485989</v>
      </c>
      <c r="Z6" s="78">
        <v>497800</v>
      </c>
      <c r="AA6" s="78">
        <v>746213</v>
      </c>
    </row>
    <row r="7" spans="2:27" s="74" customFormat="1">
      <c r="B7" s="75" t="s">
        <v>83</v>
      </c>
      <c r="C7" s="76">
        <v>145516</v>
      </c>
      <c r="D7" s="76">
        <v>160175</v>
      </c>
      <c r="E7" s="76">
        <v>166464</v>
      </c>
      <c r="F7" s="76">
        <v>189404</v>
      </c>
      <c r="G7" s="76">
        <v>199166</v>
      </c>
      <c r="H7" s="76">
        <v>209993</v>
      </c>
      <c r="I7" s="76">
        <v>233813</v>
      </c>
      <c r="J7" s="76">
        <v>218849</v>
      </c>
      <c r="K7" s="76">
        <v>217563</v>
      </c>
      <c r="L7" s="76">
        <v>210400</v>
      </c>
      <c r="M7" s="76">
        <v>207507</v>
      </c>
      <c r="N7" s="77">
        <v>207387</v>
      </c>
      <c r="O7" s="77">
        <v>213802</v>
      </c>
      <c r="P7" s="77">
        <v>221510</v>
      </c>
      <c r="Q7" s="77">
        <v>222238</v>
      </c>
      <c r="R7" s="77">
        <v>237153</v>
      </c>
      <c r="S7" s="77">
        <v>260026</v>
      </c>
      <c r="T7" s="77">
        <v>279755</v>
      </c>
      <c r="U7" s="77">
        <v>265954</v>
      </c>
      <c r="V7" s="77">
        <v>278423</v>
      </c>
      <c r="W7" s="78">
        <v>265961</v>
      </c>
      <c r="X7" s="78">
        <v>262980</v>
      </c>
      <c r="Y7" s="78">
        <v>292271</v>
      </c>
      <c r="Z7" s="78">
        <v>225144</v>
      </c>
      <c r="AA7" s="78">
        <v>195501</v>
      </c>
    </row>
    <row r="8" spans="2:27" s="74" customFormat="1">
      <c r="B8" s="75" t="s">
        <v>84</v>
      </c>
      <c r="C8" s="76">
        <v>217325</v>
      </c>
      <c r="D8" s="76">
        <v>231951</v>
      </c>
      <c r="E8" s="76">
        <v>246904</v>
      </c>
      <c r="F8" s="76">
        <v>264778</v>
      </c>
      <c r="G8" s="76">
        <v>255380</v>
      </c>
      <c r="H8" s="76">
        <v>275392</v>
      </c>
      <c r="I8" s="76">
        <v>296340</v>
      </c>
      <c r="J8" s="76">
        <v>327848</v>
      </c>
      <c r="K8" s="76">
        <v>346732</v>
      </c>
      <c r="L8" s="76">
        <v>356313</v>
      </c>
      <c r="M8" s="76">
        <v>363149</v>
      </c>
      <c r="N8" s="77">
        <v>374569</v>
      </c>
      <c r="O8" s="77">
        <v>384863</v>
      </c>
      <c r="P8" s="77">
        <v>426249</v>
      </c>
      <c r="Q8" s="77">
        <v>481221</v>
      </c>
      <c r="R8" s="77">
        <v>496850</v>
      </c>
      <c r="S8" s="77">
        <v>498403</v>
      </c>
      <c r="T8" s="77">
        <v>501060</v>
      </c>
      <c r="U8" s="77">
        <v>517168</v>
      </c>
      <c r="V8" s="77">
        <v>528188</v>
      </c>
      <c r="W8" s="78">
        <v>541680</v>
      </c>
      <c r="X8" s="78">
        <v>552538</v>
      </c>
      <c r="Y8" s="78">
        <v>553538</v>
      </c>
      <c r="Z8" s="78">
        <v>572052</v>
      </c>
      <c r="AA8" s="78">
        <v>589363</v>
      </c>
    </row>
    <row r="9" spans="2:27" s="74" customFormat="1">
      <c r="B9" s="75" t="s">
        <v>85</v>
      </c>
      <c r="C9" s="76">
        <v>333494</v>
      </c>
      <c r="D9" s="76">
        <v>339766</v>
      </c>
      <c r="E9" s="76">
        <v>344027</v>
      </c>
      <c r="F9" s="76">
        <v>344624</v>
      </c>
      <c r="G9" s="76">
        <v>343620</v>
      </c>
      <c r="H9" s="76">
        <v>342117</v>
      </c>
      <c r="I9" s="76">
        <v>328600</v>
      </c>
      <c r="J9" s="76">
        <v>324236</v>
      </c>
      <c r="K9" s="76">
        <v>312114</v>
      </c>
      <c r="L9" s="76">
        <v>295822</v>
      </c>
      <c r="M9" s="76">
        <v>278549</v>
      </c>
      <c r="N9" s="77">
        <v>275570</v>
      </c>
      <c r="O9" s="77">
        <v>256522</v>
      </c>
      <c r="P9" s="77">
        <v>243904</v>
      </c>
      <c r="Q9" s="77">
        <v>239462</v>
      </c>
      <c r="R9" s="77">
        <v>241497</v>
      </c>
      <c r="S9" s="77">
        <v>232278</v>
      </c>
      <c r="T9" s="77">
        <v>209070</v>
      </c>
      <c r="U9" s="77">
        <v>207535</v>
      </c>
      <c r="V9" s="77">
        <v>203645</v>
      </c>
      <c r="W9" s="78">
        <v>196519</v>
      </c>
      <c r="X9" s="78">
        <v>300874</v>
      </c>
      <c r="Y9" s="78">
        <v>302071</v>
      </c>
      <c r="Z9" s="78">
        <v>304487</v>
      </c>
      <c r="AA9" s="78">
        <v>305796</v>
      </c>
    </row>
    <row r="10" spans="2:27" s="74" customFormat="1">
      <c r="B10" s="75" t="s">
        <v>74</v>
      </c>
      <c r="C10" s="76">
        <v>1844325</v>
      </c>
      <c r="D10" s="76">
        <v>1852409</v>
      </c>
      <c r="E10" s="76">
        <v>1971451</v>
      </c>
      <c r="F10" s="76">
        <v>1906029</v>
      </c>
      <c r="G10" s="76">
        <v>1860866</v>
      </c>
      <c r="H10" s="76">
        <v>1857703</v>
      </c>
      <c r="I10" s="76">
        <v>1787971</v>
      </c>
      <c r="J10" s="76">
        <v>1719987</v>
      </c>
      <c r="K10" s="76">
        <v>1701951</v>
      </c>
      <c r="L10" s="76">
        <v>1664689</v>
      </c>
      <c r="M10" s="76">
        <v>1587643</v>
      </c>
      <c r="N10" s="77">
        <v>1573282</v>
      </c>
      <c r="O10" s="77">
        <v>1552859</v>
      </c>
      <c r="P10" s="77">
        <v>1669763</v>
      </c>
      <c r="Q10" s="77">
        <v>1641235</v>
      </c>
      <c r="R10" s="77">
        <v>1649897</v>
      </c>
      <c r="S10" s="77">
        <v>1699255</v>
      </c>
      <c r="T10" s="77">
        <v>1650402</v>
      </c>
      <c r="U10" s="77">
        <v>1635843</v>
      </c>
      <c r="V10" s="77">
        <v>1630073</v>
      </c>
      <c r="W10" s="78">
        <v>1572848</v>
      </c>
      <c r="X10" s="78">
        <v>1740813</v>
      </c>
      <c r="Y10" s="78">
        <v>1758572</v>
      </c>
      <c r="Z10" s="78">
        <v>1756789</v>
      </c>
      <c r="AA10" s="78">
        <v>2014653</v>
      </c>
    </row>
    <row r="11" spans="2:27" s="74" customFormat="1">
      <c r="B11" s="79"/>
      <c r="C11" s="80">
        <f>SUM(C5:C9)-C10</f>
        <v>0</v>
      </c>
      <c r="D11" s="80">
        <f t="shared" ref="D11:P11" si="1">SUM(D5:D9)-D10</f>
        <v>0</v>
      </c>
      <c r="E11" s="80">
        <f t="shared" si="1"/>
        <v>0</v>
      </c>
      <c r="F11" s="80">
        <f t="shared" si="1"/>
        <v>0</v>
      </c>
      <c r="G11" s="80">
        <f t="shared" si="1"/>
        <v>0</v>
      </c>
      <c r="H11" s="80">
        <f t="shared" si="1"/>
        <v>0</v>
      </c>
      <c r="I11" s="80">
        <f t="shared" si="1"/>
        <v>0</v>
      </c>
      <c r="J11" s="80">
        <f t="shared" si="1"/>
        <v>0</v>
      </c>
      <c r="K11" s="80">
        <f t="shared" si="1"/>
        <v>0</v>
      </c>
      <c r="L11" s="80">
        <f t="shared" si="1"/>
        <v>0</v>
      </c>
      <c r="M11" s="80">
        <f t="shared" si="1"/>
        <v>0</v>
      </c>
      <c r="N11" s="80">
        <f t="shared" si="1"/>
        <v>0</v>
      </c>
      <c r="O11" s="80">
        <f t="shared" si="1"/>
        <v>0</v>
      </c>
      <c r="P11" s="80">
        <f t="shared" si="1"/>
        <v>0</v>
      </c>
      <c r="Q11" s="80">
        <f t="shared" ref="Q11:W11" si="2">SUM(Q5:Q9)-Q10</f>
        <v>0</v>
      </c>
      <c r="R11" s="80">
        <f t="shared" si="2"/>
        <v>0</v>
      </c>
      <c r="S11" s="80">
        <f t="shared" si="2"/>
        <v>0</v>
      </c>
      <c r="T11" s="80">
        <f t="shared" si="2"/>
        <v>0</v>
      </c>
      <c r="U11" s="80">
        <f t="shared" si="2"/>
        <v>0</v>
      </c>
      <c r="V11" s="80">
        <f>SUM(V5:V9)-V10</f>
        <v>0</v>
      </c>
      <c r="W11" s="104">
        <f t="shared" si="2"/>
        <v>0</v>
      </c>
      <c r="X11" s="104">
        <f>SUM(X5:X9)-X10</f>
        <v>2</v>
      </c>
      <c r="Y11" s="104">
        <f>SUM(Y5:Y9)-Y10</f>
        <v>1</v>
      </c>
      <c r="Z11" s="104">
        <f>SUM(Z5:Z9)-Z10</f>
        <v>0</v>
      </c>
      <c r="AA11" s="104">
        <f>SUM(AA5:AA9)-AA10</f>
        <v>1</v>
      </c>
    </row>
    <row r="13" spans="2:27">
      <c r="B13" s="639" t="s">
        <v>86</v>
      </c>
      <c r="C13" s="639"/>
      <c r="D13" s="639"/>
      <c r="E13" s="639"/>
    </row>
    <row r="14" spans="2:27">
      <c r="B14" s="71"/>
      <c r="C14" s="72" t="s">
        <v>48</v>
      </c>
      <c r="D14" s="72" t="s">
        <v>62</v>
      </c>
      <c r="E14" s="72" t="s">
        <v>49</v>
      </c>
      <c r="F14" s="72" t="s">
        <v>63</v>
      </c>
      <c r="G14" s="72" t="s">
        <v>50</v>
      </c>
      <c r="H14" s="72" t="s">
        <v>64</v>
      </c>
      <c r="I14" s="72" t="s">
        <v>51</v>
      </c>
      <c r="J14" s="72" t="s">
        <v>65</v>
      </c>
      <c r="K14" s="72" t="s">
        <v>52</v>
      </c>
      <c r="L14" s="72" t="s">
        <v>53</v>
      </c>
      <c r="M14" s="72" t="s">
        <v>54</v>
      </c>
      <c r="N14" s="81" t="s">
        <v>89</v>
      </c>
      <c r="O14" s="81" t="s">
        <v>104</v>
      </c>
      <c r="P14" s="81" t="s">
        <v>107</v>
      </c>
      <c r="Q14" s="81" t="s">
        <v>113</v>
      </c>
      <c r="R14" s="81" t="s">
        <v>144</v>
      </c>
      <c r="S14" s="73" t="s">
        <v>151</v>
      </c>
      <c r="T14" s="81" t="s">
        <v>167</v>
      </c>
      <c r="U14" s="106" t="s">
        <v>173</v>
      </c>
      <c r="V14" s="112" t="s">
        <v>179</v>
      </c>
      <c r="W14" s="114" t="s">
        <v>205</v>
      </c>
      <c r="X14" s="114" t="s">
        <v>209</v>
      </c>
      <c r="Y14" s="125" t="s">
        <v>227</v>
      </c>
      <c r="Z14" s="125" t="s">
        <v>286</v>
      </c>
      <c r="AA14" s="125" t="s">
        <v>360</v>
      </c>
    </row>
    <row r="15" spans="2:27">
      <c r="B15" s="75" t="s">
        <v>83</v>
      </c>
      <c r="C15" s="76">
        <v>145516</v>
      </c>
      <c r="D15" s="76">
        <v>160175</v>
      </c>
      <c r="E15" s="76">
        <v>166464</v>
      </c>
      <c r="F15" s="76">
        <v>189404</v>
      </c>
      <c r="G15" s="76">
        <v>199166</v>
      </c>
      <c r="H15" s="76">
        <v>209993</v>
      </c>
      <c r="I15" s="76">
        <v>233813</v>
      </c>
      <c r="J15" s="76">
        <v>218849</v>
      </c>
      <c r="K15" s="76">
        <v>217563</v>
      </c>
      <c r="L15" s="76">
        <v>210400</v>
      </c>
      <c r="M15" s="76">
        <v>207507</v>
      </c>
      <c r="N15" s="76">
        <v>207387</v>
      </c>
      <c r="O15" s="76">
        <v>213802</v>
      </c>
      <c r="P15" s="76">
        <f t="shared" ref="P15:T17" si="3">P7</f>
        <v>221510</v>
      </c>
      <c r="Q15" s="76">
        <f t="shared" si="3"/>
        <v>222238</v>
      </c>
      <c r="R15" s="76">
        <f t="shared" si="3"/>
        <v>237153</v>
      </c>
      <c r="S15" s="76">
        <f t="shared" si="3"/>
        <v>260026</v>
      </c>
      <c r="T15" s="76">
        <f t="shared" si="3"/>
        <v>279755</v>
      </c>
      <c r="U15" s="76">
        <f t="shared" ref="U15:W17" si="4">U7</f>
        <v>265954</v>
      </c>
      <c r="V15" s="76">
        <f>V7</f>
        <v>278423</v>
      </c>
      <c r="W15" s="116">
        <f t="shared" si="4"/>
        <v>265961</v>
      </c>
      <c r="X15" s="116">
        <f t="shared" ref="X15:Z17" si="5">X7</f>
        <v>262980</v>
      </c>
      <c r="Y15" s="116">
        <f t="shared" ref="Y15" si="6">Y7</f>
        <v>292271</v>
      </c>
      <c r="Z15" s="116">
        <f t="shared" si="5"/>
        <v>225144</v>
      </c>
      <c r="AA15" s="116">
        <f t="shared" ref="AA15" si="7">AA7</f>
        <v>195501</v>
      </c>
    </row>
    <row r="16" spans="2:27">
      <c r="B16" s="75" t="s">
        <v>84</v>
      </c>
      <c r="C16" s="76">
        <v>217325</v>
      </c>
      <c r="D16" s="76">
        <v>231951</v>
      </c>
      <c r="E16" s="76">
        <v>246904</v>
      </c>
      <c r="F16" s="76">
        <v>264778</v>
      </c>
      <c r="G16" s="76">
        <v>255380</v>
      </c>
      <c r="H16" s="76">
        <v>275392</v>
      </c>
      <c r="I16" s="76">
        <v>296340</v>
      </c>
      <c r="J16" s="76">
        <v>327848</v>
      </c>
      <c r="K16" s="76">
        <v>346732</v>
      </c>
      <c r="L16" s="76">
        <v>356313</v>
      </c>
      <c r="M16" s="76">
        <v>363149</v>
      </c>
      <c r="N16" s="76">
        <v>374569</v>
      </c>
      <c r="O16" s="76">
        <v>384863</v>
      </c>
      <c r="P16" s="76">
        <f t="shared" si="3"/>
        <v>426249</v>
      </c>
      <c r="Q16" s="76">
        <f t="shared" si="3"/>
        <v>481221</v>
      </c>
      <c r="R16" s="76">
        <f t="shared" si="3"/>
        <v>496850</v>
      </c>
      <c r="S16" s="76">
        <f t="shared" si="3"/>
        <v>498403</v>
      </c>
      <c r="T16" s="76">
        <f>T8</f>
        <v>501060</v>
      </c>
      <c r="U16" s="76">
        <f t="shared" si="4"/>
        <v>517168</v>
      </c>
      <c r="V16" s="76">
        <f>V8</f>
        <v>528188</v>
      </c>
      <c r="W16" s="116">
        <f t="shared" si="4"/>
        <v>541680</v>
      </c>
      <c r="X16" s="116">
        <f t="shared" si="5"/>
        <v>552538</v>
      </c>
      <c r="Y16" s="116">
        <f t="shared" ref="Y16" si="8">Y8</f>
        <v>553538</v>
      </c>
      <c r="Z16" s="116">
        <f t="shared" si="5"/>
        <v>572052</v>
      </c>
      <c r="AA16" s="116">
        <f t="shared" ref="AA16" si="9">AA8</f>
        <v>589363</v>
      </c>
    </row>
    <row r="17" spans="2:27">
      <c r="B17" s="75" t="s">
        <v>85</v>
      </c>
      <c r="C17" s="76">
        <v>333494</v>
      </c>
      <c r="D17" s="76">
        <v>339766</v>
      </c>
      <c r="E17" s="76">
        <v>344027</v>
      </c>
      <c r="F17" s="76">
        <v>344624</v>
      </c>
      <c r="G17" s="76">
        <v>343620</v>
      </c>
      <c r="H17" s="76">
        <v>342117</v>
      </c>
      <c r="I17" s="76">
        <v>328600</v>
      </c>
      <c r="J17" s="76">
        <v>324236</v>
      </c>
      <c r="K17" s="76">
        <v>312114</v>
      </c>
      <c r="L17" s="76">
        <v>295822</v>
      </c>
      <c r="M17" s="76">
        <v>278549</v>
      </c>
      <c r="N17" s="76">
        <v>275570</v>
      </c>
      <c r="O17" s="76">
        <v>256522</v>
      </c>
      <c r="P17" s="76">
        <f t="shared" si="3"/>
        <v>243904</v>
      </c>
      <c r="Q17" s="76">
        <f t="shared" si="3"/>
        <v>239462</v>
      </c>
      <c r="R17" s="76">
        <f t="shared" si="3"/>
        <v>241497</v>
      </c>
      <c r="S17" s="76">
        <f t="shared" si="3"/>
        <v>232278</v>
      </c>
      <c r="T17" s="76">
        <f t="shared" si="3"/>
        <v>209070</v>
      </c>
      <c r="U17" s="76">
        <f t="shared" si="4"/>
        <v>207535</v>
      </c>
      <c r="V17" s="76">
        <f>V9</f>
        <v>203645</v>
      </c>
      <c r="W17" s="116">
        <f t="shared" si="4"/>
        <v>196519</v>
      </c>
      <c r="X17" s="116">
        <f t="shared" si="5"/>
        <v>300874</v>
      </c>
      <c r="Y17" s="116">
        <f t="shared" ref="Y17" si="10">Y9</f>
        <v>302071</v>
      </c>
      <c r="Z17" s="116">
        <f t="shared" si="5"/>
        <v>304487</v>
      </c>
      <c r="AA17" s="116">
        <f t="shared" ref="AA17" si="11">AA9</f>
        <v>305796</v>
      </c>
    </row>
    <row r="18" spans="2:27" ht="27">
      <c r="B18" s="75" t="s">
        <v>87</v>
      </c>
      <c r="C18" s="76">
        <f>SUM(C15:C17)</f>
        <v>696335</v>
      </c>
      <c r="D18" s="76">
        <f t="shared" ref="D18:T18" si="12">SUM(D15:D17)</f>
        <v>731892</v>
      </c>
      <c r="E18" s="76">
        <f t="shared" si="12"/>
        <v>757395</v>
      </c>
      <c r="F18" s="76">
        <f t="shared" si="12"/>
        <v>798806</v>
      </c>
      <c r="G18" s="76">
        <f t="shared" si="12"/>
        <v>798166</v>
      </c>
      <c r="H18" s="76">
        <f t="shared" si="12"/>
        <v>827502</v>
      </c>
      <c r="I18" s="76">
        <f t="shared" si="12"/>
        <v>858753</v>
      </c>
      <c r="J18" s="76">
        <f t="shared" si="12"/>
        <v>870933</v>
      </c>
      <c r="K18" s="76">
        <f t="shared" si="12"/>
        <v>876409</v>
      </c>
      <c r="L18" s="76">
        <f t="shared" si="12"/>
        <v>862535</v>
      </c>
      <c r="M18" s="76">
        <f t="shared" si="12"/>
        <v>849205</v>
      </c>
      <c r="N18" s="76">
        <f t="shared" si="12"/>
        <v>857526</v>
      </c>
      <c r="O18" s="76">
        <f t="shared" si="12"/>
        <v>855187</v>
      </c>
      <c r="P18" s="76">
        <f t="shared" si="12"/>
        <v>891663</v>
      </c>
      <c r="Q18" s="76">
        <f t="shared" si="12"/>
        <v>942921</v>
      </c>
      <c r="R18" s="76">
        <f t="shared" si="12"/>
        <v>975500</v>
      </c>
      <c r="S18" s="76">
        <f t="shared" si="12"/>
        <v>990707</v>
      </c>
      <c r="T18" s="76">
        <f t="shared" si="12"/>
        <v>989885</v>
      </c>
      <c r="U18" s="76">
        <f t="shared" ref="U18:Z18" si="13">SUM(U15:U17)</f>
        <v>990657</v>
      </c>
      <c r="V18" s="76">
        <f t="shared" si="13"/>
        <v>1010256</v>
      </c>
      <c r="W18" s="116">
        <f t="shared" si="13"/>
        <v>1004160</v>
      </c>
      <c r="X18" s="116">
        <f t="shared" si="13"/>
        <v>1116392</v>
      </c>
      <c r="Y18" s="116">
        <f t="shared" si="13"/>
        <v>1147880</v>
      </c>
      <c r="Z18" s="116">
        <f t="shared" si="13"/>
        <v>1101683</v>
      </c>
      <c r="AA18" s="116">
        <f t="shared" ref="AA18" si="14">SUM(AA15:AA17)</f>
        <v>1090660</v>
      </c>
    </row>
    <row r="19" spans="2:27">
      <c r="B19" s="79"/>
      <c r="C19" s="80"/>
      <c r="D19" s="80"/>
      <c r="E19" s="80"/>
      <c r="F19" s="80"/>
      <c r="G19" s="80"/>
      <c r="H19" s="80"/>
      <c r="I19" s="80"/>
      <c r="J19" s="80"/>
      <c r="K19" s="80"/>
      <c r="L19" s="80"/>
      <c r="M19" s="80"/>
    </row>
    <row r="20" spans="2:27">
      <c r="B20" s="640" t="s">
        <v>78</v>
      </c>
      <c r="C20" s="640"/>
      <c r="D20" s="640"/>
      <c r="E20" s="640"/>
    </row>
    <row r="21" spans="2:27">
      <c r="B21" s="71"/>
      <c r="C21" s="72" t="s">
        <v>48</v>
      </c>
      <c r="D21" s="72" t="s">
        <v>62</v>
      </c>
      <c r="E21" s="72" t="s">
        <v>49</v>
      </c>
      <c r="F21" s="72" t="s">
        <v>63</v>
      </c>
      <c r="G21" s="72" t="s">
        <v>50</v>
      </c>
      <c r="H21" s="72" t="s">
        <v>64</v>
      </c>
      <c r="I21" s="72" t="s">
        <v>51</v>
      </c>
      <c r="J21" s="72" t="s">
        <v>65</v>
      </c>
      <c r="K21" s="72" t="s">
        <v>52</v>
      </c>
      <c r="L21" s="72" t="s">
        <v>53</v>
      </c>
      <c r="M21" s="72" t="s">
        <v>54</v>
      </c>
      <c r="N21" s="81" t="s">
        <v>89</v>
      </c>
      <c r="O21" s="81" t="s">
        <v>104</v>
      </c>
      <c r="P21" s="81" t="s">
        <v>107</v>
      </c>
      <c r="Q21" s="81" t="s">
        <v>113</v>
      </c>
      <c r="R21" s="81" t="s">
        <v>144</v>
      </c>
      <c r="S21" s="73" t="s">
        <v>151</v>
      </c>
      <c r="T21" s="81" t="s">
        <v>167</v>
      </c>
      <c r="U21" s="106" t="s">
        <v>173</v>
      </c>
      <c r="V21" s="112" t="s">
        <v>179</v>
      </c>
      <c r="W21" s="114" t="s">
        <v>205</v>
      </c>
      <c r="X21" s="114" t="s">
        <v>209</v>
      </c>
      <c r="Y21" s="125" t="s">
        <v>227</v>
      </c>
      <c r="Z21" s="125" t="s">
        <v>286</v>
      </c>
      <c r="AA21" s="125" t="s">
        <v>360</v>
      </c>
    </row>
    <row r="22" spans="2:27">
      <c r="B22" s="75" t="s">
        <v>82</v>
      </c>
      <c r="C22" s="82">
        <f>C5/C$10*100</f>
        <v>26.590703916066854</v>
      </c>
      <c r="D22" s="82">
        <f t="shared" ref="D22:S26" si="15">D5/D$10*100</f>
        <v>25.539500185974045</v>
      </c>
      <c r="E22" s="82">
        <f t="shared" si="15"/>
        <v>28.181882278585675</v>
      </c>
      <c r="F22" s="82">
        <f t="shared" si="15"/>
        <v>21.395949379573974</v>
      </c>
      <c r="G22" s="82">
        <f t="shared" si="15"/>
        <v>20.969107931468468</v>
      </c>
      <c r="H22" s="82">
        <f t="shared" si="15"/>
        <v>19.233537330778923</v>
      </c>
      <c r="I22" s="82">
        <f t="shared" si="15"/>
        <v>16.102945741289986</v>
      </c>
      <c r="J22" s="82">
        <f t="shared" si="15"/>
        <v>12.773526776655869</v>
      </c>
      <c r="K22" s="82">
        <f t="shared" si="15"/>
        <v>10.87105327944224</v>
      </c>
      <c r="L22" s="82">
        <f t="shared" si="15"/>
        <v>10.018327747705428</v>
      </c>
      <c r="M22" s="82">
        <f t="shared" si="15"/>
        <v>9.482295453071</v>
      </c>
      <c r="N22" s="82">
        <f t="shared" si="15"/>
        <v>10.305145549240377</v>
      </c>
      <c r="O22" s="82">
        <f t="shared" si="15"/>
        <v>7.9986012896212726</v>
      </c>
      <c r="P22" s="82">
        <f t="shared" si="15"/>
        <v>7.5355005470836272</v>
      </c>
      <c r="Q22" s="82">
        <f t="shared" si="15"/>
        <v>5.8112336137116261</v>
      </c>
      <c r="R22" s="82">
        <f t="shared" si="15"/>
        <v>5.4602196379531573</v>
      </c>
      <c r="S22" s="82">
        <f t="shared" si="15"/>
        <v>4.5146255270692155</v>
      </c>
      <c r="T22" s="82">
        <f t="shared" ref="T22:Z22" si="16">T5/T$10*100</f>
        <v>5.0728852728002023</v>
      </c>
      <c r="U22" s="82">
        <f t="shared" si="16"/>
        <v>6.2270034471523248</v>
      </c>
      <c r="V22" s="82">
        <f t="shared" si="16"/>
        <v>6.1886185465313517</v>
      </c>
      <c r="W22" s="117">
        <f t="shared" si="16"/>
        <v>6.3650142925444797</v>
      </c>
      <c r="X22" s="117">
        <f t="shared" si="16"/>
        <v>6.6495941838669639</v>
      </c>
      <c r="Y22" s="117">
        <f t="shared" ref="Y22" si="17">Y5/Y$10*100</f>
        <v>7.091208093839775</v>
      </c>
      <c r="Z22" s="117">
        <f t="shared" si="16"/>
        <v>8.9541771948708693</v>
      </c>
      <c r="AA22" s="117">
        <f t="shared" ref="AA22" si="18">AA5/AA$10*100</f>
        <v>8.8243980477035002</v>
      </c>
    </row>
    <row r="23" spans="2:27">
      <c r="B23" s="75" t="s">
        <v>73</v>
      </c>
      <c r="C23" s="82">
        <f t="shared" ref="C23:K26" si="19">C6/C$10*100</f>
        <v>35.653748661434399</v>
      </c>
      <c r="D23" s="82">
        <f t="shared" si="19"/>
        <v>34.950218877148622</v>
      </c>
      <c r="E23" s="82">
        <f t="shared" si="19"/>
        <v>33.399967840945578</v>
      </c>
      <c r="F23" s="82">
        <f t="shared" si="19"/>
        <v>36.69461482485314</v>
      </c>
      <c r="G23" s="82">
        <f t="shared" si="19"/>
        <v>36.138711761083279</v>
      </c>
      <c r="H23" s="82">
        <f t="shared" si="19"/>
        <v>36.222097934922857</v>
      </c>
      <c r="I23" s="82">
        <f t="shared" si="19"/>
        <v>35.867583982066826</v>
      </c>
      <c r="J23" s="82">
        <f t="shared" si="19"/>
        <v>36.590450974338765</v>
      </c>
      <c r="K23" s="82">
        <f t="shared" si="19"/>
        <v>37.634573498296952</v>
      </c>
      <c r="L23" s="82">
        <f t="shared" si="15"/>
        <v>38.168090255897646</v>
      </c>
      <c r="M23" s="82">
        <f t="shared" si="15"/>
        <v>37.029294369074158</v>
      </c>
      <c r="N23" s="82">
        <f t="shared" si="15"/>
        <v>35.189304905287166</v>
      </c>
      <c r="O23" s="82">
        <f t="shared" si="15"/>
        <v>36.929624647183033</v>
      </c>
      <c r="P23" s="82">
        <f t="shared" si="15"/>
        <v>39.063927036351863</v>
      </c>
      <c r="Q23" s="82">
        <f t="shared" si="15"/>
        <v>36.736847556870281</v>
      </c>
      <c r="R23" s="82">
        <f t="shared" si="15"/>
        <v>35.414877413559751</v>
      </c>
      <c r="S23" s="82">
        <f t="shared" si="15"/>
        <v>37.182941936319153</v>
      </c>
      <c r="T23" s="82">
        <f>T6/T$10*100</f>
        <v>34.948697347676507</v>
      </c>
      <c r="U23" s="82">
        <f t="shared" ref="U23:W26" si="20">U6/U$10*100</f>
        <v>33.213578564691112</v>
      </c>
      <c r="V23" s="82">
        <f>V6/V$10*100</f>
        <v>31.835261365595287</v>
      </c>
      <c r="W23" s="117">
        <f t="shared" si="20"/>
        <v>29.791562821073619</v>
      </c>
      <c r="X23" s="117">
        <f t="shared" ref="X23:Z26" si="21">X6/X$10*100</f>
        <v>29.220025355968733</v>
      </c>
      <c r="Y23" s="117">
        <f t="shared" ref="Y23" si="22">Y6/Y$10*100</f>
        <v>27.63543374965597</v>
      </c>
      <c r="Z23" s="117">
        <f t="shared" si="21"/>
        <v>28.335787621621041</v>
      </c>
      <c r="AA23" s="117">
        <f t="shared" ref="AA23" si="23">AA6/AA$10*100</f>
        <v>37.039281702605855</v>
      </c>
    </row>
    <row r="24" spans="2:27">
      <c r="B24" s="75" t="s">
        <v>83</v>
      </c>
      <c r="C24" s="82">
        <f t="shared" si="19"/>
        <v>7.8899326311794287</v>
      </c>
      <c r="D24" s="82">
        <f t="shared" si="19"/>
        <v>8.6468485091575342</v>
      </c>
      <c r="E24" s="82">
        <f t="shared" si="19"/>
        <v>8.4437300242308826</v>
      </c>
      <c r="F24" s="82">
        <f t="shared" si="19"/>
        <v>9.9370995929232979</v>
      </c>
      <c r="G24" s="82">
        <f t="shared" si="19"/>
        <v>10.702866299884032</v>
      </c>
      <c r="H24" s="82">
        <f t="shared" si="19"/>
        <v>11.303905952673812</v>
      </c>
      <c r="I24" s="82">
        <f t="shared" si="19"/>
        <v>13.077001808194877</v>
      </c>
      <c r="J24" s="82">
        <f t="shared" si="19"/>
        <v>12.723875238591919</v>
      </c>
      <c r="K24" s="82">
        <f t="shared" si="19"/>
        <v>12.783152981490067</v>
      </c>
      <c r="L24" s="82">
        <f t="shared" si="15"/>
        <v>12.638997434355606</v>
      </c>
      <c r="M24" s="82">
        <f t="shared" si="15"/>
        <v>13.070129745792977</v>
      </c>
      <c r="N24" s="82">
        <f t="shared" si="15"/>
        <v>13.181807203031623</v>
      </c>
      <c r="O24" s="82">
        <f t="shared" si="15"/>
        <v>13.768281601871129</v>
      </c>
      <c r="P24" s="82">
        <f t="shared" si="15"/>
        <v>13.265954509711857</v>
      </c>
      <c r="Q24" s="82">
        <f t="shared" si="15"/>
        <v>13.540900602290348</v>
      </c>
      <c r="R24" s="82">
        <f t="shared" si="15"/>
        <v>14.373806364882173</v>
      </c>
      <c r="S24" s="82">
        <f t="shared" si="15"/>
        <v>15.302353090030632</v>
      </c>
      <c r="T24" s="82">
        <f>T7/T$10*100</f>
        <v>16.950718673389879</v>
      </c>
      <c r="U24" s="82">
        <f t="shared" si="20"/>
        <v>16.257917171757924</v>
      </c>
      <c r="V24" s="82">
        <f>V7/V$10*100</f>
        <v>17.080400693711265</v>
      </c>
      <c r="W24" s="117">
        <f t="shared" si="20"/>
        <v>16.909517003550249</v>
      </c>
      <c r="X24" s="117">
        <f t="shared" si="21"/>
        <v>15.106734611931321</v>
      </c>
      <c r="Y24" s="117">
        <f t="shared" ref="Y24" si="24">Y7/Y$10*100</f>
        <v>16.619791512659134</v>
      </c>
      <c r="Z24" s="117">
        <f t="shared" si="21"/>
        <v>12.815654014227093</v>
      </c>
      <c r="AA24" s="117">
        <f t="shared" ref="AA24" si="25">AA7/AA$10*100</f>
        <v>9.7039539811570528</v>
      </c>
    </row>
    <row r="25" spans="2:27">
      <c r="B25" s="75" t="s">
        <v>84</v>
      </c>
      <c r="C25" s="82">
        <f t="shared" si="19"/>
        <v>11.783443807354994</v>
      </c>
      <c r="D25" s="82">
        <f t="shared" si="19"/>
        <v>12.521586755408768</v>
      </c>
      <c r="E25" s="82">
        <f t="shared" si="19"/>
        <v>12.523973459142528</v>
      </c>
      <c r="F25" s="82">
        <f t="shared" si="19"/>
        <v>13.891603957757201</v>
      </c>
      <c r="G25" s="82">
        <f t="shared" si="19"/>
        <v>13.723717881889399</v>
      </c>
      <c r="H25" s="82">
        <f t="shared" si="19"/>
        <v>14.824328754381083</v>
      </c>
      <c r="I25" s="82">
        <f t="shared" si="19"/>
        <v>16.574094322558921</v>
      </c>
      <c r="J25" s="82">
        <f t="shared" si="19"/>
        <v>19.061074298817374</v>
      </c>
      <c r="K25" s="82">
        <f t="shared" si="19"/>
        <v>20.37261942323839</v>
      </c>
      <c r="L25" s="82">
        <f t="shared" si="15"/>
        <v>21.404178197849568</v>
      </c>
      <c r="M25" s="82">
        <f t="shared" si="15"/>
        <v>22.873467145951576</v>
      </c>
      <c r="N25" s="82">
        <f t="shared" si="15"/>
        <v>23.808128485548043</v>
      </c>
      <c r="O25" s="82">
        <f t="shared" si="15"/>
        <v>24.78415619190152</v>
      </c>
      <c r="P25" s="82">
        <f t="shared" si="15"/>
        <v>25.527514982665206</v>
      </c>
      <c r="Q25" s="82">
        <f t="shared" si="15"/>
        <v>29.320664012161572</v>
      </c>
      <c r="R25" s="82">
        <f t="shared" si="15"/>
        <v>30.114001055823486</v>
      </c>
      <c r="S25" s="82">
        <f t="shared" si="15"/>
        <v>29.330677267390708</v>
      </c>
      <c r="T25" s="82">
        <f>T8/T$10*100</f>
        <v>30.359875957493994</v>
      </c>
      <c r="U25" s="82">
        <f t="shared" si="20"/>
        <v>31.614769877060329</v>
      </c>
      <c r="V25" s="82">
        <f>V8/V$10*100</f>
        <v>32.402720614352852</v>
      </c>
      <c r="W25" s="117">
        <f t="shared" si="20"/>
        <v>34.439437250134787</v>
      </c>
      <c r="X25" s="117">
        <f t="shared" si="21"/>
        <v>31.740227123763436</v>
      </c>
      <c r="Y25" s="117">
        <f t="shared" ref="Y25" si="26">Y8/Y$10*100</f>
        <v>31.47656166480531</v>
      </c>
      <c r="Z25" s="117">
        <f t="shared" si="21"/>
        <v>32.562362355410926</v>
      </c>
      <c r="AA25" s="117">
        <f t="shared" ref="AA25" si="27">AA8/AA$10*100</f>
        <v>29.253821874039847</v>
      </c>
    </row>
    <row r="26" spans="2:27">
      <c r="B26" s="75" t="s">
        <v>85</v>
      </c>
      <c r="C26" s="82">
        <f t="shared" si="19"/>
        <v>18.082170983964325</v>
      </c>
      <c r="D26" s="82">
        <f t="shared" si="19"/>
        <v>18.341845672311027</v>
      </c>
      <c r="E26" s="82">
        <f t="shared" si="19"/>
        <v>17.450446397095337</v>
      </c>
      <c r="F26" s="82">
        <f t="shared" si="19"/>
        <v>18.080732244892392</v>
      </c>
      <c r="G26" s="82">
        <f t="shared" si="19"/>
        <v>18.465596125674821</v>
      </c>
      <c r="H26" s="82">
        <f t="shared" si="19"/>
        <v>18.416130027243323</v>
      </c>
      <c r="I26" s="82">
        <f t="shared" si="19"/>
        <v>18.378374145889389</v>
      </c>
      <c r="J26" s="82">
        <f t="shared" si="19"/>
        <v>18.851072711596075</v>
      </c>
      <c r="K26" s="82">
        <f t="shared" si="19"/>
        <v>18.338600817532349</v>
      </c>
      <c r="L26" s="82">
        <f t="shared" si="15"/>
        <v>17.77040636419175</v>
      </c>
      <c r="M26" s="82">
        <f t="shared" si="15"/>
        <v>17.544813286110291</v>
      </c>
      <c r="N26" s="82">
        <f t="shared" si="15"/>
        <v>17.515613856892788</v>
      </c>
      <c r="O26" s="82">
        <f t="shared" si="15"/>
        <v>16.519336269423047</v>
      </c>
      <c r="P26" s="82">
        <f t="shared" si="15"/>
        <v>14.607102924187446</v>
      </c>
      <c r="Q26" s="82">
        <f t="shared" si="15"/>
        <v>14.590354214966169</v>
      </c>
      <c r="R26" s="82">
        <f t="shared" si="15"/>
        <v>14.637095527781433</v>
      </c>
      <c r="S26" s="82">
        <f t="shared" si="15"/>
        <v>13.669402179190293</v>
      </c>
      <c r="T26" s="82">
        <f>T9/T$10*100</f>
        <v>12.667822748639423</v>
      </c>
      <c r="U26" s="82">
        <f t="shared" si="20"/>
        <v>12.686730939338311</v>
      </c>
      <c r="V26" s="82">
        <f>V9/V$10*100</f>
        <v>12.492998779809247</v>
      </c>
      <c r="W26" s="117">
        <f t="shared" si="20"/>
        <v>12.494468632696867</v>
      </c>
      <c r="X26" s="117">
        <f t="shared" si="21"/>
        <v>17.283533613317456</v>
      </c>
      <c r="Y26" s="117">
        <f t="shared" ref="Y26" si="28">Y9/Y$10*100</f>
        <v>17.177061843359269</v>
      </c>
      <c r="Z26" s="117">
        <f t="shared" si="21"/>
        <v>17.332018813870079</v>
      </c>
      <c r="AA26" s="117">
        <f t="shared" ref="AA26" si="29">AA9/AA$10*100</f>
        <v>15.1785940308331</v>
      </c>
    </row>
    <row r="27" spans="2:27">
      <c r="B27" s="75" t="s">
        <v>74</v>
      </c>
      <c r="C27" s="82">
        <f>SUM(C22:C26)</f>
        <v>100</v>
      </c>
      <c r="D27" s="82">
        <f t="shared" ref="D27:P27" si="30">SUM(D22:D26)</f>
        <v>99.999999999999986</v>
      </c>
      <c r="E27" s="82">
        <f t="shared" si="30"/>
        <v>100</v>
      </c>
      <c r="F27" s="82">
        <f t="shared" si="30"/>
        <v>100</v>
      </c>
      <c r="G27" s="82">
        <f t="shared" si="30"/>
        <v>100</v>
      </c>
      <c r="H27" s="82">
        <f t="shared" si="30"/>
        <v>100</v>
      </c>
      <c r="I27" s="82">
        <f t="shared" si="30"/>
        <v>100</v>
      </c>
      <c r="J27" s="82">
        <f t="shared" si="30"/>
        <v>100</v>
      </c>
      <c r="K27" s="82">
        <f t="shared" si="30"/>
        <v>100</v>
      </c>
      <c r="L27" s="82">
        <f t="shared" si="30"/>
        <v>100</v>
      </c>
      <c r="M27" s="82">
        <f t="shared" si="30"/>
        <v>100</v>
      </c>
      <c r="N27" s="82">
        <f t="shared" si="30"/>
        <v>100</v>
      </c>
      <c r="O27" s="82">
        <f t="shared" si="30"/>
        <v>100</v>
      </c>
      <c r="P27" s="82">
        <f t="shared" si="30"/>
        <v>100</v>
      </c>
      <c r="Q27" s="82">
        <f t="shared" ref="Q27:W27" si="31">SUM(Q22:Q26)</f>
        <v>100</v>
      </c>
      <c r="R27" s="82">
        <f t="shared" si="31"/>
        <v>100</v>
      </c>
      <c r="S27" s="82">
        <f t="shared" si="31"/>
        <v>100</v>
      </c>
      <c r="T27" s="82">
        <f t="shared" si="31"/>
        <v>100</v>
      </c>
      <c r="U27" s="82">
        <f t="shared" si="31"/>
        <v>100</v>
      </c>
      <c r="V27" s="82">
        <f>SUM(V22:V26)</f>
        <v>99.999999999999986</v>
      </c>
      <c r="W27" s="117">
        <f t="shared" si="31"/>
        <v>100</v>
      </c>
      <c r="X27" s="117">
        <f>SUM(X22:X26)</f>
        <v>100.00011488884792</v>
      </c>
      <c r="Y27" s="117">
        <f>SUM(Y22:Y26)</f>
        <v>100.00005686431945</v>
      </c>
      <c r="Z27" s="117">
        <f>SUM(Z22:Z26)</f>
        <v>100.00000000000001</v>
      </c>
      <c r="AA27" s="117">
        <f>SUM(AA22:AA26)</f>
        <v>100.00004963633936</v>
      </c>
    </row>
    <row r="29" spans="2:27">
      <c r="B29" s="640" t="s">
        <v>79</v>
      </c>
      <c r="C29" s="640"/>
      <c r="D29" s="640"/>
      <c r="E29" s="640"/>
    </row>
    <row r="30" spans="2:27">
      <c r="B30" s="71"/>
      <c r="C30" s="72" t="s">
        <v>48</v>
      </c>
      <c r="D30" s="72" t="s">
        <v>62</v>
      </c>
      <c r="E30" s="72" t="s">
        <v>49</v>
      </c>
      <c r="F30" s="72" t="s">
        <v>63</v>
      </c>
      <c r="G30" s="72" t="s">
        <v>50</v>
      </c>
      <c r="H30" s="72" t="s">
        <v>64</v>
      </c>
      <c r="I30" s="72" t="s">
        <v>51</v>
      </c>
      <c r="J30" s="72" t="s">
        <v>65</v>
      </c>
      <c r="K30" s="72" t="s">
        <v>52</v>
      </c>
      <c r="L30" s="72" t="s">
        <v>53</v>
      </c>
      <c r="M30" s="72" t="s">
        <v>54</v>
      </c>
      <c r="N30" s="81" t="s">
        <v>89</v>
      </c>
      <c r="O30" s="81" t="s">
        <v>104</v>
      </c>
      <c r="P30" s="81" t="s">
        <v>107</v>
      </c>
      <c r="Q30" s="81" t="s">
        <v>113</v>
      </c>
      <c r="R30" s="81" t="s">
        <v>144</v>
      </c>
      <c r="S30" s="73" t="s">
        <v>151</v>
      </c>
      <c r="T30" s="81" t="s">
        <v>167</v>
      </c>
      <c r="U30" s="106" t="s">
        <v>173</v>
      </c>
      <c r="V30" s="112" t="s">
        <v>179</v>
      </c>
      <c r="W30" s="114" t="s">
        <v>205</v>
      </c>
      <c r="X30" s="123" t="s">
        <v>210</v>
      </c>
      <c r="Y30" s="125" t="s">
        <v>228</v>
      </c>
      <c r="Z30" s="125" t="s">
        <v>286</v>
      </c>
      <c r="AA30" s="125" t="s">
        <v>360</v>
      </c>
    </row>
    <row r="31" spans="2:27">
      <c r="B31" s="75" t="s">
        <v>82</v>
      </c>
      <c r="C31" s="83">
        <f>ROUND(C22,1)</f>
        <v>26.6</v>
      </c>
      <c r="D31" s="83">
        <f t="shared" ref="D31:T35" si="32">ROUND(D22,1)</f>
        <v>25.5</v>
      </c>
      <c r="E31" s="83">
        <f t="shared" si="32"/>
        <v>28.2</v>
      </c>
      <c r="F31" s="83">
        <f t="shared" si="32"/>
        <v>21.4</v>
      </c>
      <c r="G31" s="83">
        <f t="shared" si="32"/>
        <v>21</v>
      </c>
      <c r="H31" s="83">
        <f t="shared" si="32"/>
        <v>19.2</v>
      </c>
      <c r="I31" s="83">
        <f t="shared" si="32"/>
        <v>16.100000000000001</v>
      </c>
      <c r="J31" s="83">
        <f t="shared" si="32"/>
        <v>12.8</v>
      </c>
      <c r="K31" s="83">
        <f t="shared" si="32"/>
        <v>10.9</v>
      </c>
      <c r="L31" s="83">
        <f t="shared" si="32"/>
        <v>10</v>
      </c>
      <c r="M31" s="83">
        <f t="shared" si="32"/>
        <v>9.5</v>
      </c>
      <c r="N31" s="83">
        <f t="shared" si="32"/>
        <v>10.3</v>
      </c>
      <c r="O31" s="83">
        <f t="shared" si="32"/>
        <v>8</v>
      </c>
      <c r="P31" s="83">
        <f t="shared" si="32"/>
        <v>7.5</v>
      </c>
      <c r="Q31" s="83">
        <f t="shared" si="32"/>
        <v>5.8</v>
      </c>
      <c r="R31" s="83">
        <f t="shared" si="32"/>
        <v>5.5</v>
      </c>
      <c r="S31" s="83">
        <f t="shared" si="32"/>
        <v>4.5</v>
      </c>
      <c r="T31" s="83">
        <f t="shared" si="32"/>
        <v>5.0999999999999996</v>
      </c>
      <c r="U31" s="83">
        <f t="shared" ref="U31:W35" si="33">ROUND(U22,1)</f>
        <v>6.2</v>
      </c>
      <c r="V31" s="83">
        <f>ROUND(V22,1)</f>
        <v>6.2</v>
      </c>
      <c r="W31" s="103">
        <f t="shared" si="33"/>
        <v>6.4</v>
      </c>
      <c r="X31" s="103">
        <f t="shared" ref="X31:Z35" si="34">ROUND(X22,1)</f>
        <v>6.6</v>
      </c>
      <c r="Y31" s="103">
        <f t="shared" ref="Y31" si="35">ROUND(Y22,1)</f>
        <v>7.1</v>
      </c>
      <c r="Z31" s="103">
        <f t="shared" si="34"/>
        <v>9</v>
      </c>
      <c r="AA31" s="103">
        <f t="shared" ref="AA31" si="36">ROUND(AA22,1)</f>
        <v>8.8000000000000007</v>
      </c>
    </row>
    <row r="32" spans="2:27">
      <c r="B32" s="75" t="s">
        <v>73</v>
      </c>
      <c r="C32" s="83">
        <f>ROUND(C23,1)-0.1</f>
        <v>35.6</v>
      </c>
      <c r="D32" s="83">
        <f t="shared" si="32"/>
        <v>35</v>
      </c>
      <c r="E32" s="83">
        <f t="shared" si="32"/>
        <v>33.4</v>
      </c>
      <c r="F32" s="83">
        <f t="shared" si="32"/>
        <v>36.700000000000003</v>
      </c>
      <c r="G32" s="83">
        <f t="shared" si="32"/>
        <v>36.1</v>
      </c>
      <c r="H32" s="83">
        <f>ROUND(H23,1)+0.1</f>
        <v>36.300000000000004</v>
      </c>
      <c r="I32" s="83">
        <f>ROUND(I23,1)-0.1</f>
        <v>35.799999999999997</v>
      </c>
      <c r="J32" s="83">
        <f t="shared" si="32"/>
        <v>36.6</v>
      </c>
      <c r="K32" s="83">
        <f t="shared" si="32"/>
        <v>37.6</v>
      </c>
      <c r="L32" s="83">
        <f t="shared" si="32"/>
        <v>38.200000000000003</v>
      </c>
      <c r="M32" s="83">
        <f t="shared" si="32"/>
        <v>37</v>
      </c>
      <c r="N32" s="83">
        <f t="shared" si="32"/>
        <v>35.200000000000003</v>
      </c>
      <c r="O32" s="83">
        <f t="shared" si="32"/>
        <v>36.9</v>
      </c>
      <c r="P32" s="83">
        <f t="shared" si="32"/>
        <v>39.1</v>
      </c>
      <c r="Q32" s="84">
        <f>ROUND(Q23,1)+0.1</f>
        <v>36.800000000000004</v>
      </c>
      <c r="R32" s="85">
        <f>ROUND(R23,1)</f>
        <v>35.4</v>
      </c>
      <c r="S32" s="85">
        <f>ROUND(S23,1)</f>
        <v>37.200000000000003</v>
      </c>
      <c r="T32" s="85">
        <f>ROUND(T23,1)</f>
        <v>34.9</v>
      </c>
      <c r="U32" s="85">
        <f t="shared" si="33"/>
        <v>33.200000000000003</v>
      </c>
      <c r="V32" s="85">
        <f>ROUND(V23,1)</f>
        <v>31.8</v>
      </c>
      <c r="W32" s="118">
        <f t="shared" si="33"/>
        <v>29.8</v>
      </c>
      <c r="X32" s="118">
        <f t="shared" si="34"/>
        <v>29.2</v>
      </c>
      <c r="Y32" s="118">
        <f t="shared" ref="Y32" si="37">ROUND(Y23,1)</f>
        <v>27.6</v>
      </c>
      <c r="Z32" s="118">
        <f t="shared" si="34"/>
        <v>28.3</v>
      </c>
      <c r="AA32" s="118">
        <f t="shared" ref="AA32" si="38">ROUND(AA23,1)</f>
        <v>37</v>
      </c>
    </row>
    <row r="33" spans="2:27">
      <c r="B33" s="75" t="s">
        <v>83</v>
      </c>
      <c r="C33" s="83">
        <f t="shared" ref="C33:K35" si="39">ROUND(C24,1)</f>
        <v>7.9</v>
      </c>
      <c r="D33" s="83">
        <f>ROUND(D24,1)+0.1</f>
        <v>8.6999999999999993</v>
      </c>
      <c r="E33" s="83">
        <f t="shared" si="39"/>
        <v>8.4</v>
      </c>
      <c r="F33" s="83">
        <f t="shared" si="39"/>
        <v>9.9</v>
      </c>
      <c r="G33" s="83">
        <f t="shared" si="39"/>
        <v>10.7</v>
      </c>
      <c r="H33" s="83">
        <f t="shared" si="39"/>
        <v>11.3</v>
      </c>
      <c r="I33" s="83">
        <f t="shared" si="39"/>
        <v>13.1</v>
      </c>
      <c r="J33" s="83">
        <f t="shared" si="39"/>
        <v>12.7</v>
      </c>
      <c r="K33" s="83">
        <f t="shared" si="39"/>
        <v>12.8</v>
      </c>
      <c r="L33" s="83">
        <f t="shared" si="32"/>
        <v>12.6</v>
      </c>
      <c r="M33" s="83">
        <f t="shared" si="32"/>
        <v>13.1</v>
      </c>
      <c r="N33" s="83">
        <f t="shared" si="32"/>
        <v>13.2</v>
      </c>
      <c r="O33" s="83">
        <f t="shared" si="32"/>
        <v>13.8</v>
      </c>
      <c r="P33" s="83">
        <f t="shared" si="32"/>
        <v>13.3</v>
      </c>
      <c r="Q33" s="83">
        <f t="shared" si="32"/>
        <v>13.5</v>
      </c>
      <c r="R33" s="83">
        <f t="shared" si="32"/>
        <v>14.4</v>
      </c>
      <c r="S33" s="83">
        <f t="shared" si="32"/>
        <v>15.3</v>
      </c>
      <c r="T33" s="84">
        <f>ROUND(T24,1)-0.1</f>
        <v>16.899999999999999</v>
      </c>
      <c r="U33" s="107">
        <f t="shared" si="33"/>
        <v>16.3</v>
      </c>
      <c r="V33" s="107">
        <f>ROUND(V24,1)</f>
        <v>17.100000000000001</v>
      </c>
      <c r="W33" s="119">
        <f t="shared" si="33"/>
        <v>16.899999999999999</v>
      </c>
      <c r="X33" s="119">
        <f t="shared" si="34"/>
        <v>15.1</v>
      </c>
      <c r="Y33" s="119">
        <f t="shared" ref="Y33" si="40">ROUND(Y24,1)</f>
        <v>16.600000000000001</v>
      </c>
      <c r="Z33" s="119">
        <f t="shared" si="34"/>
        <v>12.8</v>
      </c>
      <c r="AA33" s="119">
        <f t="shared" ref="AA33" si="41">ROUND(AA24,1)</f>
        <v>9.6999999999999993</v>
      </c>
    </row>
    <row r="34" spans="2:27">
      <c r="B34" s="75" t="s">
        <v>84</v>
      </c>
      <c r="C34" s="83">
        <f t="shared" si="39"/>
        <v>11.8</v>
      </c>
      <c r="D34" s="83">
        <f t="shared" si="39"/>
        <v>12.5</v>
      </c>
      <c r="E34" s="83">
        <f t="shared" si="39"/>
        <v>12.5</v>
      </c>
      <c r="F34" s="83">
        <f t="shared" si="39"/>
        <v>13.9</v>
      </c>
      <c r="G34" s="83">
        <f t="shared" si="39"/>
        <v>13.7</v>
      </c>
      <c r="H34" s="83">
        <f t="shared" si="39"/>
        <v>14.8</v>
      </c>
      <c r="I34" s="83">
        <f t="shared" si="39"/>
        <v>16.600000000000001</v>
      </c>
      <c r="J34" s="83">
        <f t="shared" si="39"/>
        <v>19.100000000000001</v>
      </c>
      <c r="K34" s="83">
        <f t="shared" si="39"/>
        <v>20.399999999999999</v>
      </c>
      <c r="L34" s="83">
        <f t="shared" si="32"/>
        <v>21.4</v>
      </c>
      <c r="M34" s="83">
        <f t="shared" si="32"/>
        <v>22.9</v>
      </c>
      <c r="N34" s="83">
        <f t="shared" si="32"/>
        <v>23.8</v>
      </c>
      <c r="O34" s="83">
        <f t="shared" si="32"/>
        <v>24.8</v>
      </c>
      <c r="P34" s="83">
        <f t="shared" si="32"/>
        <v>25.5</v>
      </c>
      <c r="Q34" s="83">
        <f t="shared" si="32"/>
        <v>29.3</v>
      </c>
      <c r="R34" s="83">
        <f t="shared" si="32"/>
        <v>30.1</v>
      </c>
      <c r="S34" s="83">
        <f t="shared" si="32"/>
        <v>29.3</v>
      </c>
      <c r="T34" s="83">
        <f t="shared" si="32"/>
        <v>30.4</v>
      </c>
      <c r="U34" s="83">
        <f t="shared" si="33"/>
        <v>31.6</v>
      </c>
      <c r="V34" s="83">
        <f>ROUND(V25,1)</f>
        <v>32.4</v>
      </c>
      <c r="W34" s="103">
        <f t="shared" si="33"/>
        <v>34.4</v>
      </c>
      <c r="X34" s="103">
        <f t="shared" si="34"/>
        <v>31.7</v>
      </c>
      <c r="Y34" s="103">
        <f t="shared" ref="Y34" si="42">ROUND(Y25,1)</f>
        <v>31.5</v>
      </c>
      <c r="Z34" s="103">
        <f t="shared" si="34"/>
        <v>32.6</v>
      </c>
      <c r="AA34" s="103">
        <f t="shared" ref="AA34" si="43">ROUND(AA25,1)</f>
        <v>29.3</v>
      </c>
    </row>
    <row r="35" spans="2:27">
      <c r="B35" s="75" t="s">
        <v>85</v>
      </c>
      <c r="C35" s="83">
        <f t="shared" si="39"/>
        <v>18.100000000000001</v>
      </c>
      <c r="D35" s="83">
        <f t="shared" si="39"/>
        <v>18.3</v>
      </c>
      <c r="E35" s="83">
        <f t="shared" si="39"/>
        <v>17.5</v>
      </c>
      <c r="F35" s="83">
        <f t="shared" si="39"/>
        <v>18.100000000000001</v>
      </c>
      <c r="G35" s="83">
        <f t="shared" si="39"/>
        <v>18.5</v>
      </c>
      <c r="H35" s="83">
        <f t="shared" si="39"/>
        <v>18.399999999999999</v>
      </c>
      <c r="I35" s="83">
        <f t="shared" si="39"/>
        <v>18.399999999999999</v>
      </c>
      <c r="J35" s="83">
        <f>ROUND(J26,1)-0.1</f>
        <v>18.799999999999997</v>
      </c>
      <c r="K35" s="83">
        <f t="shared" si="39"/>
        <v>18.3</v>
      </c>
      <c r="L35" s="83">
        <f t="shared" si="32"/>
        <v>17.8</v>
      </c>
      <c r="M35" s="83">
        <f t="shared" si="32"/>
        <v>17.5</v>
      </c>
      <c r="N35" s="83">
        <f t="shared" si="32"/>
        <v>17.5</v>
      </c>
      <c r="O35" s="83">
        <f t="shared" si="32"/>
        <v>16.5</v>
      </c>
      <c r="P35" s="83">
        <f t="shared" si="32"/>
        <v>14.6</v>
      </c>
      <c r="Q35" s="83">
        <f t="shared" si="32"/>
        <v>14.6</v>
      </c>
      <c r="R35" s="83">
        <f t="shared" si="32"/>
        <v>14.6</v>
      </c>
      <c r="S35" s="83">
        <f t="shared" si="32"/>
        <v>13.7</v>
      </c>
      <c r="T35" s="83">
        <f t="shared" si="32"/>
        <v>12.7</v>
      </c>
      <c r="U35" s="83">
        <f t="shared" si="33"/>
        <v>12.7</v>
      </c>
      <c r="V35" s="83">
        <f>ROUND(V26,1)</f>
        <v>12.5</v>
      </c>
      <c r="W35" s="103">
        <f t="shared" si="33"/>
        <v>12.5</v>
      </c>
      <c r="X35" s="103">
        <f t="shared" si="34"/>
        <v>17.3</v>
      </c>
      <c r="Y35" s="103">
        <f t="shared" ref="Y35" si="44">ROUND(Y26,1)</f>
        <v>17.2</v>
      </c>
      <c r="Z35" s="103">
        <f t="shared" si="34"/>
        <v>17.3</v>
      </c>
      <c r="AA35" s="103">
        <f t="shared" ref="AA35" si="45">ROUND(AA26,1)</f>
        <v>15.2</v>
      </c>
    </row>
    <row r="36" spans="2:27">
      <c r="B36" s="75" t="s">
        <v>74</v>
      </c>
      <c r="C36" s="83">
        <f t="shared" ref="C36:P36" si="46">SUM(C31:C35)</f>
        <v>100</v>
      </c>
      <c r="D36" s="83">
        <f t="shared" si="46"/>
        <v>100</v>
      </c>
      <c r="E36" s="83">
        <f t="shared" si="46"/>
        <v>100</v>
      </c>
      <c r="F36" s="83">
        <f t="shared" si="46"/>
        <v>100</v>
      </c>
      <c r="G36" s="83">
        <f t="shared" si="46"/>
        <v>100</v>
      </c>
      <c r="H36" s="83">
        <f t="shared" si="46"/>
        <v>100</v>
      </c>
      <c r="I36" s="83">
        <f t="shared" si="46"/>
        <v>100</v>
      </c>
      <c r="J36" s="83">
        <f t="shared" si="46"/>
        <v>100.00000000000001</v>
      </c>
      <c r="K36" s="83">
        <f t="shared" si="46"/>
        <v>99.999999999999986</v>
      </c>
      <c r="L36" s="83">
        <f t="shared" si="46"/>
        <v>100</v>
      </c>
      <c r="M36" s="83">
        <f t="shared" si="46"/>
        <v>100</v>
      </c>
      <c r="N36" s="83">
        <f t="shared" si="46"/>
        <v>100</v>
      </c>
      <c r="O36" s="83">
        <f t="shared" si="46"/>
        <v>100</v>
      </c>
      <c r="P36" s="83">
        <f t="shared" si="46"/>
        <v>100</v>
      </c>
      <c r="Q36" s="83">
        <f t="shared" ref="Q36:W36" si="47">SUM(Q31:Q35)</f>
        <v>100</v>
      </c>
      <c r="R36" s="83">
        <f t="shared" si="47"/>
        <v>100</v>
      </c>
      <c r="S36" s="83">
        <f t="shared" si="47"/>
        <v>100</v>
      </c>
      <c r="T36" s="83">
        <f t="shared" si="47"/>
        <v>100</v>
      </c>
      <c r="U36" s="83">
        <f t="shared" si="47"/>
        <v>100.00000000000001</v>
      </c>
      <c r="V36" s="83">
        <f>SUM(V31:V35)</f>
        <v>100</v>
      </c>
      <c r="W36" s="103">
        <f t="shared" si="47"/>
        <v>100</v>
      </c>
      <c r="X36" s="103">
        <f>SUM(X31:X35)</f>
        <v>99.899999999999991</v>
      </c>
      <c r="Y36" s="103">
        <f>SUM(Y31:Y35)</f>
        <v>100.00000000000001</v>
      </c>
      <c r="Z36" s="103">
        <f>SUM(Z31:Z35)</f>
        <v>99.999999999999986</v>
      </c>
      <c r="AA36" s="103">
        <f>SUM(AA31:AA35)</f>
        <v>100</v>
      </c>
    </row>
    <row r="38" spans="2:27">
      <c r="B38" s="70" t="s">
        <v>61</v>
      </c>
    </row>
    <row r="39" spans="2:27" s="74" customFormat="1">
      <c r="B39" s="71"/>
      <c r="C39" s="210" t="s">
        <v>329</v>
      </c>
      <c r="D39" s="210" t="s">
        <v>330</v>
      </c>
      <c r="E39" s="72" t="s">
        <v>50</v>
      </c>
      <c r="F39" s="72" t="s">
        <v>51</v>
      </c>
      <c r="G39" s="210" t="s">
        <v>331</v>
      </c>
      <c r="H39" s="72" t="s">
        <v>54</v>
      </c>
      <c r="I39" s="73" t="s">
        <v>104</v>
      </c>
      <c r="J39" s="210" t="s">
        <v>407</v>
      </c>
      <c r="K39" s="125" t="s">
        <v>333</v>
      </c>
      <c r="L39" s="125" t="s">
        <v>334</v>
      </c>
      <c r="M39" s="125" t="s">
        <v>335</v>
      </c>
      <c r="N39" s="125" t="s">
        <v>361</v>
      </c>
    </row>
    <row r="40" spans="2:27" s="74" customFormat="1">
      <c r="B40" s="75" t="s">
        <v>82</v>
      </c>
      <c r="C40" s="76">
        <v>490419</v>
      </c>
      <c r="D40" s="76">
        <v>555592</v>
      </c>
      <c r="E40" s="76">
        <v>390207</v>
      </c>
      <c r="F40" s="76">
        <v>287916</v>
      </c>
      <c r="G40" s="76">
        <v>219703</v>
      </c>
      <c r="H40" s="76">
        <f>M5</f>
        <v>150545</v>
      </c>
      <c r="I40" s="77">
        <f>O5</f>
        <v>124207</v>
      </c>
      <c r="J40" s="77">
        <f>W5</f>
        <v>100112</v>
      </c>
      <c r="K40" s="77">
        <f>X5</f>
        <v>115757</v>
      </c>
      <c r="L40" s="77">
        <f t="shared" ref="L40:N45" si="48">Y5</f>
        <v>124704</v>
      </c>
      <c r="M40" s="77">
        <f t="shared" si="48"/>
        <v>157306</v>
      </c>
      <c r="N40" s="77">
        <f>AA5</f>
        <v>177781</v>
      </c>
    </row>
    <row r="41" spans="2:27" s="74" customFormat="1">
      <c r="B41" s="75" t="s">
        <v>73</v>
      </c>
      <c r="C41" s="76">
        <f>C45-C44-C43-C40-C42</f>
        <v>657571</v>
      </c>
      <c r="D41" s="76">
        <f>D45-D44-D43-D40-D42</f>
        <v>658464</v>
      </c>
      <c r="E41" s="76">
        <f>E45-E44-E43-E40-E42</f>
        <v>672493</v>
      </c>
      <c r="F41" s="76">
        <f>F45-F44-F43-F40-F42</f>
        <v>641302</v>
      </c>
      <c r="G41" s="76">
        <f>G45-G44-G43-G40-G42</f>
        <v>629351</v>
      </c>
      <c r="H41" s="76">
        <f>M6</f>
        <v>587893</v>
      </c>
      <c r="I41" s="77">
        <f>O6</f>
        <v>573465</v>
      </c>
      <c r="J41" s="77">
        <f t="shared" ref="J41:J45" si="49">W6</f>
        <v>468576</v>
      </c>
      <c r="K41" s="77">
        <f t="shared" ref="K41:K45" si="50">X6</f>
        <v>508666</v>
      </c>
      <c r="L41" s="77">
        <f t="shared" si="48"/>
        <v>485989</v>
      </c>
      <c r="M41" s="77">
        <f t="shared" si="48"/>
        <v>497800</v>
      </c>
      <c r="N41" s="77">
        <f t="shared" si="48"/>
        <v>746213</v>
      </c>
    </row>
    <row r="42" spans="2:27" s="74" customFormat="1">
      <c r="B42" s="75" t="s">
        <v>83</v>
      </c>
      <c r="C42" s="76">
        <v>145516</v>
      </c>
      <c r="D42" s="76">
        <v>166464</v>
      </c>
      <c r="E42" s="76">
        <v>199166</v>
      </c>
      <c r="F42" s="76">
        <v>233813</v>
      </c>
      <c r="G42" s="76">
        <v>218849</v>
      </c>
      <c r="H42" s="76">
        <f>M7</f>
        <v>207507</v>
      </c>
      <c r="I42" s="77">
        <f>O7</f>
        <v>213802</v>
      </c>
      <c r="J42" s="77">
        <f t="shared" si="49"/>
        <v>265961</v>
      </c>
      <c r="K42" s="77">
        <f t="shared" si="50"/>
        <v>262980</v>
      </c>
      <c r="L42" s="77">
        <f t="shared" si="48"/>
        <v>292271</v>
      </c>
      <c r="M42" s="77">
        <f t="shared" si="48"/>
        <v>225144</v>
      </c>
      <c r="N42" s="77">
        <f t="shared" si="48"/>
        <v>195501</v>
      </c>
    </row>
    <row r="43" spans="2:27" s="74" customFormat="1">
      <c r="B43" s="75" t="s">
        <v>84</v>
      </c>
      <c r="C43" s="76">
        <v>217325</v>
      </c>
      <c r="D43" s="76">
        <v>246904</v>
      </c>
      <c r="E43" s="76">
        <v>255380</v>
      </c>
      <c r="F43" s="76">
        <v>296340</v>
      </c>
      <c r="G43" s="76">
        <v>327848</v>
      </c>
      <c r="H43" s="76">
        <f>M8</f>
        <v>363149</v>
      </c>
      <c r="I43" s="77">
        <f>O8</f>
        <v>384863</v>
      </c>
      <c r="J43" s="77">
        <f t="shared" si="49"/>
        <v>541680</v>
      </c>
      <c r="K43" s="77">
        <f t="shared" si="50"/>
        <v>552538</v>
      </c>
      <c r="L43" s="77">
        <f t="shared" si="48"/>
        <v>553538</v>
      </c>
      <c r="M43" s="77">
        <f t="shared" si="48"/>
        <v>572052</v>
      </c>
      <c r="N43" s="77">
        <f t="shared" si="48"/>
        <v>589363</v>
      </c>
    </row>
    <row r="44" spans="2:27" s="74" customFormat="1">
      <c r="B44" s="75" t="s">
        <v>85</v>
      </c>
      <c r="C44" s="76">
        <v>333494</v>
      </c>
      <c r="D44" s="76">
        <v>344027</v>
      </c>
      <c r="E44" s="76">
        <v>343620</v>
      </c>
      <c r="F44" s="76">
        <v>328600</v>
      </c>
      <c r="G44" s="76">
        <v>324236</v>
      </c>
      <c r="H44" s="76">
        <f>M9</f>
        <v>278549</v>
      </c>
      <c r="I44" s="77">
        <f>O9</f>
        <v>256522</v>
      </c>
      <c r="J44" s="77">
        <f t="shared" si="49"/>
        <v>196519</v>
      </c>
      <c r="K44" s="77">
        <f t="shared" si="50"/>
        <v>300874</v>
      </c>
      <c r="L44" s="77">
        <f t="shared" si="48"/>
        <v>302071</v>
      </c>
      <c r="M44" s="77">
        <f t="shared" si="48"/>
        <v>304487</v>
      </c>
      <c r="N44" s="77">
        <f t="shared" si="48"/>
        <v>305796</v>
      </c>
    </row>
    <row r="45" spans="2:27" s="74" customFormat="1">
      <c r="B45" s="75" t="s">
        <v>74</v>
      </c>
      <c r="C45" s="76">
        <v>1844325</v>
      </c>
      <c r="D45" s="76">
        <v>1971451</v>
      </c>
      <c r="E45" s="76">
        <v>1860866</v>
      </c>
      <c r="F45" s="76">
        <v>1787971</v>
      </c>
      <c r="G45" s="76">
        <v>1719987</v>
      </c>
      <c r="H45" s="76">
        <f>SUM(H40:H44)</f>
        <v>1587643</v>
      </c>
      <c r="I45" s="76">
        <f>SUM(I40:I44)</f>
        <v>1552859</v>
      </c>
      <c r="J45" s="77">
        <f t="shared" si="49"/>
        <v>1572848</v>
      </c>
      <c r="K45" s="77">
        <f t="shared" si="50"/>
        <v>1740813</v>
      </c>
      <c r="L45" s="77">
        <f t="shared" si="48"/>
        <v>1758572</v>
      </c>
      <c r="M45" s="77">
        <f t="shared" si="48"/>
        <v>1756789</v>
      </c>
      <c r="N45" s="77">
        <f t="shared" si="48"/>
        <v>2014653</v>
      </c>
    </row>
    <row r="46" spans="2:27" s="74" customFormat="1">
      <c r="B46" s="79"/>
      <c r="C46" s="80">
        <f t="shared" ref="C46:F46" si="51">SUM(C40:C44)-C45</f>
        <v>0</v>
      </c>
      <c r="D46" s="80">
        <f t="shared" si="51"/>
        <v>0</v>
      </c>
      <c r="E46" s="80">
        <f t="shared" si="51"/>
        <v>0</v>
      </c>
      <c r="F46" s="80">
        <f t="shared" si="51"/>
        <v>0</v>
      </c>
      <c r="G46" s="80">
        <f t="shared" ref="G46:N46" si="52">SUM(G40:G44)-G45</f>
        <v>0</v>
      </c>
      <c r="H46" s="80">
        <f t="shared" si="52"/>
        <v>0</v>
      </c>
      <c r="I46" s="80">
        <f t="shared" si="52"/>
        <v>0</v>
      </c>
      <c r="J46" s="80">
        <f t="shared" si="52"/>
        <v>0</v>
      </c>
      <c r="K46" s="80">
        <f t="shared" si="52"/>
        <v>2</v>
      </c>
      <c r="L46" s="80">
        <f t="shared" si="52"/>
        <v>1</v>
      </c>
      <c r="M46" s="80">
        <f t="shared" si="52"/>
        <v>0</v>
      </c>
      <c r="N46" s="80">
        <f t="shared" si="52"/>
        <v>1</v>
      </c>
    </row>
    <row r="47" spans="2:27">
      <c r="B47" s="120" t="s">
        <v>115</v>
      </c>
    </row>
    <row r="48" spans="2:27" s="74" customFormat="1">
      <c r="B48" s="71"/>
      <c r="C48" s="210" t="s">
        <v>409</v>
      </c>
      <c r="D48" s="210" t="s">
        <v>330</v>
      </c>
      <c r="E48" s="72" t="s">
        <v>50</v>
      </c>
      <c r="F48" s="72" t="s">
        <v>51</v>
      </c>
      <c r="G48" s="210" t="s">
        <v>331</v>
      </c>
      <c r="H48" s="72" t="s">
        <v>54</v>
      </c>
      <c r="I48" s="73" t="s">
        <v>104</v>
      </c>
      <c r="J48" s="210" t="s">
        <v>407</v>
      </c>
      <c r="K48" s="125" t="s">
        <v>333</v>
      </c>
      <c r="L48" s="125" t="s">
        <v>334</v>
      </c>
      <c r="M48" s="125" t="s">
        <v>335</v>
      </c>
      <c r="N48" s="125" t="s">
        <v>361</v>
      </c>
    </row>
    <row r="49" spans="2:14" s="74" customFormat="1">
      <c r="B49" s="75" t="s">
        <v>82</v>
      </c>
      <c r="C49" s="180">
        <f t="shared" ref="C49:F49" si="53">ROUND(C40/100,0)</f>
        <v>4904</v>
      </c>
      <c r="D49" s="180">
        <f t="shared" si="53"/>
        <v>5556</v>
      </c>
      <c r="E49" s="180">
        <f t="shared" si="53"/>
        <v>3902</v>
      </c>
      <c r="F49" s="180">
        <f t="shared" si="53"/>
        <v>2879</v>
      </c>
      <c r="G49" s="180">
        <f>ROUND(G40/100,0)</f>
        <v>2197</v>
      </c>
      <c r="H49" s="180">
        <f>ROUND(H40/100,0)</f>
        <v>1505</v>
      </c>
      <c r="I49" s="180">
        <f>ROUND(I40/100,0)</f>
        <v>1242</v>
      </c>
      <c r="J49" s="180">
        <f>ROUND(J40/100,0)</f>
        <v>1001</v>
      </c>
      <c r="K49" s="180">
        <f t="shared" ref="K49:N50" si="54">ROUND(K40/100,0)</f>
        <v>1158</v>
      </c>
      <c r="L49" s="181">
        <f t="shared" ref="L49:M54" si="55">ROUND(L40/100,0)</f>
        <v>1247</v>
      </c>
      <c r="M49" s="181">
        <f t="shared" si="55"/>
        <v>1573</v>
      </c>
      <c r="N49" s="181">
        <f>ROUND(N40/100,0)</f>
        <v>1778</v>
      </c>
    </row>
    <row r="50" spans="2:14" s="74" customFormat="1">
      <c r="B50" s="75" t="s">
        <v>73</v>
      </c>
      <c r="C50" s="180">
        <f t="shared" ref="C50:F54" si="56">ROUND(C41/100,0)</f>
        <v>6576</v>
      </c>
      <c r="D50" s="180">
        <f t="shared" si="56"/>
        <v>6585</v>
      </c>
      <c r="E50" s="180">
        <f t="shared" si="56"/>
        <v>6725</v>
      </c>
      <c r="F50" s="180">
        <f t="shared" si="56"/>
        <v>6413</v>
      </c>
      <c r="G50" s="180">
        <f>ROUND(G41/100,0)+1</f>
        <v>6295</v>
      </c>
      <c r="H50" s="180">
        <f t="shared" ref="H50:J51" si="57">ROUND(H41/100,0)</f>
        <v>5879</v>
      </c>
      <c r="I50" s="180">
        <f t="shared" si="57"/>
        <v>5735</v>
      </c>
      <c r="J50" s="180">
        <f t="shared" si="57"/>
        <v>4686</v>
      </c>
      <c r="K50" s="180">
        <f t="shared" si="54"/>
        <v>5087</v>
      </c>
      <c r="L50" s="181">
        <f t="shared" si="55"/>
        <v>4860</v>
      </c>
      <c r="M50" s="181">
        <f t="shared" si="55"/>
        <v>4978</v>
      </c>
      <c r="N50" s="181">
        <f t="shared" si="54"/>
        <v>7462</v>
      </c>
    </row>
    <row r="51" spans="2:14" s="74" customFormat="1">
      <c r="B51" s="75" t="s">
        <v>83</v>
      </c>
      <c r="C51" s="180">
        <f t="shared" si="56"/>
        <v>1455</v>
      </c>
      <c r="D51" s="180">
        <f t="shared" si="56"/>
        <v>1665</v>
      </c>
      <c r="E51" s="180">
        <f t="shared" si="56"/>
        <v>1992</v>
      </c>
      <c r="F51" s="180">
        <f t="shared" si="56"/>
        <v>2338</v>
      </c>
      <c r="G51" s="180">
        <f>ROUND(G42/100,0)</f>
        <v>2188</v>
      </c>
      <c r="H51" s="180">
        <f t="shared" si="57"/>
        <v>2075</v>
      </c>
      <c r="I51" s="180">
        <f t="shared" si="57"/>
        <v>2138</v>
      </c>
      <c r="J51" s="180">
        <f t="shared" si="57"/>
        <v>2660</v>
      </c>
      <c r="K51" s="180">
        <f t="shared" ref="K51:N54" si="58">ROUND(K42/100,0)</f>
        <v>2630</v>
      </c>
      <c r="L51" s="181">
        <f t="shared" si="55"/>
        <v>2923</v>
      </c>
      <c r="M51" s="181">
        <f t="shared" si="55"/>
        <v>2251</v>
      </c>
      <c r="N51" s="181">
        <f t="shared" si="58"/>
        <v>1955</v>
      </c>
    </row>
    <row r="52" spans="2:14" s="74" customFormat="1">
      <c r="B52" s="75" t="s">
        <v>84</v>
      </c>
      <c r="C52" s="180">
        <f t="shared" si="56"/>
        <v>2173</v>
      </c>
      <c r="D52" s="180">
        <f t="shared" si="56"/>
        <v>2469</v>
      </c>
      <c r="E52" s="180">
        <f t="shared" si="56"/>
        <v>2554</v>
      </c>
      <c r="F52" s="180">
        <f>ROUND(F43/100,0)+1</f>
        <v>2964</v>
      </c>
      <c r="G52" s="180">
        <f>ROUND(G43/100,0)</f>
        <v>3278</v>
      </c>
      <c r="H52" s="180">
        <f>ROUND(H43/100,0)</f>
        <v>3631</v>
      </c>
      <c r="I52" s="180">
        <f>ROUND(I43/100,0)</f>
        <v>3849</v>
      </c>
      <c r="J52" s="180">
        <f>ROUND(J43/100,0)+1</f>
        <v>5418</v>
      </c>
      <c r="K52" s="180">
        <f t="shared" si="58"/>
        <v>5525</v>
      </c>
      <c r="L52" s="181">
        <f t="shared" si="55"/>
        <v>5535</v>
      </c>
      <c r="M52" s="181">
        <f t="shared" si="55"/>
        <v>5721</v>
      </c>
      <c r="N52" s="181">
        <f t="shared" si="58"/>
        <v>5894</v>
      </c>
    </row>
    <row r="53" spans="2:14" s="74" customFormat="1">
      <c r="B53" s="75" t="s">
        <v>85</v>
      </c>
      <c r="C53" s="180">
        <f t="shared" si="56"/>
        <v>3335</v>
      </c>
      <c r="D53" s="180">
        <f t="shared" si="56"/>
        <v>3440</v>
      </c>
      <c r="E53" s="180">
        <f t="shared" si="56"/>
        <v>3436</v>
      </c>
      <c r="F53" s="180">
        <f t="shared" si="56"/>
        <v>3286</v>
      </c>
      <c r="G53" s="180">
        <f>ROUND(G44/100,0)</f>
        <v>3242</v>
      </c>
      <c r="H53" s="180">
        <f>ROUND(H44/100,0)+1</f>
        <v>2786</v>
      </c>
      <c r="I53" s="180">
        <f>ROUND(I44/100,0)</f>
        <v>2565</v>
      </c>
      <c r="J53" s="180">
        <f>ROUND(J44/100,0)</f>
        <v>1965</v>
      </c>
      <c r="K53" s="180">
        <f t="shared" si="58"/>
        <v>3009</v>
      </c>
      <c r="L53" s="181">
        <f t="shared" si="55"/>
        <v>3021</v>
      </c>
      <c r="M53" s="181">
        <f t="shared" si="55"/>
        <v>3045</v>
      </c>
      <c r="N53" s="181">
        <f t="shared" si="58"/>
        <v>3058</v>
      </c>
    </row>
    <row r="54" spans="2:14" s="74" customFormat="1">
      <c r="B54" s="75" t="s">
        <v>74</v>
      </c>
      <c r="C54" s="180">
        <f t="shared" si="56"/>
        <v>18443</v>
      </c>
      <c r="D54" s="180">
        <f t="shared" si="56"/>
        <v>19715</v>
      </c>
      <c r="E54" s="180">
        <f t="shared" si="56"/>
        <v>18609</v>
      </c>
      <c r="F54" s="180">
        <f t="shared" si="56"/>
        <v>17880</v>
      </c>
      <c r="G54" s="180">
        <f>ROUND(G45/100,0)</f>
        <v>17200</v>
      </c>
      <c r="H54" s="180">
        <f>ROUND(H45/100,0)</f>
        <v>15876</v>
      </c>
      <c r="I54" s="180">
        <f>ROUND(I45/100,0)</f>
        <v>15529</v>
      </c>
      <c r="J54" s="180">
        <f>ROUND(J45/100,0)</f>
        <v>15728</v>
      </c>
      <c r="K54" s="180">
        <f t="shared" si="58"/>
        <v>17408</v>
      </c>
      <c r="L54" s="181">
        <f t="shared" si="55"/>
        <v>17586</v>
      </c>
      <c r="M54" s="181">
        <f t="shared" si="55"/>
        <v>17568</v>
      </c>
      <c r="N54" s="181">
        <f t="shared" si="58"/>
        <v>20147</v>
      </c>
    </row>
    <row r="55" spans="2:14">
      <c r="L55" s="120"/>
      <c r="M55" s="120"/>
      <c r="N55" s="120"/>
    </row>
    <row r="56" spans="2:14">
      <c r="B56" s="86" t="s">
        <v>86</v>
      </c>
      <c r="C56" s="86"/>
      <c r="D56" s="86"/>
      <c r="E56" s="87"/>
      <c r="F56" s="87"/>
      <c r="G56" s="87"/>
      <c r="L56" s="120"/>
      <c r="M56" s="120"/>
      <c r="N56" s="120"/>
    </row>
    <row r="57" spans="2:14">
      <c r="B57" s="88"/>
      <c r="C57" s="115" t="s">
        <v>48</v>
      </c>
      <c r="D57" s="115" t="s">
        <v>49</v>
      </c>
      <c r="E57" s="115" t="s">
        <v>50</v>
      </c>
      <c r="F57" s="115" t="s">
        <v>51</v>
      </c>
      <c r="G57" s="115" t="s">
        <v>65</v>
      </c>
      <c r="H57" s="115" t="s">
        <v>54</v>
      </c>
      <c r="I57" s="115" t="s">
        <v>104</v>
      </c>
      <c r="J57" s="210" t="s">
        <v>407</v>
      </c>
      <c r="K57" s="125" t="s">
        <v>333</v>
      </c>
      <c r="L57" s="125" t="s">
        <v>334</v>
      </c>
      <c r="M57" s="125" t="s">
        <v>335</v>
      </c>
      <c r="N57" s="125" t="s">
        <v>361</v>
      </c>
    </row>
    <row r="58" spans="2:14">
      <c r="B58" s="89" t="s">
        <v>83</v>
      </c>
      <c r="C58" s="90">
        <v>145516</v>
      </c>
      <c r="D58" s="90">
        <v>166464</v>
      </c>
      <c r="E58" s="90">
        <v>199166</v>
      </c>
      <c r="F58" s="90">
        <v>233813</v>
      </c>
      <c r="G58" s="90">
        <v>218849</v>
      </c>
      <c r="H58" s="90">
        <f>M15</f>
        <v>207507</v>
      </c>
      <c r="I58" s="90">
        <f>O15</f>
        <v>213802</v>
      </c>
      <c r="J58" s="90">
        <f>W15</f>
        <v>265961</v>
      </c>
      <c r="K58" s="90">
        <f>X15</f>
        <v>262980</v>
      </c>
      <c r="L58" s="121">
        <f>Y15</f>
        <v>292271</v>
      </c>
      <c r="M58" s="121">
        <f>Z15</f>
        <v>225144</v>
      </c>
      <c r="N58" s="121">
        <f>AA15</f>
        <v>195501</v>
      </c>
    </row>
    <row r="59" spans="2:14">
      <c r="B59" s="89" t="s">
        <v>84</v>
      </c>
      <c r="C59" s="90">
        <v>217325</v>
      </c>
      <c r="D59" s="90">
        <v>246904</v>
      </c>
      <c r="E59" s="90">
        <v>255380</v>
      </c>
      <c r="F59" s="90">
        <v>296340</v>
      </c>
      <c r="G59" s="90">
        <v>327848</v>
      </c>
      <c r="H59" s="90">
        <f>M16</f>
        <v>363149</v>
      </c>
      <c r="I59" s="90">
        <f>O16</f>
        <v>384863</v>
      </c>
      <c r="J59" s="90">
        <f t="shared" ref="J59:N59" si="59">W16</f>
        <v>541680</v>
      </c>
      <c r="K59" s="90">
        <f t="shared" si="59"/>
        <v>552538</v>
      </c>
      <c r="L59" s="121">
        <f t="shared" si="59"/>
        <v>553538</v>
      </c>
      <c r="M59" s="121">
        <f t="shared" si="59"/>
        <v>572052</v>
      </c>
      <c r="N59" s="121">
        <f t="shared" si="59"/>
        <v>589363</v>
      </c>
    </row>
    <row r="60" spans="2:14">
      <c r="B60" s="89" t="s">
        <v>85</v>
      </c>
      <c r="C60" s="90">
        <v>333494</v>
      </c>
      <c r="D60" s="90">
        <v>344027</v>
      </c>
      <c r="E60" s="90">
        <v>343620</v>
      </c>
      <c r="F60" s="90">
        <v>328600</v>
      </c>
      <c r="G60" s="90">
        <v>324236</v>
      </c>
      <c r="H60" s="90">
        <f>M17</f>
        <v>278549</v>
      </c>
      <c r="I60" s="90">
        <f>O17</f>
        <v>256522</v>
      </c>
      <c r="J60" s="90">
        <f>W17</f>
        <v>196519</v>
      </c>
      <c r="K60" s="90">
        <f t="shared" ref="K60:N60" si="60">X17</f>
        <v>300874</v>
      </c>
      <c r="L60" s="121">
        <f t="shared" si="60"/>
        <v>302071</v>
      </c>
      <c r="M60" s="121">
        <f t="shared" si="60"/>
        <v>304487</v>
      </c>
      <c r="N60" s="121">
        <f t="shared" si="60"/>
        <v>305796</v>
      </c>
    </row>
    <row r="61" spans="2:14">
      <c r="B61" s="89" t="s">
        <v>87</v>
      </c>
      <c r="C61" s="90">
        <f t="shared" ref="C61:J61" si="61">SUM(C58:C60)</f>
        <v>696335</v>
      </c>
      <c r="D61" s="90">
        <f t="shared" si="61"/>
        <v>757395</v>
      </c>
      <c r="E61" s="90">
        <f t="shared" si="61"/>
        <v>798166</v>
      </c>
      <c r="F61" s="90">
        <f t="shared" si="61"/>
        <v>858753</v>
      </c>
      <c r="G61" s="90">
        <f t="shared" si="61"/>
        <v>870933</v>
      </c>
      <c r="H61" s="90">
        <f t="shared" si="61"/>
        <v>849205</v>
      </c>
      <c r="I61" s="90">
        <f t="shared" si="61"/>
        <v>855187</v>
      </c>
      <c r="J61" s="90">
        <f t="shared" si="61"/>
        <v>1004160</v>
      </c>
      <c r="K61" s="90">
        <f>SUM(K58:K60)</f>
        <v>1116392</v>
      </c>
      <c r="L61" s="121">
        <f>SUM(L58:L60)</f>
        <v>1147880</v>
      </c>
      <c r="M61" s="121">
        <f>SUM(M58:M60)</f>
        <v>1101683</v>
      </c>
      <c r="N61" s="121">
        <f>SUM(N58:N60)</f>
        <v>1090660</v>
      </c>
    </row>
    <row r="62" spans="2:14">
      <c r="B62" s="79"/>
      <c r="C62" s="80"/>
      <c r="D62" s="80"/>
      <c r="E62" s="80"/>
      <c r="F62" s="80"/>
      <c r="G62" s="80"/>
    </row>
    <row r="63" spans="2:14">
      <c r="B63" s="79"/>
      <c r="C63" s="80"/>
      <c r="D63" s="80"/>
      <c r="E63" s="80"/>
      <c r="F63" s="80"/>
      <c r="G63" s="80"/>
    </row>
    <row r="64" spans="2:14">
      <c r="B64" s="91" t="s">
        <v>86</v>
      </c>
      <c r="C64" s="92"/>
      <c r="D64" s="92"/>
      <c r="E64" s="93"/>
      <c r="F64" s="93"/>
      <c r="G64" s="93"/>
      <c r="H64" s="94"/>
      <c r="I64" s="94"/>
      <c r="J64" s="94"/>
      <c r="K64" s="94"/>
      <c r="L64" s="94"/>
      <c r="M64" s="94"/>
      <c r="N64" s="94"/>
    </row>
    <row r="65" spans="2:15">
      <c r="B65" s="95"/>
      <c r="C65" s="210" t="s">
        <v>409</v>
      </c>
      <c r="D65" s="210" t="s">
        <v>330</v>
      </c>
      <c r="E65" s="115" t="s">
        <v>50</v>
      </c>
      <c r="F65" s="115" t="s">
        <v>51</v>
      </c>
      <c r="G65" s="210" t="s">
        <v>331</v>
      </c>
      <c r="H65" s="115" t="s">
        <v>54</v>
      </c>
      <c r="I65" s="115" t="s">
        <v>104</v>
      </c>
      <c r="J65" s="210" t="s">
        <v>407</v>
      </c>
      <c r="K65" s="125" t="s">
        <v>333</v>
      </c>
      <c r="L65" s="125" t="s">
        <v>334</v>
      </c>
      <c r="M65" s="125" t="s">
        <v>335</v>
      </c>
      <c r="N65" s="125" t="s">
        <v>361</v>
      </c>
      <c r="O65" s="222"/>
    </row>
    <row r="66" spans="2:15" ht="14.25">
      <c r="B66" s="96" t="s">
        <v>83</v>
      </c>
      <c r="C66" s="97">
        <f>C51</f>
        <v>1455</v>
      </c>
      <c r="D66" s="97">
        <f t="shared" ref="D66:J68" si="62">D51</f>
        <v>1665</v>
      </c>
      <c r="E66" s="97">
        <f t="shared" si="62"/>
        <v>1992</v>
      </c>
      <c r="F66" s="97">
        <f t="shared" si="62"/>
        <v>2338</v>
      </c>
      <c r="G66" s="97">
        <f>G51+1</f>
        <v>2189</v>
      </c>
      <c r="H66" s="97">
        <f t="shared" si="62"/>
        <v>2075</v>
      </c>
      <c r="I66" s="97">
        <f t="shared" si="62"/>
        <v>2138</v>
      </c>
      <c r="J66" s="97">
        <f>J51</f>
        <v>2660</v>
      </c>
      <c r="K66" s="97">
        <f>K51</f>
        <v>2630</v>
      </c>
      <c r="L66" s="122">
        <f>L51</f>
        <v>2923</v>
      </c>
      <c r="M66" s="122">
        <f t="shared" ref="M66" si="63">M51</f>
        <v>2251</v>
      </c>
      <c r="N66" s="122">
        <f t="shared" ref="K66:N68" si="64">N51</f>
        <v>1955</v>
      </c>
      <c r="O66" s="222"/>
    </row>
    <row r="67" spans="2:15" ht="14.25">
      <c r="B67" s="96" t="s">
        <v>84</v>
      </c>
      <c r="C67" s="97">
        <f>C52</f>
        <v>2173</v>
      </c>
      <c r="D67" s="97">
        <f t="shared" si="62"/>
        <v>2469</v>
      </c>
      <c r="E67" s="97">
        <f t="shared" si="62"/>
        <v>2554</v>
      </c>
      <c r="F67" s="97">
        <f t="shared" si="62"/>
        <v>2964</v>
      </c>
      <c r="G67" s="97">
        <f t="shared" si="62"/>
        <v>3278</v>
      </c>
      <c r="H67" s="97">
        <f t="shared" si="62"/>
        <v>3631</v>
      </c>
      <c r="I67" s="97">
        <f t="shared" si="62"/>
        <v>3849</v>
      </c>
      <c r="J67" s="97">
        <f>J52-1</f>
        <v>5417</v>
      </c>
      <c r="K67" s="97">
        <f t="shared" si="64"/>
        <v>5525</v>
      </c>
      <c r="L67" s="122">
        <f>L52</f>
        <v>5535</v>
      </c>
      <c r="M67" s="122">
        <f t="shared" ref="M67" si="65">M52</f>
        <v>5721</v>
      </c>
      <c r="N67" s="122">
        <f t="shared" si="64"/>
        <v>5894</v>
      </c>
      <c r="O67" s="222"/>
    </row>
    <row r="68" spans="2:15" ht="14.25">
      <c r="B68" s="96" t="s">
        <v>85</v>
      </c>
      <c r="C68" s="97">
        <f>C53</f>
        <v>3335</v>
      </c>
      <c r="D68" s="97">
        <f t="shared" si="62"/>
        <v>3440</v>
      </c>
      <c r="E68" s="97">
        <f t="shared" si="62"/>
        <v>3436</v>
      </c>
      <c r="F68" s="97">
        <f t="shared" si="62"/>
        <v>3286</v>
      </c>
      <c r="G68" s="97">
        <f t="shared" si="62"/>
        <v>3242</v>
      </c>
      <c r="H68" s="97">
        <f t="shared" si="62"/>
        <v>2786</v>
      </c>
      <c r="I68" s="97">
        <f t="shared" si="62"/>
        <v>2565</v>
      </c>
      <c r="J68" s="97">
        <f t="shared" si="62"/>
        <v>1965</v>
      </c>
      <c r="K68" s="97">
        <f t="shared" si="64"/>
        <v>3009</v>
      </c>
      <c r="L68" s="122">
        <f>L53</f>
        <v>3021</v>
      </c>
      <c r="M68" s="122">
        <f t="shared" ref="M68" si="66">M53</f>
        <v>3045</v>
      </c>
      <c r="N68" s="122">
        <f>N53</f>
        <v>3058</v>
      </c>
      <c r="O68" s="222"/>
    </row>
    <row r="69" spans="2:15" ht="14.25">
      <c r="B69" s="96" t="s">
        <v>87</v>
      </c>
      <c r="C69" s="97">
        <f>SUM(C66:C68)</f>
        <v>6963</v>
      </c>
      <c r="D69" s="97">
        <f t="shared" ref="D69:J69" si="67">SUM(D66:D68)</f>
        <v>7574</v>
      </c>
      <c r="E69" s="97">
        <f t="shared" si="67"/>
        <v>7982</v>
      </c>
      <c r="F69" s="97">
        <f t="shared" si="67"/>
        <v>8588</v>
      </c>
      <c r="G69" s="97">
        <f t="shared" si="67"/>
        <v>8709</v>
      </c>
      <c r="H69" s="97">
        <f t="shared" si="67"/>
        <v>8492</v>
      </c>
      <c r="I69" s="97">
        <f t="shared" si="67"/>
        <v>8552</v>
      </c>
      <c r="J69" s="97">
        <f t="shared" si="67"/>
        <v>10042</v>
      </c>
      <c r="K69" s="97">
        <f>SUM(K66:K68)</f>
        <v>11164</v>
      </c>
      <c r="L69" s="122">
        <f>SUM(L66:L68)</f>
        <v>11479</v>
      </c>
      <c r="M69" s="122">
        <f>SUM(M66:M68)</f>
        <v>11017</v>
      </c>
      <c r="N69" s="122">
        <f>SUM(N66:N68)</f>
        <v>10907</v>
      </c>
      <c r="O69" s="222"/>
    </row>
    <row r="70" spans="2:15" ht="14.25">
      <c r="B70" s="98" t="s">
        <v>116</v>
      </c>
      <c r="C70" s="99">
        <f>ROUND(C61/100,0)</f>
        <v>6963</v>
      </c>
      <c r="D70" s="99">
        <f t="shared" ref="D70:J70" si="68">ROUND(D61/100,0)</f>
        <v>7574</v>
      </c>
      <c r="E70" s="99">
        <f t="shared" si="68"/>
        <v>7982</v>
      </c>
      <c r="F70" s="99">
        <f t="shared" si="68"/>
        <v>8588</v>
      </c>
      <c r="G70" s="99">
        <f t="shared" si="68"/>
        <v>8709</v>
      </c>
      <c r="H70" s="99">
        <f t="shared" si="68"/>
        <v>8492</v>
      </c>
      <c r="I70" s="99">
        <f t="shared" si="68"/>
        <v>8552</v>
      </c>
      <c r="J70" s="99">
        <f t="shared" si="68"/>
        <v>10042</v>
      </c>
      <c r="K70" s="99">
        <f>ROUND(K61/100,0)</f>
        <v>11164</v>
      </c>
      <c r="L70" s="99">
        <f>ROUND(L61/100,0)</f>
        <v>11479</v>
      </c>
      <c r="M70" s="99">
        <f>ROUND(M61/100,0)</f>
        <v>11017</v>
      </c>
      <c r="N70" s="99">
        <f>ROUND(N61/100,0)</f>
        <v>10907</v>
      </c>
    </row>
    <row r="71" spans="2:15" ht="14.25">
      <c r="B71" s="100"/>
      <c r="C71" s="101">
        <f>C69-C70</f>
        <v>0</v>
      </c>
      <c r="D71" s="101">
        <f t="shared" ref="D71:J71" si="69">D69-D70</f>
        <v>0</v>
      </c>
      <c r="E71" s="101">
        <f t="shared" si="69"/>
        <v>0</v>
      </c>
      <c r="F71" s="101">
        <f t="shared" si="69"/>
        <v>0</v>
      </c>
      <c r="G71" s="101">
        <f t="shared" si="69"/>
        <v>0</v>
      </c>
      <c r="H71" s="101">
        <f t="shared" si="69"/>
        <v>0</v>
      </c>
      <c r="I71" s="101">
        <f t="shared" si="69"/>
        <v>0</v>
      </c>
      <c r="J71" s="101">
        <f t="shared" si="69"/>
        <v>0</v>
      </c>
      <c r="K71" s="101">
        <f>K69-K70</f>
        <v>0</v>
      </c>
      <c r="L71" s="101">
        <f>L69-L70</f>
        <v>0</v>
      </c>
      <c r="M71" s="101">
        <f>M69-M70</f>
        <v>0</v>
      </c>
      <c r="N71" s="101">
        <f>N69-N70</f>
        <v>0</v>
      </c>
    </row>
    <row r="72" spans="2:15">
      <c r="B72" s="79"/>
      <c r="C72" s="80"/>
      <c r="D72" s="80"/>
      <c r="E72" s="80"/>
      <c r="F72" s="80"/>
      <c r="G72" s="80"/>
    </row>
    <row r="73" spans="2:15">
      <c r="B73" s="102" t="s">
        <v>78</v>
      </c>
      <c r="C73" s="102"/>
      <c r="D73" s="102"/>
    </row>
    <row r="74" spans="2:15">
      <c r="B74" s="71"/>
      <c r="C74" s="115" t="s">
        <v>48</v>
      </c>
      <c r="D74" s="115" t="s">
        <v>49</v>
      </c>
      <c r="E74" s="115" t="s">
        <v>50</v>
      </c>
      <c r="F74" s="115" t="s">
        <v>51</v>
      </c>
      <c r="G74" s="115" t="s">
        <v>65</v>
      </c>
      <c r="H74" s="115" t="s">
        <v>54</v>
      </c>
      <c r="I74" s="115" t="s">
        <v>104</v>
      </c>
      <c r="J74" s="210" t="s">
        <v>407</v>
      </c>
      <c r="K74" s="125" t="s">
        <v>333</v>
      </c>
      <c r="L74" s="125" t="s">
        <v>334</v>
      </c>
      <c r="M74" s="125" t="s">
        <v>335</v>
      </c>
      <c r="N74" s="125" t="s">
        <v>361</v>
      </c>
    </row>
    <row r="75" spans="2:15">
      <c r="B75" s="75" t="s">
        <v>82</v>
      </c>
      <c r="C75" s="82">
        <f>C40/C$10*100</f>
        <v>26.590703916066854</v>
      </c>
      <c r="D75" s="82">
        <f>D40/E$10*100</f>
        <v>28.181882278585675</v>
      </c>
      <c r="E75" s="82">
        <f>E40/G$10*100</f>
        <v>20.969107931468468</v>
      </c>
      <c r="F75" s="82">
        <f>F40/I$10*100</f>
        <v>16.102945741289986</v>
      </c>
      <c r="G75" s="82">
        <f>G40/K$10*100</f>
        <v>12.908891031527936</v>
      </c>
      <c r="H75" s="82">
        <f>H40/M$10*100</f>
        <v>9.482295453071</v>
      </c>
      <c r="I75" s="82">
        <f>I40/O$10*100</f>
        <v>7.9986012896212726</v>
      </c>
      <c r="J75" s="82">
        <f>J40/O$10*100</f>
        <v>6.4469472115626729</v>
      </c>
      <c r="K75" s="82">
        <f t="shared" ref="K75:N79" si="70">K40/W$10*100</f>
        <v>7.3597067230908513</v>
      </c>
      <c r="L75" s="117">
        <f t="shared" si="70"/>
        <v>7.1635494450006982</v>
      </c>
      <c r="M75" s="117">
        <f t="shared" si="70"/>
        <v>8.9450986368485328</v>
      </c>
      <c r="N75" s="117">
        <f t="shared" si="70"/>
        <v>10.119655803855784</v>
      </c>
    </row>
    <row r="76" spans="2:15">
      <c r="B76" s="75" t="s">
        <v>73</v>
      </c>
      <c r="C76" s="82">
        <f>C41/C$10*100</f>
        <v>35.653748661434399</v>
      </c>
      <c r="D76" s="82">
        <f>D41/E$10*100</f>
        <v>33.399967840945578</v>
      </c>
      <c r="E76" s="82">
        <f>E41/G$10*100</f>
        <v>36.138711761083279</v>
      </c>
      <c r="F76" s="82">
        <f>F41/I$10*100</f>
        <v>35.867583982066826</v>
      </c>
      <c r="G76" s="82">
        <f>G41/K$10*100</f>
        <v>36.978209125879651</v>
      </c>
      <c r="H76" s="82">
        <f>H41/M$10*100</f>
        <v>37.029294369074158</v>
      </c>
      <c r="I76" s="82">
        <f>I41/O$10*100</f>
        <v>36.929624647183033</v>
      </c>
      <c r="J76" s="82">
        <f>J41/O$10*100</f>
        <v>30.175051308586294</v>
      </c>
      <c r="K76" s="82">
        <f t="shared" si="70"/>
        <v>32.34044230593166</v>
      </c>
      <c r="L76" s="117">
        <f t="shared" si="70"/>
        <v>27.917358153920034</v>
      </c>
      <c r="M76" s="117">
        <f t="shared" si="70"/>
        <v>28.307058226788556</v>
      </c>
      <c r="N76" s="117">
        <f t="shared" si="70"/>
        <v>42.475960402757529</v>
      </c>
    </row>
    <row r="77" spans="2:15">
      <c r="B77" s="75" t="s">
        <v>83</v>
      </c>
      <c r="C77" s="82">
        <f>C42/C$10*100</f>
        <v>7.8899326311794287</v>
      </c>
      <c r="D77" s="82">
        <f>D42/E$10*100</f>
        <v>8.4437300242308826</v>
      </c>
      <c r="E77" s="82">
        <f>E42/G$10*100</f>
        <v>10.702866299884032</v>
      </c>
      <c r="F77" s="82">
        <f>F42/I$10*100</f>
        <v>13.077001808194877</v>
      </c>
      <c r="G77" s="82">
        <f>G42/K$10*100</f>
        <v>12.858713323709084</v>
      </c>
      <c r="H77" s="82">
        <f>H42/M$10*100</f>
        <v>13.070129745792977</v>
      </c>
      <c r="I77" s="82">
        <f>I42/O$10*100</f>
        <v>13.768281601871129</v>
      </c>
      <c r="J77" s="82">
        <f>J42/O$10*100</f>
        <v>17.127182828576192</v>
      </c>
      <c r="K77" s="82">
        <f t="shared" si="70"/>
        <v>16.719988199749753</v>
      </c>
      <c r="L77" s="117">
        <f t="shared" si="70"/>
        <v>16.78933923402456</v>
      </c>
      <c r="M77" s="117">
        <f t="shared" si="70"/>
        <v>12.802660340321578</v>
      </c>
      <c r="N77" s="117">
        <f t="shared" si="70"/>
        <v>11.128314214171423</v>
      </c>
    </row>
    <row r="78" spans="2:15">
      <c r="B78" s="75" t="s">
        <v>84</v>
      </c>
      <c r="C78" s="82">
        <f>C43/C$10*100</f>
        <v>11.783443807354994</v>
      </c>
      <c r="D78" s="82">
        <f>D43/E$10*100</f>
        <v>12.523973459142528</v>
      </c>
      <c r="E78" s="82">
        <f>E43/G$10*100</f>
        <v>13.723717881889399</v>
      </c>
      <c r="F78" s="82">
        <f>F43/I$10*100</f>
        <v>16.574094322558921</v>
      </c>
      <c r="G78" s="82">
        <f>G43/K$10*100</f>
        <v>19.263069265801423</v>
      </c>
      <c r="H78" s="82">
        <f>H43/M$10*100</f>
        <v>22.873467145951576</v>
      </c>
      <c r="I78" s="82">
        <f>I43/O$10*100</f>
        <v>24.78415619190152</v>
      </c>
      <c r="J78" s="82">
        <f>J43/O$10*100</f>
        <v>34.882754970026255</v>
      </c>
      <c r="K78" s="82">
        <f t="shared" si="70"/>
        <v>35.129777321139741</v>
      </c>
      <c r="L78" s="117">
        <f t="shared" si="70"/>
        <v>31.797671547719368</v>
      </c>
      <c r="M78" s="117">
        <f t="shared" si="70"/>
        <v>32.529347675272888</v>
      </c>
      <c r="N78" s="117">
        <f t="shared" si="70"/>
        <v>33.54773965456296</v>
      </c>
    </row>
    <row r="79" spans="2:15">
      <c r="B79" s="75" t="s">
        <v>85</v>
      </c>
      <c r="C79" s="82">
        <f>C44/C$10*100</f>
        <v>18.082170983964325</v>
      </c>
      <c r="D79" s="82">
        <f>D44/E$10*100</f>
        <v>17.450446397095337</v>
      </c>
      <c r="E79" s="82">
        <f>E44/G$10*100</f>
        <v>18.465596125674821</v>
      </c>
      <c r="F79" s="82">
        <f>F44/I$10*100</f>
        <v>18.378374145889389</v>
      </c>
      <c r="G79" s="82">
        <f>G44/K$10*100</f>
        <v>19.050842239288908</v>
      </c>
      <c r="H79" s="82">
        <f>H44/M$10*100</f>
        <v>17.544813286110291</v>
      </c>
      <c r="I79" s="82">
        <f>I44/O$10*100</f>
        <v>16.519336269423047</v>
      </c>
      <c r="J79" s="82">
        <f>J44/O$10*100</f>
        <v>12.655302252168418</v>
      </c>
      <c r="K79" s="82">
        <f t="shared" si="70"/>
        <v>19.129248344404544</v>
      </c>
      <c r="L79" s="117">
        <f t="shared" si="70"/>
        <v>17.352294588792709</v>
      </c>
      <c r="M79" s="117">
        <f t="shared" si="70"/>
        <v>17.314446039172694</v>
      </c>
      <c r="N79" s="117">
        <f t="shared" si="70"/>
        <v>17.406529754000051</v>
      </c>
    </row>
    <row r="80" spans="2:15">
      <c r="B80" s="75" t="s">
        <v>74</v>
      </c>
      <c r="C80" s="82">
        <f t="shared" ref="C80:I80" si="71">SUM(C75:C79)</f>
        <v>100</v>
      </c>
      <c r="D80" s="82">
        <f t="shared" si="71"/>
        <v>100</v>
      </c>
      <c r="E80" s="82">
        <f t="shared" si="71"/>
        <v>100</v>
      </c>
      <c r="F80" s="82">
        <f t="shared" si="71"/>
        <v>100</v>
      </c>
      <c r="G80" s="82">
        <f t="shared" si="71"/>
        <v>101.059724986207</v>
      </c>
      <c r="H80" s="82">
        <f t="shared" si="71"/>
        <v>100</v>
      </c>
      <c r="I80" s="82">
        <f t="shared" si="71"/>
        <v>100</v>
      </c>
      <c r="J80" s="82">
        <f>SUM(J75:J79)</f>
        <v>101.28723857091984</v>
      </c>
      <c r="K80" s="82">
        <f>SUM(K75:K79)</f>
        <v>110.67916289431655</v>
      </c>
      <c r="L80" s="82">
        <f>SUM(L75:L79)</f>
        <v>101.02021296945736</v>
      </c>
      <c r="M80" s="82">
        <f>SUM(M75:M79)</f>
        <v>99.898610918404259</v>
      </c>
      <c r="N80" s="82">
        <f>SUM(N75:N79)</f>
        <v>114.67819982934775</v>
      </c>
    </row>
    <row r="82" spans="2:14">
      <c r="B82" s="102" t="s">
        <v>79</v>
      </c>
      <c r="C82" s="102"/>
      <c r="D82" s="102"/>
    </row>
    <row r="83" spans="2:14">
      <c r="B83" s="71"/>
      <c r="C83" s="210" t="s">
        <v>48</v>
      </c>
      <c r="D83" s="115" t="s">
        <v>49</v>
      </c>
      <c r="E83" s="115" t="s">
        <v>50</v>
      </c>
      <c r="F83" s="115" t="s">
        <v>51</v>
      </c>
      <c r="G83" s="115" t="s">
        <v>65</v>
      </c>
      <c r="H83" s="115" t="s">
        <v>54</v>
      </c>
      <c r="I83" s="115" t="s">
        <v>104</v>
      </c>
      <c r="J83" s="210" t="s">
        <v>407</v>
      </c>
      <c r="K83" s="125" t="s">
        <v>333</v>
      </c>
      <c r="L83" s="125" t="s">
        <v>334</v>
      </c>
      <c r="M83" s="125" t="s">
        <v>335</v>
      </c>
      <c r="N83" s="125" t="s">
        <v>361</v>
      </c>
    </row>
    <row r="84" spans="2:14">
      <c r="B84" s="75" t="s">
        <v>82</v>
      </c>
      <c r="C84" s="83">
        <f t="shared" ref="C84:J88" si="72">ROUND(C75,1)</f>
        <v>26.6</v>
      </c>
      <c r="D84" s="83">
        <f t="shared" si="72"/>
        <v>28.2</v>
      </c>
      <c r="E84" s="83">
        <f t="shared" si="72"/>
        <v>21</v>
      </c>
      <c r="F84" s="83">
        <f t="shared" si="72"/>
        <v>16.100000000000001</v>
      </c>
      <c r="G84" s="83">
        <f t="shared" si="72"/>
        <v>12.9</v>
      </c>
      <c r="H84" s="83">
        <f t="shared" si="72"/>
        <v>9.5</v>
      </c>
      <c r="I84" s="83">
        <f t="shared" si="72"/>
        <v>8</v>
      </c>
      <c r="J84" s="83">
        <f>ROUND(J75,1)</f>
        <v>6.4</v>
      </c>
      <c r="K84" s="83">
        <f>ROUND(K75,1)</f>
        <v>7.4</v>
      </c>
      <c r="L84" s="103">
        <f>ROUND(L75,1)</f>
        <v>7.2</v>
      </c>
      <c r="M84" s="103">
        <f>ROUND(M75,1)</f>
        <v>8.9</v>
      </c>
      <c r="N84" s="103">
        <f>ROUND(N75,1)</f>
        <v>10.1</v>
      </c>
    </row>
    <row r="85" spans="2:14">
      <c r="B85" s="75" t="s">
        <v>73</v>
      </c>
      <c r="C85" s="83">
        <f>ROUND(C76,1)-0.1</f>
        <v>35.6</v>
      </c>
      <c r="D85" s="83">
        <f t="shared" si="72"/>
        <v>33.4</v>
      </c>
      <c r="E85" s="83">
        <f t="shared" si="72"/>
        <v>36.1</v>
      </c>
      <c r="F85" s="83">
        <f>ROUND(F76,1)-0.1</f>
        <v>35.799999999999997</v>
      </c>
      <c r="G85" s="83">
        <f t="shared" si="72"/>
        <v>37</v>
      </c>
      <c r="H85" s="83">
        <f t="shared" si="72"/>
        <v>37</v>
      </c>
      <c r="I85" s="83">
        <f t="shared" si="72"/>
        <v>36.9</v>
      </c>
      <c r="J85" s="83">
        <f t="shared" si="72"/>
        <v>30.2</v>
      </c>
      <c r="K85" s="83">
        <f t="shared" ref="K85:N88" si="73">ROUND(K76,1)</f>
        <v>32.299999999999997</v>
      </c>
      <c r="L85" s="103">
        <f>ROUND(L76,1)</f>
        <v>27.9</v>
      </c>
      <c r="M85" s="103">
        <f t="shared" ref="M85" si="74">ROUND(M76,1)</f>
        <v>28.3</v>
      </c>
      <c r="N85" s="103">
        <f t="shared" si="73"/>
        <v>42.5</v>
      </c>
    </row>
    <row r="86" spans="2:14">
      <c r="B86" s="75" t="s">
        <v>83</v>
      </c>
      <c r="C86" s="83">
        <f t="shared" si="72"/>
        <v>7.9</v>
      </c>
      <c r="D86" s="83">
        <f t="shared" si="72"/>
        <v>8.4</v>
      </c>
      <c r="E86" s="83">
        <f t="shared" si="72"/>
        <v>10.7</v>
      </c>
      <c r="F86" s="83">
        <f t="shared" si="72"/>
        <v>13.1</v>
      </c>
      <c r="G86" s="83">
        <f t="shared" si="72"/>
        <v>12.9</v>
      </c>
      <c r="H86" s="83">
        <f t="shared" si="72"/>
        <v>13.1</v>
      </c>
      <c r="I86" s="83">
        <f t="shared" si="72"/>
        <v>13.8</v>
      </c>
      <c r="J86" s="83">
        <f t="shared" si="72"/>
        <v>17.100000000000001</v>
      </c>
      <c r="K86" s="83">
        <f t="shared" si="73"/>
        <v>16.7</v>
      </c>
      <c r="L86" s="103">
        <f>ROUND(L77,1)</f>
        <v>16.8</v>
      </c>
      <c r="M86" s="103">
        <f t="shared" ref="M86" si="75">ROUND(M77,1)</f>
        <v>12.8</v>
      </c>
      <c r="N86" s="103">
        <f t="shared" si="73"/>
        <v>11.1</v>
      </c>
    </row>
    <row r="87" spans="2:14">
      <c r="B87" s="75" t="s">
        <v>84</v>
      </c>
      <c r="C87" s="83">
        <f t="shared" si="72"/>
        <v>11.8</v>
      </c>
      <c r="D87" s="83">
        <f t="shared" si="72"/>
        <v>12.5</v>
      </c>
      <c r="E87" s="83">
        <f t="shared" si="72"/>
        <v>13.7</v>
      </c>
      <c r="F87" s="83">
        <f t="shared" si="72"/>
        <v>16.600000000000001</v>
      </c>
      <c r="G87" s="83">
        <f t="shared" si="72"/>
        <v>19.3</v>
      </c>
      <c r="H87" s="83">
        <f t="shared" si="72"/>
        <v>22.9</v>
      </c>
      <c r="I87" s="83">
        <f t="shared" si="72"/>
        <v>24.8</v>
      </c>
      <c r="J87" s="83">
        <f t="shared" si="72"/>
        <v>34.9</v>
      </c>
      <c r="K87" s="83">
        <f t="shared" si="73"/>
        <v>35.1</v>
      </c>
      <c r="L87" s="103">
        <f>ROUND(L78,1)</f>
        <v>31.8</v>
      </c>
      <c r="M87" s="103">
        <f t="shared" ref="M87" si="76">ROUND(M78,1)</f>
        <v>32.5</v>
      </c>
      <c r="N87" s="103">
        <f t="shared" si="73"/>
        <v>33.5</v>
      </c>
    </row>
    <row r="88" spans="2:14">
      <c r="B88" s="75" t="s">
        <v>85</v>
      </c>
      <c r="C88" s="83">
        <f t="shared" si="72"/>
        <v>18.100000000000001</v>
      </c>
      <c r="D88" s="83">
        <f t="shared" si="72"/>
        <v>17.5</v>
      </c>
      <c r="E88" s="83">
        <f t="shared" si="72"/>
        <v>18.5</v>
      </c>
      <c r="F88" s="83">
        <f t="shared" si="72"/>
        <v>18.399999999999999</v>
      </c>
      <c r="G88" s="83">
        <f t="shared" si="72"/>
        <v>19.100000000000001</v>
      </c>
      <c r="H88" s="83">
        <f t="shared" si="72"/>
        <v>17.5</v>
      </c>
      <c r="I88" s="83">
        <f t="shared" si="72"/>
        <v>16.5</v>
      </c>
      <c r="J88" s="83">
        <f>ROUND(J79,1)</f>
        <v>12.7</v>
      </c>
      <c r="K88" s="83">
        <f t="shared" si="73"/>
        <v>19.100000000000001</v>
      </c>
      <c r="L88" s="103">
        <f>ROUND(L79,1)</f>
        <v>17.399999999999999</v>
      </c>
      <c r="M88" s="103">
        <f t="shared" ref="M88" si="77">ROUND(M79,1)</f>
        <v>17.3</v>
      </c>
      <c r="N88" s="103">
        <f t="shared" si="73"/>
        <v>17.399999999999999</v>
      </c>
    </row>
    <row r="89" spans="2:14">
      <c r="B89" s="75" t="s">
        <v>74</v>
      </c>
      <c r="C89" s="83">
        <f t="shared" ref="C89:J89" si="78">SUM(C84:C88)</f>
        <v>100</v>
      </c>
      <c r="D89" s="83">
        <f t="shared" si="78"/>
        <v>100</v>
      </c>
      <c r="E89" s="83">
        <f t="shared" si="78"/>
        <v>100</v>
      </c>
      <c r="F89" s="83">
        <f t="shared" si="78"/>
        <v>100</v>
      </c>
      <c r="G89" s="83">
        <f t="shared" si="78"/>
        <v>101.19999999999999</v>
      </c>
      <c r="H89" s="83">
        <f t="shared" si="78"/>
        <v>100</v>
      </c>
      <c r="I89" s="83">
        <f t="shared" si="78"/>
        <v>100</v>
      </c>
      <c r="J89" s="83">
        <f t="shared" si="78"/>
        <v>101.3</v>
      </c>
      <c r="K89" s="83">
        <f>SUM(K84:K88)</f>
        <v>110.6</v>
      </c>
      <c r="L89" s="103">
        <f>SUM(L84:L88)</f>
        <v>101.1</v>
      </c>
      <c r="M89" s="103">
        <f>SUM(M84:M88)</f>
        <v>99.8</v>
      </c>
      <c r="N89" s="103">
        <f>SUM(N84:N88)</f>
        <v>114.6</v>
      </c>
    </row>
  </sheetData>
  <mergeCells count="3">
    <mergeCell ref="B13:E13"/>
    <mergeCell ref="B20:E20"/>
    <mergeCell ref="B29:E29"/>
  </mergeCells>
  <phoneticPr fontId="9"/>
  <pageMargins left="0" right="0" top="0.98425196850393704" bottom="0.98425196850393704" header="0.51181102362204722" footer="0.51181102362204722"/>
  <pageSetup paperSize="9" scale="46" orientation="portrait" horizontalDpi="300" verticalDpi="300" r:id="rId1"/>
  <headerFooter alignWithMargins="0"/>
  <ignoredErrors>
    <ignoredError sqref="G66 J67" 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Q41"/>
  <sheetViews>
    <sheetView showGridLines="0" showOutlineSymbols="0" workbookViewId="0">
      <selection activeCell="J5" sqref="J5"/>
    </sheetView>
  </sheetViews>
  <sheetFormatPr defaultRowHeight="15" customHeight="1"/>
  <cols>
    <col min="1" max="1" width="18.7109375" style="187" customWidth="1"/>
    <col min="2" max="2" width="9.140625" style="187"/>
    <col min="3" max="3" width="9.140625" style="187" collapsed="1"/>
    <col min="4" max="6" width="9.140625" style="187"/>
    <col min="7" max="10" width="9.140625" style="187" collapsed="1"/>
    <col min="11" max="11" width="10.28515625" style="187" customWidth="1"/>
    <col min="12" max="17" width="9.140625" style="189"/>
    <col min="18" max="18" width="10.28515625" style="187" customWidth="1"/>
    <col min="19" max="16384" width="9.140625" style="187"/>
  </cols>
  <sheetData>
    <row r="1" spans="1:10" ht="15" customHeight="1">
      <c r="A1" s="187" t="s">
        <v>341</v>
      </c>
    </row>
    <row r="2" spans="1:10" ht="35.25" customHeight="1">
      <c r="A2" s="186" t="s">
        <v>184</v>
      </c>
      <c r="B2" s="211" t="s">
        <v>342</v>
      </c>
      <c r="C2" s="212" t="s">
        <v>343</v>
      </c>
      <c r="D2" s="212" t="s">
        <v>344</v>
      </c>
      <c r="E2" s="212" t="s">
        <v>345</v>
      </c>
      <c r="F2" s="212"/>
      <c r="G2" s="213" t="s">
        <v>346</v>
      </c>
      <c r="H2" s="213" t="s">
        <v>327</v>
      </c>
      <c r="I2" s="213" t="s">
        <v>328</v>
      </c>
      <c r="J2" s="213" t="s">
        <v>403</v>
      </c>
    </row>
    <row r="3" spans="1:10" ht="17.25">
      <c r="A3" s="186" t="s">
        <v>189</v>
      </c>
      <c r="B3" s="214">
        <v>1294</v>
      </c>
      <c r="C3" s="214">
        <v>1400</v>
      </c>
      <c r="D3" s="215">
        <v>1389</v>
      </c>
      <c r="E3" s="215">
        <v>1306</v>
      </c>
      <c r="F3" s="216"/>
      <c r="G3" s="217">
        <v>1505</v>
      </c>
      <c r="H3" s="217">
        <v>1993</v>
      </c>
      <c r="I3" s="217">
        <v>2120</v>
      </c>
      <c r="J3" s="217">
        <v>2199</v>
      </c>
    </row>
    <row r="4" spans="1:10" ht="17.25">
      <c r="A4" s="186" t="s">
        <v>190</v>
      </c>
      <c r="B4" s="214">
        <v>1643</v>
      </c>
      <c r="C4" s="214">
        <v>1544</v>
      </c>
      <c r="D4" s="215">
        <v>1034</v>
      </c>
      <c r="E4" s="215">
        <v>1081</v>
      </c>
      <c r="F4" s="216"/>
      <c r="G4" s="217">
        <v>1311</v>
      </c>
      <c r="H4" s="217">
        <v>1388</v>
      </c>
      <c r="I4" s="217">
        <v>1499</v>
      </c>
      <c r="J4" s="217">
        <v>1094</v>
      </c>
    </row>
    <row r="5" spans="1:10" ht="28.5">
      <c r="A5" s="188" t="s">
        <v>245</v>
      </c>
      <c r="B5" s="214">
        <v>4296</v>
      </c>
      <c r="C5" s="214">
        <v>3242</v>
      </c>
      <c r="D5" s="215">
        <v>3302</v>
      </c>
      <c r="E5" s="215">
        <v>3363</v>
      </c>
      <c r="F5" s="216"/>
      <c r="G5" s="217">
        <v>3346</v>
      </c>
      <c r="H5" s="217">
        <v>3408</v>
      </c>
      <c r="I5" s="217">
        <v>3552</v>
      </c>
      <c r="J5" s="217">
        <v>3591</v>
      </c>
    </row>
    <row r="6" spans="1:10" ht="17.25">
      <c r="A6" s="186" t="s">
        <v>246</v>
      </c>
      <c r="B6" s="214">
        <v>543</v>
      </c>
      <c r="C6" s="214">
        <v>522</v>
      </c>
      <c r="D6" s="215">
        <v>511</v>
      </c>
      <c r="E6" s="215">
        <v>510</v>
      </c>
      <c r="F6" s="216"/>
      <c r="G6" s="217">
        <v>592</v>
      </c>
      <c r="H6" s="217">
        <v>585</v>
      </c>
      <c r="I6" s="217">
        <v>590</v>
      </c>
      <c r="J6" s="217">
        <v>562</v>
      </c>
    </row>
    <row r="7" spans="1:10" ht="17.25">
      <c r="A7" s="186" t="s">
        <v>187</v>
      </c>
      <c r="B7" s="218">
        <f>SUM(B3:B6)</f>
        <v>7776</v>
      </c>
      <c r="C7" s="218">
        <f>SUM(C3:C6)</f>
        <v>6708</v>
      </c>
      <c r="D7" s="218">
        <f>SUM(D3:D6)</f>
        <v>6236</v>
      </c>
      <c r="E7" s="218">
        <f>SUM(E3:E6)</f>
        <v>6260</v>
      </c>
      <c r="F7" s="218"/>
      <c r="G7" s="217">
        <v>6754</v>
      </c>
      <c r="H7" s="217">
        <v>7374</v>
      </c>
      <c r="I7" s="217">
        <v>7761</v>
      </c>
      <c r="J7" s="217">
        <v>7447</v>
      </c>
    </row>
    <row r="8" spans="1:10" ht="21.75" customHeight="1">
      <c r="A8" s="128"/>
      <c r="B8" s="127"/>
      <c r="C8" s="127"/>
      <c r="D8" s="127"/>
      <c r="E8" s="127"/>
      <c r="F8" s="127"/>
      <c r="G8" s="219"/>
      <c r="H8" s="127"/>
      <c r="I8" s="127"/>
      <c r="J8" s="219"/>
    </row>
    <row r="9" spans="1:10" ht="17.25">
      <c r="A9" s="128"/>
      <c r="B9" s="127"/>
      <c r="C9" s="641" t="s">
        <v>347</v>
      </c>
      <c r="D9" s="641"/>
      <c r="E9" s="127"/>
      <c r="F9" s="127"/>
      <c r="G9" s="219"/>
      <c r="H9" s="641" t="s">
        <v>348</v>
      </c>
      <c r="I9" s="641"/>
      <c r="J9" s="219"/>
    </row>
    <row r="10" spans="1:10" ht="15" customHeight="1">
      <c r="A10" s="126"/>
      <c r="B10" s="126"/>
      <c r="C10" s="126"/>
      <c r="D10" s="126"/>
      <c r="E10" s="126"/>
      <c r="F10" s="126"/>
      <c r="G10" s="126"/>
      <c r="H10" s="126"/>
      <c r="I10" s="126"/>
      <c r="J10" s="126"/>
    </row>
    <row r="11" spans="1:10" ht="15" customHeight="1">
      <c r="A11" s="126"/>
      <c r="B11" s="126"/>
      <c r="C11" s="126"/>
      <c r="D11" s="126"/>
      <c r="E11" s="126"/>
      <c r="F11" s="126"/>
      <c r="G11" s="126"/>
      <c r="H11" s="126"/>
      <c r="I11" s="126"/>
      <c r="J11" s="126"/>
    </row>
    <row r="12" spans="1:10" ht="15" customHeight="1">
      <c r="A12" s="126"/>
      <c r="B12" s="126"/>
      <c r="C12" s="126"/>
      <c r="D12" s="126"/>
      <c r="E12" s="126"/>
      <c r="F12" s="126"/>
      <c r="G12" s="126"/>
      <c r="H12" s="126"/>
      <c r="I12" s="126"/>
      <c r="J12" s="126"/>
    </row>
    <row r="13" spans="1:10" ht="15" customHeight="1">
      <c r="A13" s="126"/>
      <c r="B13" s="126"/>
      <c r="C13" s="126"/>
      <c r="D13" s="126"/>
      <c r="E13" s="126"/>
      <c r="F13" s="126"/>
      <c r="G13" s="126"/>
      <c r="H13" s="126"/>
      <c r="I13" s="126"/>
      <c r="J13" s="126"/>
    </row>
    <row r="14" spans="1:10" ht="15" customHeight="1">
      <c r="A14" s="189"/>
      <c r="B14" s="189"/>
      <c r="C14" s="189"/>
      <c r="D14" s="189"/>
      <c r="E14" s="189"/>
      <c r="F14" s="189"/>
      <c r="G14" s="189"/>
      <c r="H14" s="189"/>
      <c r="I14" s="189"/>
      <c r="J14" s="189"/>
    </row>
    <row r="15" spans="1:10" ht="15" customHeight="1">
      <c r="A15" s="189"/>
      <c r="B15" s="189"/>
      <c r="C15" s="189"/>
      <c r="D15" s="189"/>
      <c r="E15" s="189"/>
      <c r="F15" s="189"/>
      <c r="G15" s="189"/>
      <c r="H15" s="189"/>
      <c r="I15" s="189"/>
      <c r="J15" s="189"/>
    </row>
    <row r="16" spans="1:10" ht="15" customHeight="1">
      <c r="A16" s="189"/>
      <c r="B16" s="189"/>
      <c r="C16" s="189"/>
      <c r="D16" s="189"/>
      <c r="E16" s="189"/>
      <c r="F16" s="189"/>
      <c r="G16" s="189"/>
      <c r="H16" s="189"/>
      <c r="I16" s="189"/>
      <c r="J16" s="189"/>
    </row>
    <row r="17" spans="1:10" ht="15" customHeight="1">
      <c r="A17" s="189"/>
      <c r="B17" s="189"/>
      <c r="C17" s="189"/>
      <c r="D17" s="189"/>
      <c r="E17" s="189"/>
      <c r="F17" s="189"/>
      <c r="G17" s="189"/>
      <c r="H17" s="189"/>
      <c r="I17" s="189"/>
      <c r="J17" s="189"/>
    </row>
    <row r="18" spans="1:10" ht="15" customHeight="1">
      <c r="A18" s="189"/>
      <c r="B18" s="189"/>
      <c r="C18" s="189"/>
      <c r="D18" s="189"/>
      <c r="E18" s="189"/>
      <c r="F18" s="189"/>
      <c r="G18" s="189"/>
      <c r="H18" s="189"/>
      <c r="I18" s="189"/>
      <c r="J18" s="189"/>
    </row>
    <row r="19" spans="1:10" ht="15" customHeight="1">
      <c r="A19" s="189"/>
      <c r="B19" s="189"/>
      <c r="C19" s="189"/>
      <c r="D19" s="189"/>
      <c r="E19" s="189"/>
      <c r="F19" s="189"/>
      <c r="G19" s="189"/>
      <c r="H19" s="189"/>
      <c r="I19" s="189"/>
      <c r="J19" s="189"/>
    </row>
    <row r="20" spans="1:10" ht="15" customHeight="1">
      <c r="A20" s="189"/>
      <c r="B20" s="189"/>
      <c r="C20" s="189"/>
      <c r="D20" s="189"/>
      <c r="E20" s="189"/>
      <c r="F20" s="189"/>
      <c r="G20" s="189"/>
      <c r="H20" s="189"/>
      <c r="I20" s="189"/>
      <c r="J20" s="189"/>
    </row>
    <row r="21" spans="1:10" ht="15" customHeight="1">
      <c r="A21" s="189"/>
      <c r="B21" s="189"/>
      <c r="C21" s="189"/>
      <c r="D21" s="189"/>
      <c r="E21" s="189"/>
      <c r="F21" s="189"/>
      <c r="G21" s="189"/>
      <c r="H21" s="189"/>
      <c r="I21" s="189"/>
      <c r="J21" s="189"/>
    </row>
    <row r="22" spans="1:10" ht="15" customHeight="1">
      <c r="A22" s="189"/>
      <c r="B22" s="189"/>
      <c r="C22" s="189"/>
      <c r="D22" s="189"/>
      <c r="E22" s="189"/>
      <c r="F22" s="189"/>
      <c r="G22" s="189"/>
      <c r="H22" s="189"/>
      <c r="I22" s="189"/>
      <c r="J22" s="189"/>
    </row>
    <row r="23" spans="1:10" ht="15" customHeight="1">
      <c r="A23" s="189"/>
      <c r="B23" s="189"/>
      <c r="C23" s="189"/>
      <c r="D23" s="189"/>
      <c r="E23" s="189"/>
      <c r="F23" s="189"/>
      <c r="G23" s="189"/>
      <c r="H23" s="189"/>
      <c r="I23" s="189"/>
      <c r="J23" s="189"/>
    </row>
    <row r="24" spans="1:10" ht="15" customHeight="1">
      <c r="A24" s="189"/>
      <c r="B24" s="189"/>
      <c r="C24" s="189"/>
      <c r="D24" s="189"/>
      <c r="E24" s="189"/>
      <c r="F24" s="189"/>
      <c r="G24" s="189"/>
      <c r="H24" s="189"/>
      <c r="I24" s="189"/>
      <c r="J24" s="189"/>
    </row>
    <row r="25" spans="1:10" ht="15" customHeight="1">
      <c r="A25" s="189"/>
      <c r="B25" s="189"/>
      <c r="C25" s="189"/>
      <c r="D25" s="189"/>
      <c r="E25" s="189"/>
      <c r="F25" s="189"/>
      <c r="G25" s="189"/>
      <c r="H25" s="189"/>
      <c r="I25" s="189"/>
      <c r="J25" s="189"/>
    </row>
    <row r="26" spans="1:10" ht="15" customHeight="1">
      <c r="A26" s="189"/>
      <c r="B26" s="189"/>
      <c r="C26" s="189"/>
      <c r="D26" s="189"/>
      <c r="E26" s="189"/>
      <c r="F26" s="189"/>
      <c r="G26" s="189"/>
      <c r="H26" s="189"/>
      <c r="I26" s="189"/>
      <c r="J26" s="189"/>
    </row>
    <row r="27" spans="1:10" ht="15" customHeight="1">
      <c r="A27" s="189"/>
      <c r="B27" s="189"/>
      <c r="C27" s="189"/>
      <c r="D27" s="189"/>
      <c r="E27" s="189"/>
      <c r="F27" s="189"/>
      <c r="G27" s="189"/>
      <c r="H27" s="189"/>
      <c r="I27" s="189"/>
      <c r="J27" s="189"/>
    </row>
    <row r="28" spans="1:10" ht="15" customHeight="1">
      <c r="A28" s="189"/>
      <c r="B28" s="189"/>
      <c r="C28" s="189"/>
      <c r="D28" s="189"/>
      <c r="E28" s="189"/>
      <c r="F28" s="189"/>
      <c r="G28" s="189"/>
      <c r="H28" s="189"/>
      <c r="I28" s="189"/>
      <c r="J28" s="189"/>
    </row>
    <row r="29" spans="1:10" ht="15" customHeight="1">
      <c r="A29" s="189"/>
      <c r="B29" s="189"/>
      <c r="C29" s="189"/>
      <c r="D29" s="189"/>
      <c r="E29" s="189"/>
      <c r="F29" s="189"/>
      <c r="G29" s="189"/>
      <c r="H29" s="189"/>
      <c r="I29" s="189"/>
      <c r="J29" s="189"/>
    </row>
    <row r="30" spans="1:10" ht="15" customHeight="1">
      <c r="A30" s="189"/>
      <c r="B30" s="189"/>
      <c r="C30" s="189"/>
      <c r="D30" s="189"/>
      <c r="E30" s="189"/>
      <c r="F30" s="189"/>
      <c r="G30" s="189"/>
      <c r="H30" s="189"/>
      <c r="I30" s="189"/>
      <c r="J30" s="189"/>
    </row>
    <row r="31" spans="1:10" ht="15" customHeight="1">
      <c r="A31" s="189"/>
      <c r="B31" s="189"/>
      <c r="C31" s="189"/>
      <c r="D31" s="189"/>
      <c r="E31" s="189"/>
      <c r="F31" s="189"/>
      <c r="G31" s="189"/>
      <c r="H31" s="189"/>
      <c r="I31" s="189"/>
      <c r="J31" s="189"/>
    </row>
    <row r="32" spans="1:10" ht="15" customHeight="1">
      <c r="A32" s="189"/>
      <c r="B32" s="189"/>
      <c r="C32" s="189"/>
      <c r="D32" s="189"/>
      <c r="E32" s="189"/>
      <c r="F32" s="189"/>
      <c r="G32" s="189"/>
      <c r="H32" s="189"/>
      <c r="I32" s="189"/>
      <c r="J32" s="189"/>
    </row>
    <row r="33" spans="1:10" ht="15" customHeight="1">
      <c r="A33" s="189"/>
      <c r="B33" s="189"/>
      <c r="C33" s="189"/>
      <c r="D33" s="189"/>
      <c r="E33" s="189"/>
      <c r="F33" s="189"/>
      <c r="G33" s="189"/>
      <c r="H33" s="189"/>
      <c r="I33" s="189"/>
      <c r="J33" s="189"/>
    </row>
    <row r="34" spans="1:10" ht="15" customHeight="1">
      <c r="A34" s="189"/>
      <c r="B34" s="189"/>
      <c r="C34" s="189"/>
      <c r="D34" s="189"/>
      <c r="E34" s="189"/>
      <c r="F34" s="189"/>
      <c r="G34" s="189"/>
      <c r="H34" s="189"/>
      <c r="I34" s="189"/>
      <c r="J34" s="189"/>
    </row>
    <row r="35" spans="1:10" ht="15" customHeight="1">
      <c r="A35" s="189"/>
      <c r="B35" s="189"/>
      <c r="C35" s="189"/>
      <c r="D35" s="189"/>
      <c r="E35" s="189"/>
      <c r="F35" s="189"/>
      <c r="G35" s="189"/>
      <c r="H35" s="189"/>
      <c r="I35" s="189"/>
      <c r="J35" s="189"/>
    </row>
    <row r="36" spans="1:10" ht="15" customHeight="1">
      <c r="A36" s="189"/>
      <c r="B36" s="189"/>
      <c r="C36" s="189"/>
      <c r="D36" s="189"/>
      <c r="E36" s="189"/>
      <c r="F36" s="189"/>
      <c r="G36" s="189"/>
      <c r="H36" s="189"/>
      <c r="I36" s="189"/>
      <c r="J36" s="189"/>
    </row>
    <row r="37" spans="1:10" ht="15" customHeight="1">
      <c r="A37" s="189"/>
      <c r="B37" s="189"/>
      <c r="C37" s="189"/>
      <c r="D37" s="189"/>
      <c r="E37" s="189"/>
      <c r="F37" s="189"/>
      <c r="G37" s="189"/>
      <c r="H37" s="189"/>
      <c r="I37" s="189"/>
      <c r="J37" s="189"/>
    </row>
    <row r="38" spans="1:10" ht="15" customHeight="1">
      <c r="A38" s="189"/>
      <c r="B38" s="189"/>
      <c r="C38" s="189"/>
      <c r="D38" s="189"/>
      <c r="E38" s="189"/>
      <c r="F38" s="189"/>
      <c r="G38" s="189"/>
      <c r="H38" s="189"/>
      <c r="I38" s="189"/>
      <c r="J38" s="189"/>
    </row>
    <row r="39" spans="1:10" ht="15" customHeight="1">
      <c r="A39" s="189"/>
      <c r="B39" s="189"/>
      <c r="C39" s="189"/>
      <c r="D39" s="189"/>
      <c r="E39" s="189"/>
      <c r="F39" s="189"/>
      <c r="G39" s="189"/>
      <c r="H39" s="189"/>
      <c r="I39" s="189"/>
      <c r="J39" s="189"/>
    </row>
    <row r="40" spans="1:10" ht="15" customHeight="1">
      <c r="A40" s="189"/>
      <c r="B40" s="189"/>
      <c r="C40" s="189"/>
      <c r="D40" s="189"/>
      <c r="E40" s="189"/>
      <c r="F40" s="189"/>
      <c r="G40" s="189"/>
      <c r="H40" s="189"/>
      <c r="I40" s="189"/>
      <c r="J40" s="189"/>
    </row>
    <row r="41" spans="1:10" ht="15" customHeight="1">
      <c r="A41" s="189"/>
      <c r="B41" s="189"/>
      <c r="C41" s="189"/>
      <c r="D41" s="189"/>
      <c r="E41" s="189"/>
      <c r="F41" s="189"/>
      <c r="G41" s="189"/>
      <c r="H41" s="189"/>
      <c r="I41" s="189"/>
      <c r="J41" s="189"/>
    </row>
  </sheetData>
  <mergeCells count="2">
    <mergeCell ref="C9:D9"/>
    <mergeCell ref="H9:I9"/>
  </mergeCells>
  <phoneticPr fontId="9"/>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14"/>
  <sheetViews>
    <sheetView showOutlineSymbols="0" view="pageBreakPreview" zoomScaleNormal="100" zoomScaleSheetLayoutView="100" workbookViewId="0"/>
  </sheetViews>
  <sheetFormatPr defaultRowHeight="18.75"/>
  <cols>
    <col min="1" max="3" width="3.140625" style="434" customWidth="1"/>
    <col min="4" max="7" width="19" style="434" customWidth="1"/>
    <col min="8" max="8" width="16.7109375" style="434" customWidth="1"/>
    <col min="9" max="9" width="3.140625" style="434" customWidth="1"/>
    <col min="10" max="10" width="9.140625" style="434"/>
    <col min="11" max="12" width="13.42578125" style="434" hidden="1" customWidth="1"/>
    <col min="13" max="13" width="9.140625" style="434" hidden="1" customWidth="1"/>
    <col min="14" max="14" width="21" style="434" hidden="1" customWidth="1"/>
    <col min="15" max="16" width="14.5703125" style="434" bestFit="1" customWidth="1"/>
    <col min="17" max="17" width="13.28515625" style="434" bestFit="1" customWidth="1"/>
    <col min="18" max="16384" width="9.140625" style="434"/>
  </cols>
  <sheetData>
    <row r="1" spans="1:14" ht="17.25" customHeight="1">
      <c r="A1" s="442"/>
      <c r="B1" s="512"/>
      <c r="C1" s="512"/>
      <c r="D1" s="512"/>
      <c r="E1" s="512"/>
      <c r="F1" s="512"/>
      <c r="G1" s="512"/>
      <c r="H1" s="512"/>
      <c r="I1" s="512"/>
    </row>
    <row r="2" spans="1:14" ht="17.25" customHeight="1">
      <c r="A2" s="442"/>
      <c r="B2" s="512"/>
      <c r="C2" s="512"/>
      <c r="D2" s="512"/>
      <c r="E2" s="512"/>
      <c r="F2" s="512"/>
      <c r="G2" s="512"/>
      <c r="H2" s="512"/>
      <c r="I2" s="512"/>
    </row>
    <row r="3" spans="1:14" ht="3.75" customHeight="1">
      <c r="B3" s="512"/>
      <c r="C3" s="512"/>
      <c r="D3" s="512"/>
      <c r="E3" s="512"/>
      <c r="F3" s="512"/>
      <c r="G3" s="512"/>
      <c r="H3" s="512"/>
      <c r="I3" s="512"/>
    </row>
    <row r="4" spans="1:14" ht="15" customHeight="1" thickBot="1">
      <c r="G4" s="511"/>
      <c r="H4" s="510" t="s">
        <v>183</v>
      </c>
      <c r="I4" s="509"/>
      <c r="K4" s="434" t="s">
        <v>230</v>
      </c>
    </row>
    <row r="5" spans="1:14" ht="18.95" customHeight="1" thickBot="1">
      <c r="B5" s="648" t="s">
        <v>184</v>
      </c>
      <c r="C5" s="649"/>
      <c r="D5" s="650"/>
      <c r="E5" s="508" t="s">
        <v>356</v>
      </c>
      <c r="F5" s="507" t="s">
        <v>357</v>
      </c>
      <c r="G5" s="506" t="s">
        <v>185</v>
      </c>
      <c r="H5" s="505" t="s">
        <v>186</v>
      </c>
      <c r="I5" s="504"/>
      <c r="K5" s="503" t="s">
        <v>351</v>
      </c>
      <c r="L5" s="502" t="s">
        <v>352</v>
      </c>
      <c r="M5" s="501" t="s">
        <v>288</v>
      </c>
      <c r="N5" s="434" t="s">
        <v>289</v>
      </c>
    </row>
    <row r="6" spans="1:14" ht="36" customHeight="1" thickBot="1">
      <c r="B6" s="651" t="s">
        <v>187</v>
      </c>
      <c r="C6" s="652"/>
      <c r="D6" s="653"/>
      <c r="E6" s="500">
        <f t="shared" ref="E6:E21" si="0">ROUND(K6/1000,0)</f>
        <v>744663</v>
      </c>
      <c r="F6" s="499">
        <f t="shared" ref="F6:F21" si="1">ROUND(L6/1000,0)</f>
        <v>776114</v>
      </c>
      <c r="G6" s="498">
        <f t="shared" ref="G6:G21" si="2">ROUND(M6/1000,0)</f>
        <v>-31451</v>
      </c>
      <c r="H6" s="497">
        <f t="shared" ref="H6:H21" si="3">K6/L6*100-100</f>
        <v>-4.0523864686846167</v>
      </c>
      <c r="I6" s="452"/>
      <c r="K6" s="496">
        <f>K7+K10+K15+K16+K17+K18+K19</f>
        <v>744662939</v>
      </c>
      <c r="L6" s="496">
        <f>L7+L10+L15+L16+L17+L18+L19</f>
        <v>776114081</v>
      </c>
      <c r="M6" s="495">
        <f t="shared" ref="M6:M21" si="4">K6-L6</f>
        <v>-31451142</v>
      </c>
      <c r="N6" s="494">
        <v>6349584</v>
      </c>
    </row>
    <row r="7" spans="1:14" ht="18.95" customHeight="1" thickTop="1">
      <c r="B7" s="475"/>
      <c r="C7" s="654" t="s">
        <v>188</v>
      </c>
      <c r="D7" s="655"/>
      <c r="E7" s="493">
        <f t="shared" si="0"/>
        <v>329386</v>
      </c>
      <c r="F7" s="492">
        <f t="shared" si="1"/>
        <v>361946</v>
      </c>
      <c r="G7" s="472">
        <f t="shared" si="2"/>
        <v>-32560</v>
      </c>
      <c r="H7" s="488">
        <f t="shared" si="3"/>
        <v>-8.9959416250053721</v>
      </c>
      <c r="I7" s="452"/>
      <c r="K7" s="491">
        <v>329385864</v>
      </c>
      <c r="L7" s="491">
        <v>361946346</v>
      </c>
      <c r="M7" s="469">
        <f>K7-L7</f>
        <v>-32560482</v>
      </c>
    </row>
    <row r="8" spans="1:14" ht="18.95" customHeight="1">
      <c r="B8" s="644"/>
      <c r="C8" s="656"/>
      <c r="D8" s="490" t="s">
        <v>189</v>
      </c>
      <c r="E8" s="478">
        <f t="shared" si="0"/>
        <v>219942</v>
      </c>
      <c r="F8" s="465">
        <f t="shared" si="1"/>
        <v>212002</v>
      </c>
      <c r="G8" s="464">
        <f t="shared" si="2"/>
        <v>7940</v>
      </c>
      <c r="H8" s="463">
        <f t="shared" si="3"/>
        <v>3.7454612507185487</v>
      </c>
      <c r="I8" s="452"/>
      <c r="K8" s="456">
        <v>219942127</v>
      </c>
      <c r="L8" s="456">
        <v>212001686</v>
      </c>
      <c r="M8" s="455">
        <f t="shared" si="4"/>
        <v>7940441</v>
      </c>
    </row>
    <row r="9" spans="1:14" ht="18.95" customHeight="1">
      <c r="B9" s="644"/>
      <c r="C9" s="657"/>
      <c r="D9" s="467" t="s">
        <v>190</v>
      </c>
      <c r="E9" s="489">
        <f t="shared" si="0"/>
        <v>109444</v>
      </c>
      <c r="F9" s="473">
        <f t="shared" si="1"/>
        <v>149945</v>
      </c>
      <c r="G9" s="472">
        <f t="shared" si="2"/>
        <v>-40501</v>
      </c>
      <c r="H9" s="488">
        <f t="shared" si="3"/>
        <v>-27.01058043680915</v>
      </c>
      <c r="I9" s="452"/>
      <c r="K9" s="456">
        <v>109443737</v>
      </c>
      <c r="L9" s="456">
        <v>149944660</v>
      </c>
      <c r="M9" s="455">
        <f t="shared" si="4"/>
        <v>-40500923</v>
      </c>
    </row>
    <row r="10" spans="1:14" ht="18.95" customHeight="1">
      <c r="B10" s="475"/>
      <c r="C10" s="642" t="s">
        <v>191</v>
      </c>
      <c r="D10" s="643"/>
      <c r="E10" s="466">
        <f t="shared" si="0"/>
        <v>298790</v>
      </c>
      <c r="F10" s="465">
        <f t="shared" si="1"/>
        <v>295395</v>
      </c>
      <c r="G10" s="464">
        <f t="shared" si="2"/>
        <v>3395</v>
      </c>
      <c r="H10" s="463">
        <f t="shared" si="3"/>
        <v>1.149312358454722</v>
      </c>
      <c r="I10" s="452"/>
      <c r="K10" s="456">
        <v>298789902</v>
      </c>
      <c r="L10" s="456">
        <v>295394892</v>
      </c>
      <c r="M10" s="455">
        <f t="shared" si="4"/>
        <v>3395010</v>
      </c>
    </row>
    <row r="11" spans="1:14" ht="18.95" customHeight="1">
      <c r="B11" s="644"/>
      <c r="C11" s="645"/>
      <c r="D11" s="487" t="s">
        <v>192</v>
      </c>
      <c r="E11" s="485">
        <f t="shared" si="0"/>
        <v>114814</v>
      </c>
      <c r="F11" s="465">
        <f t="shared" si="1"/>
        <v>113860</v>
      </c>
      <c r="G11" s="464">
        <f t="shared" si="2"/>
        <v>954</v>
      </c>
      <c r="H11" s="463">
        <f t="shared" si="3"/>
        <v>0.83771423059918959</v>
      </c>
      <c r="I11" s="452"/>
      <c r="K11" s="456">
        <v>114814252</v>
      </c>
      <c r="L11" s="456">
        <v>113860427</v>
      </c>
      <c r="M11" s="455">
        <f t="shared" si="4"/>
        <v>953825</v>
      </c>
    </row>
    <row r="12" spans="1:14" ht="18.95" customHeight="1">
      <c r="B12" s="644"/>
      <c r="C12" s="646"/>
      <c r="D12" s="486" t="s">
        <v>193</v>
      </c>
      <c r="E12" s="485">
        <f t="shared" si="0"/>
        <v>144063</v>
      </c>
      <c r="F12" s="465">
        <f t="shared" si="1"/>
        <v>142374</v>
      </c>
      <c r="G12" s="464">
        <f t="shared" si="2"/>
        <v>1690</v>
      </c>
      <c r="H12" s="463">
        <f t="shared" si="3"/>
        <v>1.1867503099453103</v>
      </c>
      <c r="I12" s="452"/>
      <c r="K12" s="456">
        <v>144063122</v>
      </c>
      <c r="L12" s="456">
        <v>142373504</v>
      </c>
      <c r="M12" s="455">
        <f t="shared" si="4"/>
        <v>1689618</v>
      </c>
    </row>
    <row r="13" spans="1:14" ht="18.95" customHeight="1">
      <c r="B13" s="644"/>
      <c r="C13" s="646"/>
      <c r="D13" s="467" t="s">
        <v>194</v>
      </c>
      <c r="E13" s="466">
        <f t="shared" si="0"/>
        <v>39661</v>
      </c>
      <c r="F13" s="465">
        <f t="shared" si="1"/>
        <v>38900</v>
      </c>
      <c r="G13" s="464">
        <f t="shared" si="2"/>
        <v>761</v>
      </c>
      <c r="H13" s="463">
        <f t="shared" si="3"/>
        <v>1.9572823325021034</v>
      </c>
      <c r="I13" s="452"/>
      <c r="K13" s="456">
        <v>39660923</v>
      </c>
      <c r="L13" s="456">
        <v>38899549</v>
      </c>
      <c r="M13" s="455">
        <f t="shared" si="4"/>
        <v>761374</v>
      </c>
    </row>
    <row r="14" spans="1:14" ht="18.95" customHeight="1">
      <c r="B14" s="644"/>
      <c r="C14" s="647"/>
      <c r="D14" s="467" t="s">
        <v>195</v>
      </c>
      <c r="E14" s="466">
        <f t="shared" si="0"/>
        <v>252</v>
      </c>
      <c r="F14" s="465">
        <f t="shared" si="1"/>
        <v>261</v>
      </c>
      <c r="G14" s="464">
        <f t="shared" si="2"/>
        <v>-10</v>
      </c>
      <c r="H14" s="463">
        <f t="shared" si="3"/>
        <v>-3.7515492785335027</v>
      </c>
      <c r="I14" s="452"/>
      <c r="K14" s="456">
        <v>251605</v>
      </c>
      <c r="L14" s="456">
        <v>261412</v>
      </c>
      <c r="M14" s="455">
        <f t="shared" si="4"/>
        <v>-9807</v>
      </c>
    </row>
    <row r="15" spans="1:14" ht="18.95" customHeight="1">
      <c r="B15" s="475"/>
      <c r="C15" s="659" t="s">
        <v>197</v>
      </c>
      <c r="D15" s="643"/>
      <c r="E15" s="483">
        <f t="shared" si="0"/>
        <v>1986</v>
      </c>
      <c r="F15" s="482">
        <f t="shared" si="1"/>
        <v>1855</v>
      </c>
      <c r="G15" s="481">
        <f t="shared" si="2"/>
        <v>131</v>
      </c>
      <c r="H15" s="484">
        <f t="shared" si="3"/>
        <v>7.0519964436738007</v>
      </c>
      <c r="I15" s="452"/>
      <c r="K15" s="477">
        <v>1985518</v>
      </c>
      <c r="L15" s="477">
        <v>1854723</v>
      </c>
      <c r="M15" s="479">
        <f t="shared" si="4"/>
        <v>130795</v>
      </c>
    </row>
    <row r="16" spans="1:14" ht="18.95" customHeight="1">
      <c r="B16" s="475"/>
      <c r="C16" s="659" t="s">
        <v>198</v>
      </c>
      <c r="D16" s="643"/>
      <c r="E16" s="483">
        <f t="shared" si="0"/>
        <v>26282</v>
      </c>
      <c r="F16" s="482">
        <f t="shared" si="1"/>
        <v>28741</v>
      </c>
      <c r="G16" s="481">
        <f t="shared" si="2"/>
        <v>-2459</v>
      </c>
      <c r="H16" s="484">
        <f t="shared" si="3"/>
        <v>-8.5561872801942798</v>
      </c>
      <c r="I16" s="452"/>
      <c r="K16" s="477">
        <v>26281612</v>
      </c>
      <c r="L16" s="477">
        <v>28740722</v>
      </c>
      <c r="M16" s="479">
        <f t="shared" si="4"/>
        <v>-2459110</v>
      </c>
    </row>
    <row r="17" spans="2:13" ht="18.95" customHeight="1">
      <c r="B17" s="475"/>
      <c r="C17" s="659" t="s">
        <v>232</v>
      </c>
      <c r="D17" s="643"/>
      <c r="E17" s="483">
        <f t="shared" si="0"/>
        <v>91</v>
      </c>
      <c r="F17" s="482">
        <f t="shared" si="1"/>
        <v>265</v>
      </c>
      <c r="G17" s="481">
        <f t="shared" si="2"/>
        <v>-173</v>
      </c>
      <c r="H17" s="480">
        <f t="shared" si="3"/>
        <v>-65.455865229029001</v>
      </c>
      <c r="I17" s="452"/>
      <c r="K17" s="477">
        <v>91372</v>
      </c>
      <c r="L17" s="477">
        <v>264508</v>
      </c>
      <c r="M17" s="479">
        <f t="shared" si="4"/>
        <v>-173136</v>
      </c>
    </row>
    <row r="18" spans="2:13" ht="18.95" customHeight="1">
      <c r="B18" s="475"/>
      <c r="C18" s="659" t="s">
        <v>199</v>
      </c>
      <c r="D18" s="643"/>
      <c r="E18" s="478">
        <f t="shared" si="0"/>
        <v>27792</v>
      </c>
      <c r="F18" s="465">
        <f t="shared" si="1"/>
        <v>28130</v>
      </c>
      <c r="G18" s="464">
        <f t="shared" si="2"/>
        <v>-338</v>
      </c>
      <c r="H18" s="463">
        <f t="shared" si="3"/>
        <v>-1.2003260582852278</v>
      </c>
      <c r="I18" s="452"/>
      <c r="K18" s="477">
        <v>27792289</v>
      </c>
      <c r="L18" s="476">
        <v>28129940</v>
      </c>
      <c r="M18" s="455">
        <f t="shared" si="4"/>
        <v>-337651</v>
      </c>
    </row>
    <row r="19" spans="2:13" ht="18.95" customHeight="1">
      <c r="B19" s="475"/>
      <c r="C19" s="661" t="s">
        <v>196</v>
      </c>
      <c r="D19" s="655"/>
      <c r="E19" s="474">
        <f t="shared" si="0"/>
        <v>60336</v>
      </c>
      <c r="F19" s="473">
        <f t="shared" si="1"/>
        <v>59783</v>
      </c>
      <c r="G19" s="472">
        <f t="shared" si="2"/>
        <v>553</v>
      </c>
      <c r="H19" s="463">
        <f t="shared" si="3"/>
        <v>0.92573551489178385</v>
      </c>
      <c r="I19" s="452"/>
      <c r="K19" s="471">
        <v>60336382</v>
      </c>
      <c r="L19" s="470">
        <v>59782950</v>
      </c>
      <c r="M19" s="469">
        <f t="shared" si="4"/>
        <v>553432</v>
      </c>
    </row>
    <row r="20" spans="2:13" ht="18.95" customHeight="1">
      <c r="B20" s="644"/>
      <c r="C20" s="468"/>
      <c r="D20" s="467" t="s">
        <v>192</v>
      </c>
      <c r="E20" s="466">
        <f t="shared" si="0"/>
        <v>28693</v>
      </c>
      <c r="F20" s="465">
        <f t="shared" si="1"/>
        <v>28515</v>
      </c>
      <c r="G20" s="464">
        <f t="shared" si="2"/>
        <v>178</v>
      </c>
      <c r="H20" s="463">
        <f t="shared" si="3"/>
        <v>0.62457313646393686</v>
      </c>
      <c r="I20" s="452"/>
      <c r="K20" s="456">
        <v>28692770</v>
      </c>
      <c r="L20" s="456">
        <v>28514675</v>
      </c>
      <c r="M20" s="455">
        <f t="shared" si="4"/>
        <v>178095</v>
      </c>
    </row>
    <row r="21" spans="2:13" ht="18.95" customHeight="1" thickBot="1">
      <c r="B21" s="662"/>
      <c r="C21" s="462"/>
      <c r="D21" s="461" t="s">
        <v>193</v>
      </c>
      <c r="E21" s="460">
        <f t="shared" si="0"/>
        <v>31644</v>
      </c>
      <c r="F21" s="459">
        <f t="shared" si="1"/>
        <v>31268</v>
      </c>
      <c r="G21" s="458">
        <f t="shared" si="2"/>
        <v>375</v>
      </c>
      <c r="H21" s="457">
        <f t="shared" si="3"/>
        <v>1.2003764198696558</v>
      </c>
      <c r="I21" s="452"/>
      <c r="K21" s="456">
        <v>31643612</v>
      </c>
      <c r="L21" s="456">
        <v>31268275</v>
      </c>
      <c r="M21" s="455">
        <f t="shared" si="4"/>
        <v>375337</v>
      </c>
    </row>
    <row r="22" spans="2:13" ht="15" hidden="1" customHeight="1">
      <c r="B22" s="449" t="s">
        <v>339</v>
      </c>
      <c r="C22" s="454"/>
      <c r="D22" s="454"/>
      <c r="E22" s="454"/>
      <c r="F22" s="454"/>
      <c r="G22" s="454"/>
      <c r="H22" s="453"/>
      <c r="I22" s="452"/>
    </row>
    <row r="23" spans="2:13" ht="16.5" hidden="1" customHeight="1">
      <c r="B23" s="449" t="s">
        <v>340</v>
      </c>
      <c r="C23" s="454"/>
      <c r="D23" s="454"/>
      <c r="E23" s="454"/>
      <c r="F23" s="454"/>
      <c r="G23" s="454"/>
      <c r="H23" s="453"/>
      <c r="I23" s="452"/>
    </row>
    <row r="24" spans="2:13" ht="15" customHeight="1">
      <c r="D24" s="454"/>
      <c r="E24" s="454"/>
      <c r="F24" s="454"/>
      <c r="G24" s="454"/>
      <c r="H24" s="453"/>
      <c r="I24" s="452"/>
    </row>
    <row r="25" spans="2:13" s="440" customFormat="1" ht="20.100000000000001" customHeight="1">
      <c r="B25" s="451" t="s">
        <v>243</v>
      </c>
      <c r="C25" s="450" t="s">
        <v>355</v>
      </c>
    </row>
    <row r="26" spans="2:13" s="440" customFormat="1" ht="6" customHeight="1">
      <c r="B26" s="451"/>
      <c r="C26" s="450"/>
      <c r="K26" s="449"/>
    </row>
    <row r="27" spans="2:13" ht="19.5">
      <c r="B27" s="442" t="s">
        <v>200</v>
      </c>
      <c r="K27" s="449"/>
    </row>
    <row r="28" spans="2:13" ht="6" customHeight="1">
      <c r="B28" s="441"/>
      <c r="C28" s="440"/>
      <c r="D28" s="440"/>
      <c r="E28" s="440"/>
      <c r="F28" s="440"/>
      <c r="G28" s="440"/>
      <c r="H28" s="440"/>
      <c r="I28" s="448"/>
    </row>
    <row r="29" spans="2:13" ht="19.5">
      <c r="B29" s="530" t="s">
        <v>244</v>
      </c>
      <c r="C29" s="531" t="s">
        <v>201</v>
      </c>
      <c r="D29" s="531"/>
      <c r="E29" s="531"/>
      <c r="F29" s="531"/>
      <c r="G29" s="531"/>
      <c r="H29" s="531"/>
      <c r="I29" s="448"/>
    </row>
    <row r="30" spans="2:13" ht="6" hidden="1" customHeight="1">
      <c r="B30" s="532"/>
      <c r="C30" s="442"/>
      <c r="D30" s="442"/>
      <c r="E30" s="442"/>
      <c r="F30" s="442"/>
      <c r="G30" s="442"/>
      <c r="H30" s="442"/>
      <c r="I30" s="440"/>
    </row>
    <row r="31" spans="2:13" ht="19.5">
      <c r="B31" s="532"/>
      <c r="C31" s="533"/>
      <c r="D31" s="663" t="s">
        <v>353</v>
      </c>
      <c r="E31" s="663"/>
      <c r="F31" s="663"/>
      <c r="G31" s="663"/>
      <c r="H31" s="663"/>
    </row>
    <row r="32" spans="2:13" ht="6" customHeight="1">
      <c r="B32" s="532"/>
      <c r="C32" s="533"/>
      <c r="D32" s="534"/>
      <c r="E32" s="534"/>
      <c r="F32" s="534"/>
      <c r="G32" s="534"/>
      <c r="H32" s="534"/>
      <c r="I32" s="440"/>
    </row>
    <row r="33" spans="2:16" ht="19.5">
      <c r="B33" s="530" t="s">
        <v>244</v>
      </c>
      <c r="C33" s="531" t="s">
        <v>202</v>
      </c>
      <c r="D33" s="531"/>
      <c r="E33" s="531"/>
      <c r="F33" s="531"/>
      <c r="G33" s="531"/>
      <c r="H33" s="531"/>
      <c r="I33" s="448"/>
    </row>
    <row r="34" spans="2:16" ht="6" hidden="1" customHeight="1">
      <c r="B34" s="532"/>
      <c r="C34" s="442"/>
      <c r="D34" s="442"/>
      <c r="E34" s="442"/>
      <c r="F34" s="442"/>
      <c r="G34" s="442"/>
      <c r="H34" s="442"/>
      <c r="I34" s="440"/>
    </row>
    <row r="35" spans="2:16" ht="39" customHeight="1">
      <c r="B35" s="532"/>
      <c r="C35" s="533"/>
      <c r="D35" s="663" t="s">
        <v>502</v>
      </c>
      <c r="E35" s="663"/>
      <c r="F35" s="663"/>
      <c r="G35" s="663"/>
      <c r="H35" s="663"/>
    </row>
    <row r="36" spans="2:16" ht="6" customHeight="1">
      <c r="B36" s="532"/>
      <c r="C36" s="533"/>
      <c r="D36" s="534"/>
      <c r="E36" s="534"/>
      <c r="F36" s="534"/>
      <c r="G36" s="534"/>
      <c r="H36" s="534"/>
      <c r="I36" s="440"/>
    </row>
    <row r="37" spans="2:16" ht="19.5">
      <c r="B37" s="530" t="s">
        <v>244</v>
      </c>
      <c r="C37" s="531" t="s">
        <v>191</v>
      </c>
      <c r="D37" s="531"/>
      <c r="E37" s="531"/>
      <c r="F37" s="531"/>
      <c r="G37" s="531"/>
      <c r="H37" s="531"/>
      <c r="I37" s="448"/>
    </row>
    <row r="38" spans="2:16" ht="6" hidden="1" customHeight="1">
      <c r="B38" s="532"/>
      <c r="C38" s="442"/>
      <c r="D38" s="442"/>
      <c r="E38" s="442"/>
      <c r="F38" s="442"/>
      <c r="G38" s="442"/>
      <c r="H38" s="442"/>
      <c r="I38" s="440"/>
    </row>
    <row r="39" spans="2:16" ht="19.5">
      <c r="B39" s="442"/>
      <c r="C39" s="533"/>
      <c r="D39" s="531" t="s">
        <v>290</v>
      </c>
      <c r="E39" s="531"/>
      <c r="F39" s="531"/>
      <c r="G39" s="531"/>
      <c r="H39" s="531"/>
      <c r="I39" s="446"/>
    </row>
    <row r="40" spans="2:16" ht="19.5" customHeight="1">
      <c r="B40" s="532"/>
      <c r="C40" s="533"/>
      <c r="D40" s="660" t="s">
        <v>354</v>
      </c>
      <c r="E40" s="660"/>
      <c r="F40" s="660"/>
      <c r="G40" s="660"/>
      <c r="H40" s="660"/>
    </row>
    <row r="41" spans="2:16" ht="13.5" customHeight="1">
      <c r="B41" s="532"/>
      <c r="C41" s="533"/>
      <c r="D41" s="535"/>
      <c r="E41" s="535"/>
      <c r="F41" s="535"/>
      <c r="G41" s="535"/>
      <c r="H41" s="535"/>
    </row>
    <row r="42" spans="2:16" ht="36.75" customHeight="1">
      <c r="B42" s="658" t="s">
        <v>501</v>
      </c>
      <c r="C42" s="658"/>
      <c r="D42" s="658"/>
      <c r="E42" s="658"/>
      <c r="F42" s="658"/>
      <c r="G42" s="658"/>
      <c r="H42" s="658"/>
    </row>
    <row r="43" spans="2:16" ht="13.5" customHeight="1">
      <c r="B43" s="447"/>
      <c r="C43" s="446"/>
      <c r="D43" s="529"/>
      <c r="E43" s="529"/>
      <c r="F43" s="529"/>
      <c r="G43" s="529"/>
      <c r="H43" s="529"/>
    </row>
    <row r="44" spans="2:16" ht="11.25" customHeight="1">
      <c r="B44" s="441"/>
      <c r="C44" s="440"/>
      <c r="D44" s="440"/>
      <c r="E44" s="440"/>
      <c r="F44" s="440"/>
      <c r="G44" s="440"/>
      <c r="H44" s="440"/>
      <c r="I44" s="440"/>
    </row>
    <row r="45" spans="2:16" ht="16.5" customHeight="1">
      <c r="B45" s="445" t="s">
        <v>203</v>
      </c>
      <c r="C45" s="440"/>
      <c r="D45" s="440"/>
      <c r="E45" s="440"/>
      <c r="F45" s="440"/>
      <c r="G45" s="440"/>
      <c r="H45" s="440"/>
      <c r="I45" s="440"/>
    </row>
    <row r="46" spans="2:16" ht="11.25" customHeight="1">
      <c r="B46" s="442"/>
      <c r="C46" s="440"/>
      <c r="D46" s="440"/>
      <c r="E46" s="440"/>
      <c r="F46" s="440"/>
      <c r="G46" s="440"/>
      <c r="H46" s="440"/>
      <c r="I46" s="440"/>
    </row>
    <row r="47" spans="2:16" s="442" customFormat="1" ht="16.5" customHeight="1">
      <c r="N47" s="434"/>
      <c r="O47" s="434"/>
      <c r="P47" s="434"/>
    </row>
    <row r="48" spans="2:16" s="442" customFormat="1" ht="16.5" customHeight="1">
      <c r="N48" s="434"/>
      <c r="O48" s="434"/>
      <c r="P48" s="434"/>
    </row>
    <row r="49" spans="2:16" ht="7.5" customHeight="1">
      <c r="B49" s="442"/>
      <c r="C49" s="440"/>
      <c r="D49" s="440"/>
      <c r="E49" s="440"/>
      <c r="F49" s="440"/>
      <c r="G49" s="440"/>
      <c r="H49" s="440"/>
      <c r="I49" s="440"/>
      <c r="K49" s="440"/>
      <c r="L49" s="444"/>
    </row>
    <row r="50" spans="2:16" ht="7.5" customHeight="1">
      <c r="B50" s="442"/>
      <c r="C50" s="440"/>
      <c r="D50" s="440"/>
      <c r="E50" s="440"/>
      <c r="F50" s="440"/>
      <c r="G50" s="440"/>
      <c r="H50" s="440"/>
      <c r="I50" s="440"/>
      <c r="K50" s="440"/>
      <c r="L50" s="444"/>
    </row>
    <row r="51" spans="2:16" ht="11.25" customHeight="1">
      <c r="B51" s="441"/>
      <c r="C51" s="440"/>
      <c r="D51" s="440"/>
      <c r="E51" s="440"/>
      <c r="F51" s="440"/>
      <c r="G51" s="440"/>
      <c r="H51" s="440"/>
      <c r="I51" s="440"/>
    </row>
    <row r="52" spans="2:16" s="442" customFormat="1" ht="16.5" customHeight="1">
      <c r="B52" s="442" t="s">
        <v>204</v>
      </c>
      <c r="F52" s="443"/>
      <c r="N52" s="434"/>
      <c r="O52" s="434"/>
      <c r="P52" s="434"/>
    </row>
    <row r="53" spans="2:16" ht="6" customHeight="1">
      <c r="B53" s="441"/>
      <c r="C53" s="440"/>
      <c r="D53" s="440"/>
      <c r="E53" s="440"/>
      <c r="F53" s="440"/>
      <c r="G53" s="440"/>
      <c r="H53" s="440"/>
      <c r="I53" s="440"/>
    </row>
    <row r="54" spans="2:16" ht="76.5" customHeight="1">
      <c r="B54" s="441"/>
      <c r="C54" s="440"/>
      <c r="D54" s="440"/>
      <c r="E54" s="440"/>
      <c r="F54" s="440"/>
      <c r="G54" s="440"/>
      <c r="H54" s="440"/>
      <c r="I54" s="440"/>
    </row>
    <row r="55" spans="2:16" ht="21.75" customHeight="1"/>
    <row r="56" spans="2:16" ht="21.75" customHeight="1">
      <c r="K56" s="438" t="s">
        <v>291</v>
      </c>
      <c r="L56" s="439">
        <v>777637</v>
      </c>
    </row>
    <row r="57" spans="2:16">
      <c r="K57" s="438" t="s">
        <v>292</v>
      </c>
      <c r="L57" s="437">
        <f>L56-E6</f>
        <v>32974</v>
      </c>
    </row>
    <row r="62" spans="2:16" ht="9" customHeight="1"/>
    <row r="63" spans="2:16">
      <c r="C63" s="436"/>
    </row>
    <row r="64" spans="2:16" ht="6" customHeight="1"/>
    <row r="65" ht="3" customHeight="1"/>
    <row r="97" spans="4:4">
      <c r="D97" s="435"/>
    </row>
    <row r="98" spans="4:4">
      <c r="D98" s="435"/>
    </row>
    <row r="99" spans="4:4">
      <c r="D99" s="435"/>
    </row>
    <row r="100" spans="4:4">
      <c r="D100" s="435"/>
    </row>
    <row r="101" spans="4:4">
      <c r="D101" s="435"/>
    </row>
    <row r="102" spans="4:4">
      <c r="D102" s="435"/>
    </row>
    <row r="103" spans="4:4">
      <c r="D103" s="435"/>
    </row>
    <row r="104" spans="4:4">
      <c r="D104" s="435"/>
    </row>
    <row r="105" spans="4:4">
      <c r="D105" s="435"/>
    </row>
    <row r="106" spans="4:4">
      <c r="D106" s="435"/>
    </row>
    <row r="107" spans="4:4">
      <c r="D107" s="435"/>
    </row>
    <row r="108" spans="4:4">
      <c r="D108" s="435"/>
    </row>
    <row r="109" spans="4:4">
      <c r="D109" s="435"/>
    </row>
    <row r="110" spans="4:4">
      <c r="D110" s="435"/>
    </row>
    <row r="111" spans="4:4">
      <c r="D111" s="435"/>
    </row>
    <row r="112" spans="4:4">
      <c r="D112" s="435"/>
    </row>
    <row r="113" spans="4:4">
      <c r="D113" s="435"/>
    </row>
    <row r="114" spans="4:4">
      <c r="D114" s="435"/>
    </row>
  </sheetData>
  <mergeCells count="19">
    <mergeCell ref="B42:H42"/>
    <mergeCell ref="C15:D15"/>
    <mergeCell ref="C16:D16"/>
    <mergeCell ref="D40:H40"/>
    <mergeCell ref="C18:D18"/>
    <mergeCell ref="C19:D19"/>
    <mergeCell ref="B20:B21"/>
    <mergeCell ref="D31:H31"/>
    <mergeCell ref="D35:H35"/>
    <mergeCell ref="C17:D17"/>
    <mergeCell ref="C10:D10"/>
    <mergeCell ref="B11:B12"/>
    <mergeCell ref="C11:C14"/>
    <mergeCell ref="B13:B14"/>
    <mergeCell ref="B5:D5"/>
    <mergeCell ref="B6:D6"/>
    <mergeCell ref="C7:D7"/>
    <mergeCell ref="B8:B9"/>
    <mergeCell ref="C8:C9"/>
  </mergeCells>
  <phoneticPr fontId="9"/>
  <printOptions horizontalCentered="1"/>
  <pageMargins left="0" right="0" top="0.39370078740157483" bottom="0.39370078740157483" header="0.39370078740157483" footer="0.19685039370078741"/>
  <pageSetup paperSize="9" scale="8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Z101"/>
  <sheetViews>
    <sheetView view="pageBreakPreview" topLeftCell="A60" zoomScale="66" zoomScaleNormal="100" zoomScaleSheetLayoutView="66" workbookViewId="0">
      <pane xSplit="1" topLeftCell="B1" activePane="topRight" state="frozen"/>
      <selection activeCell="S11" sqref="S11"/>
      <selection pane="topRight" activeCell="B48" sqref="B48"/>
    </sheetView>
  </sheetViews>
  <sheetFormatPr defaultColWidth="10.28515625" defaultRowHeight="13.5"/>
  <cols>
    <col min="1" max="1" width="17.28515625" style="129" bestFit="1" customWidth="1"/>
    <col min="2" max="2" width="10" style="129" customWidth="1"/>
    <col min="3" max="4" width="10" style="129" hidden="1" customWidth="1"/>
    <col min="5" max="8" width="10" style="129" customWidth="1"/>
    <col min="9" max="9" width="12" style="129" customWidth="1"/>
    <col min="10" max="12" width="12" style="129" bestFit="1" customWidth="1"/>
    <col min="13" max="18" width="12" style="129" customWidth="1"/>
    <col min="19" max="19" width="11.140625" style="129" customWidth="1"/>
    <col min="20" max="25" width="10.5703125" style="129" bestFit="1" customWidth="1"/>
    <col min="26" max="26" width="12.28515625" style="129" bestFit="1" customWidth="1"/>
    <col min="27" max="16384" width="10.28515625" style="129"/>
  </cols>
  <sheetData>
    <row r="1" spans="1:26">
      <c r="A1" s="129" t="s">
        <v>60</v>
      </c>
    </row>
    <row r="3" spans="1:26">
      <c r="A3" s="129" t="s">
        <v>61</v>
      </c>
    </row>
    <row r="4" spans="1:26" s="133" customFormat="1">
      <c r="A4" s="130"/>
      <c r="B4" s="131" t="s">
        <v>48</v>
      </c>
      <c r="C4" s="131" t="s">
        <v>62</v>
      </c>
      <c r="D4" s="131" t="s">
        <v>49</v>
      </c>
      <c r="E4" s="131" t="s">
        <v>63</v>
      </c>
      <c r="F4" s="131" t="s">
        <v>50</v>
      </c>
      <c r="G4" s="131" t="s">
        <v>64</v>
      </c>
      <c r="H4" s="131" t="s">
        <v>51</v>
      </c>
      <c r="I4" s="131" t="s">
        <v>65</v>
      </c>
      <c r="J4" s="131" t="s">
        <v>52</v>
      </c>
      <c r="K4" s="131" t="s">
        <v>53</v>
      </c>
      <c r="L4" s="131" t="s">
        <v>66</v>
      </c>
      <c r="M4" s="132" t="s">
        <v>89</v>
      </c>
      <c r="N4" s="132" t="s">
        <v>104</v>
      </c>
      <c r="O4" s="132" t="s">
        <v>109</v>
      </c>
      <c r="P4" s="132" t="s">
        <v>112</v>
      </c>
      <c r="Q4" s="132" t="s">
        <v>145</v>
      </c>
      <c r="R4" s="132" t="s">
        <v>152</v>
      </c>
      <c r="S4" s="132" t="s">
        <v>168</v>
      </c>
      <c r="T4" s="132" t="s">
        <v>174</v>
      </c>
      <c r="U4" s="132" t="s">
        <v>180</v>
      </c>
      <c r="V4" s="132" t="s">
        <v>206</v>
      </c>
      <c r="W4" s="132" t="s">
        <v>211</v>
      </c>
      <c r="X4" s="132" t="s">
        <v>231</v>
      </c>
      <c r="Y4" s="132" t="s">
        <v>287</v>
      </c>
      <c r="Z4" s="132" t="s">
        <v>362</v>
      </c>
    </row>
    <row r="5" spans="1:26" s="133" customFormat="1">
      <c r="A5" s="134" t="s">
        <v>67</v>
      </c>
      <c r="B5" s="135">
        <v>777637</v>
      </c>
      <c r="C5" s="135">
        <v>775187</v>
      </c>
      <c r="D5" s="135">
        <v>738656</v>
      </c>
      <c r="E5" s="135">
        <v>712955</v>
      </c>
      <c r="F5" s="135">
        <v>686522</v>
      </c>
      <c r="G5" s="135">
        <v>665501</v>
      </c>
      <c r="H5" s="135">
        <v>635039</v>
      </c>
      <c r="I5" s="135">
        <v>613049</v>
      </c>
      <c r="J5" s="135">
        <v>618500</v>
      </c>
      <c r="K5" s="135">
        <v>628573</v>
      </c>
      <c r="L5" s="135">
        <v>652624</v>
      </c>
      <c r="M5" s="136">
        <v>678485</v>
      </c>
      <c r="N5" s="136">
        <v>670787</v>
      </c>
      <c r="O5" s="136">
        <v>623613</v>
      </c>
      <c r="P5" s="136">
        <v>626018</v>
      </c>
      <c r="Q5" s="136">
        <v>636066</v>
      </c>
      <c r="R5" s="136">
        <v>627006</v>
      </c>
      <c r="S5" s="136">
        <v>641870</v>
      </c>
      <c r="T5" s="136">
        <v>659256</v>
      </c>
      <c r="U5" s="136">
        <v>660088</v>
      </c>
      <c r="V5" s="136">
        <v>659473</v>
      </c>
      <c r="W5" s="136">
        <v>675404</v>
      </c>
      <c r="X5" s="136">
        <v>737441</v>
      </c>
      <c r="Y5" s="136">
        <v>776114</v>
      </c>
      <c r="Z5" s="136">
        <v>744663</v>
      </c>
    </row>
    <row r="6" spans="1:26" s="133" customFormat="1">
      <c r="A6" s="134" t="s">
        <v>68</v>
      </c>
      <c r="B6" s="135">
        <v>12844</v>
      </c>
      <c r="C6" s="135">
        <v>3779</v>
      </c>
      <c r="D6" s="135">
        <v>15155</v>
      </c>
      <c r="E6" s="135">
        <v>58810</v>
      </c>
      <c r="F6" s="135">
        <v>76659</v>
      </c>
      <c r="G6" s="135">
        <v>79853</v>
      </c>
      <c r="H6" s="135">
        <v>84384</v>
      </c>
      <c r="I6" s="135">
        <v>80475</v>
      </c>
      <c r="J6" s="135">
        <v>72843</v>
      </c>
      <c r="K6" s="135">
        <v>60716</v>
      </c>
      <c r="L6" s="135">
        <v>47208</v>
      </c>
      <c r="M6" s="136">
        <v>10499</v>
      </c>
      <c r="N6" s="136">
        <v>16903</v>
      </c>
      <c r="O6" s="136">
        <v>38032</v>
      </c>
      <c r="P6" s="136">
        <v>47970</v>
      </c>
      <c r="Q6" s="136">
        <v>54195</v>
      </c>
      <c r="R6" s="136">
        <v>50172</v>
      </c>
      <c r="S6" s="136">
        <v>48640</v>
      </c>
      <c r="T6" s="136">
        <v>36787</v>
      </c>
      <c r="U6" s="136">
        <v>41891</v>
      </c>
      <c r="V6" s="136">
        <v>32905</v>
      </c>
      <c r="W6" s="136">
        <v>52770</v>
      </c>
      <c r="X6" s="136">
        <v>43642</v>
      </c>
      <c r="Y6" s="136">
        <v>44514</v>
      </c>
      <c r="Z6" s="136">
        <v>33867</v>
      </c>
    </row>
    <row r="7" spans="1:26" s="133" customFormat="1">
      <c r="A7" s="134" t="s">
        <v>69</v>
      </c>
      <c r="B7" s="135">
        <v>72801</v>
      </c>
      <c r="C7" s="135">
        <v>65665</v>
      </c>
      <c r="D7" s="135">
        <v>86341</v>
      </c>
      <c r="E7" s="135">
        <v>90488</v>
      </c>
      <c r="F7" s="135">
        <v>106576</v>
      </c>
      <c r="G7" s="135">
        <v>103628</v>
      </c>
      <c r="H7" s="135">
        <v>86693</v>
      </c>
      <c r="I7" s="135">
        <v>87878</v>
      </c>
      <c r="J7" s="135">
        <v>97431</v>
      </c>
      <c r="K7" s="135">
        <v>101895</v>
      </c>
      <c r="L7" s="135">
        <v>107866</v>
      </c>
      <c r="M7" s="136">
        <v>77359</v>
      </c>
      <c r="N7" s="136">
        <v>73366</v>
      </c>
      <c r="O7" s="136">
        <v>70908</v>
      </c>
      <c r="P7" s="136">
        <v>68134</v>
      </c>
      <c r="Q7" s="136">
        <v>67480</v>
      </c>
      <c r="R7" s="136">
        <v>64840</v>
      </c>
      <c r="S7" s="136">
        <f>6305+58065+1964+924</f>
        <v>67258</v>
      </c>
      <c r="T7" s="137">
        <f>5987+63133+1804+815</f>
        <v>71739</v>
      </c>
      <c r="U7" s="137">
        <f>6149+1622+87348+877</f>
        <v>95996</v>
      </c>
      <c r="V7" s="137">
        <v>86249</v>
      </c>
      <c r="W7" s="137">
        <v>137989</v>
      </c>
      <c r="X7" s="137">
        <v>95356</v>
      </c>
      <c r="Y7" s="137">
        <v>88300</v>
      </c>
      <c r="Z7" s="137">
        <v>106086</v>
      </c>
    </row>
    <row r="8" spans="1:26" s="133" customFormat="1">
      <c r="A8" s="134" t="s">
        <v>70</v>
      </c>
      <c r="B8" s="135">
        <v>219549</v>
      </c>
      <c r="C8" s="135">
        <v>229498</v>
      </c>
      <c r="D8" s="135">
        <v>250785</v>
      </c>
      <c r="E8" s="135">
        <v>278818</v>
      </c>
      <c r="F8" s="135">
        <v>247802</v>
      </c>
      <c r="G8" s="135">
        <v>254842</v>
      </c>
      <c r="H8" s="135">
        <v>250342</v>
      </c>
      <c r="I8" s="135">
        <v>263563</v>
      </c>
      <c r="J8" s="135">
        <v>273692</v>
      </c>
      <c r="K8" s="135">
        <v>273575</v>
      </c>
      <c r="L8" s="135">
        <v>252668</v>
      </c>
      <c r="M8" s="136">
        <v>257413</v>
      </c>
      <c r="N8" s="136">
        <v>258256</v>
      </c>
      <c r="O8" s="136">
        <v>345023</v>
      </c>
      <c r="P8" s="136">
        <v>333440</v>
      </c>
      <c r="Q8" s="136">
        <v>344384</v>
      </c>
      <c r="R8" s="136">
        <v>333309</v>
      </c>
      <c r="S8" s="136">
        <v>348442</v>
      </c>
      <c r="T8" s="137">
        <v>349428</v>
      </c>
      <c r="U8" s="137">
        <v>357597</v>
      </c>
      <c r="V8" s="137">
        <v>366554</v>
      </c>
      <c r="W8" s="137">
        <v>403887</v>
      </c>
      <c r="X8" s="137">
        <v>396685</v>
      </c>
      <c r="Y8" s="137">
        <v>421185</v>
      </c>
      <c r="Z8" s="137">
        <v>770142</v>
      </c>
    </row>
    <row r="9" spans="1:26" s="133" customFormat="1">
      <c r="A9" s="134" t="s">
        <v>71</v>
      </c>
      <c r="B9" s="135">
        <v>228236</v>
      </c>
      <c r="C9" s="135">
        <v>239120</v>
      </c>
      <c r="D9" s="135">
        <v>316678</v>
      </c>
      <c r="E9" s="135">
        <v>195979</v>
      </c>
      <c r="F9" s="135">
        <v>206034</v>
      </c>
      <c r="G9" s="135">
        <v>182995</v>
      </c>
      <c r="H9" s="135">
        <v>169411</v>
      </c>
      <c r="I9" s="135">
        <v>133221</v>
      </c>
      <c r="J9" s="135">
        <v>121194</v>
      </c>
      <c r="K9" s="135">
        <v>117210</v>
      </c>
      <c r="L9" s="135">
        <v>90315</v>
      </c>
      <c r="M9" s="136">
        <v>67958</v>
      </c>
      <c r="N9" s="136">
        <v>64878</v>
      </c>
      <c r="O9" s="136">
        <v>50198</v>
      </c>
      <c r="P9" s="136">
        <v>33538</v>
      </c>
      <c r="Q9" s="668">
        <v>164084</v>
      </c>
      <c r="R9" s="668">
        <v>129579</v>
      </c>
      <c r="S9" s="668">
        <v>154833</v>
      </c>
      <c r="T9" s="664">
        <v>121124</v>
      </c>
      <c r="U9" s="664">
        <v>101857</v>
      </c>
      <c r="V9" s="664">
        <v>91432</v>
      </c>
      <c r="W9" s="664">
        <v>117973</v>
      </c>
      <c r="X9" s="664">
        <v>103599</v>
      </c>
      <c r="Y9" s="664">
        <v>100265</v>
      </c>
      <c r="Z9" s="664">
        <v>108576</v>
      </c>
    </row>
    <row r="10" spans="1:26" s="133" customFormat="1">
      <c r="A10" s="134" t="s">
        <v>72</v>
      </c>
      <c r="B10" s="135">
        <v>57633</v>
      </c>
      <c r="C10" s="135">
        <v>70028</v>
      </c>
      <c r="D10" s="135">
        <v>90586</v>
      </c>
      <c r="E10" s="135">
        <v>66805</v>
      </c>
      <c r="F10" s="135">
        <v>38553</v>
      </c>
      <c r="G10" s="135">
        <v>49494</v>
      </c>
      <c r="H10" s="135">
        <v>81705</v>
      </c>
      <c r="I10" s="135">
        <v>109678</v>
      </c>
      <c r="J10" s="135">
        <v>96554</v>
      </c>
      <c r="K10" s="135">
        <v>69787</v>
      </c>
      <c r="L10" s="135">
        <v>51873</v>
      </c>
      <c r="M10" s="136">
        <v>73058</v>
      </c>
      <c r="N10" s="136">
        <v>80197</v>
      </c>
      <c r="O10" s="136">
        <v>104121</v>
      </c>
      <c r="P10" s="136">
        <v>113831</v>
      </c>
      <c r="Q10" s="669"/>
      <c r="R10" s="669"/>
      <c r="S10" s="669"/>
      <c r="T10" s="665"/>
      <c r="U10" s="665"/>
      <c r="V10" s="665"/>
      <c r="W10" s="665"/>
      <c r="X10" s="665"/>
      <c r="Y10" s="665"/>
      <c r="Z10" s="665"/>
    </row>
    <row r="11" spans="1:26" s="133" customFormat="1">
      <c r="A11" s="134" t="s">
        <v>73</v>
      </c>
      <c r="B11" s="135">
        <v>489083</v>
      </c>
      <c r="C11" s="135">
        <v>477612</v>
      </c>
      <c r="D11" s="135">
        <f>D12-D5-D6-D7-D8-D9-D10</f>
        <v>487374</v>
      </c>
      <c r="E11" s="135">
        <f t="shared" ref="E11:J11" si="0">E12-E5-E6-E7-E8-E9-E10</f>
        <v>506475</v>
      </c>
      <c r="F11" s="135">
        <f t="shared" si="0"/>
        <v>507486</v>
      </c>
      <c r="G11" s="135">
        <f t="shared" si="0"/>
        <v>525814</v>
      </c>
      <c r="H11" s="135">
        <f t="shared" si="0"/>
        <v>483132</v>
      </c>
      <c r="I11" s="135">
        <f t="shared" si="0"/>
        <v>434793</v>
      </c>
      <c r="J11" s="135">
        <f t="shared" si="0"/>
        <v>423651</v>
      </c>
      <c r="K11" s="135">
        <f>K12-K5-K6-K7-K8-K9-K10</f>
        <v>414619</v>
      </c>
      <c r="L11" s="135">
        <f>L12-L5-L6-L7-L8-L9-L10</f>
        <v>387952</v>
      </c>
      <c r="M11" s="135">
        <f>M12-M5-M6-M7-M8-M9-M10</f>
        <v>412513</v>
      </c>
      <c r="N11" s="135">
        <v>390734</v>
      </c>
      <c r="O11" s="135">
        <v>439752</v>
      </c>
      <c r="P11" s="135">
        <v>419712</v>
      </c>
      <c r="Q11" s="135">
        <v>384947</v>
      </c>
      <c r="R11" s="135">
        <v>495875</v>
      </c>
      <c r="S11" s="138">
        <f>61828+53265+47472+1526+251556-924</f>
        <v>414723</v>
      </c>
      <c r="T11" s="138">
        <f>62205+56187+50918+25364+208965-815</f>
        <v>402824</v>
      </c>
      <c r="U11" s="138">
        <f>U12-SUM(U5:U10)</f>
        <v>374554</v>
      </c>
      <c r="V11" s="138">
        <f>V12-SUM(V5:V10)</f>
        <v>338225</v>
      </c>
      <c r="W11" s="138">
        <f>W12-SUM(W5:W10)</f>
        <v>354794</v>
      </c>
      <c r="X11" s="138">
        <v>384415</v>
      </c>
      <c r="Y11" s="138">
        <v>333836</v>
      </c>
      <c r="Z11" s="138">
        <v>279351</v>
      </c>
    </row>
    <row r="12" spans="1:26" s="133" customFormat="1">
      <c r="A12" s="134" t="s">
        <v>74</v>
      </c>
      <c r="B12" s="135">
        <v>1857783</v>
      </c>
      <c r="C12" s="135">
        <v>1860889</v>
      </c>
      <c r="D12" s="135">
        <v>1985575</v>
      </c>
      <c r="E12" s="135">
        <v>1910330</v>
      </c>
      <c r="F12" s="135">
        <v>1869632</v>
      </c>
      <c r="G12" s="135">
        <v>1862127</v>
      </c>
      <c r="H12" s="135">
        <v>1790706</v>
      </c>
      <c r="I12" s="135">
        <v>1722657</v>
      </c>
      <c r="J12" s="135">
        <v>1703865</v>
      </c>
      <c r="K12" s="135">
        <v>1666375</v>
      </c>
      <c r="L12" s="135">
        <v>1590506</v>
      </c>
      <c r="M12" s="136">
        <v>1577285</v>
      </c>
      <c r="N12" s="136">
        <v>1555121</v>
      </c>
      <c r="O12" s="136">
        <v>1671647</v>
      </c>
      <c r="P12" s="136">
        <v>1642643</v>
      </c>
      <c r="Q12" s="136">
        <v>1651156</v>
      </c>
      <c r="R12" s="136">
        <v>1700781</v>
      </c>
      <c r="S12" s="136">
        <v>1675766</v>
      </c>
      <c r="T12" s="136">
        <v>1641158</v>
      </c>
      <c r="U12" s="136">
        <v>1631983</v>
      </c>
      <c r="V12" s="136">
        <v>1574838</v>
      </c>
      <c r="W12" s="136">
        <v>1742817</v>
      </c>
      <c r="X12" s="136">
        <v>1761138</v>
      </c>
      <c r="Y12" s="136">
        <v>1764214</v>
      </c>
      <c r="Z12" s="136">
        <v>2042685</v>
      </c>
    </row>
    <row r="13" spans="1:26">
      <c r="B13" s="139">
        <f>SUM(B5:B11)-B12</f>
        <v>0</v>
      </c>
      <c r="C13" s="139">
        <f t="shared" ref="C13:O13" si="1">SUM(C5:C11)-C12</f>
        <v>0</v>
      </c>
      <c r="D13" s="139">
        <f t="shared" si="1"/>
        <v>0</v>
      </c>
      <c r="E13" s="139">
        <f t="shared" si="1"/>
        <v>0</v>
      </c>
      <c r="F13" s="139">
        <f t="shared" si="1"/>
        <v>0</v>
      </c>
      <c r="G13" s="139">
        <f t="shared" si="1"/>
        <v>0</v>
      </c>
      <c r="H13" s="139">
        <f t="shared" si="1"/>
        <v>0</v>
      </c>
      <c r="I13" s="139">
        <f t="shared" si="1"/>
        <v>0</v>
      </c>
      <c r="J13" s="139">
        <f t="shared" si="1"/>
        <v>0</v>
      </c>
      <c r="K13" s="139">
        <f t="shared" si="1"/>
        <v>0</v>
      </c>
      <c r="L13" s="139">
        <f t="shared" si="1"/>
        <v>0</v>
      </c>
      <c r="M13" s="139">
        <f t="shared" si="1"/>
        <v>0</v>
      </c>
      <c r="N13" s="139">
        <f t="shared" si="1"/>
        <v>0</v>
      </c>
      <c r="O13" s="139">
        <f t="shared" si="1"/>
        <v>0</v>
      </c>
      <c r="P13" s="139">
        <f t="shared" ref="P13:U13" si="2">SUM(P5:P11)-P12</f>
        <v>0</v>
      </c>
      <c r="Q13" s="139">
        <f t="shared" si="2"/>
        <v>0</v>
      </c>
      <c r="R13" s="139">
        <f t="shared" si="2"/>
        <v>0</v>
      </c>
      <c r="S13" s="139">
        <f t="shared" si="2"/>
        <v>0</v>
      </c>
      <c r="T13" s="139">
        <f t="shared" si="2"/>
        <v>0</v>
      </c>
      <c r="U13" s="139">
        <f t="shared" si="2"/>
        <v>0</v>
      </c>
      <c r="V13" s="139">
        <f>SUM(V5:V11)-V12</f>
        <v>0</v>
      </c>
      <c r="W13" s="139">
        <f>SUM(W5:W11)-W12</f>
        <v>0</v>
      </c>
      <c r="X13" s="139">
        <f>SUM(X5:X11)-X12</f>
        <v>0</v>
      </c>
      <c r="Y13" s="139">
        <f>SUM(Y5:Y11)-Y12</f>
        <v>0</v>
      </c>
      <c r="Z13" s="139">
        <f>SUM(Z5:Z11)-Z12</f>
        <v>0</v>
      </c>
    </row>
    <row r="14" spans="1:26">
      <c r="A14" s="140" t="s">
        <v>75</v>
      </c>
      <c r="B14" s="135">
        <v>285869</v>
      </c>
      <c r="C14" s="135">
        <v>309148</v>
      </c>
      <c r="D14" s="135">
        <v>407264</v>
      </c>
      <c r="E14" s="135">
        <v>262784</v>
      </c>
      <c r="F14" s="135">
        <v>244587</v>
      </c>
      <c r="G14" s="135">
        <v>232489</v>
      </c>
      <c r="H14" s="135">
        <v>251116</v>
      </c>
      <c r="I14" s="135">
        <v>242899</v>
      </c>
      <c r="J14" s="135">
        <v>217748</v>
      </c>
      <c r="K14" s="135">
        <v>186997</v>
      </c>
      <c r="L14" s="135">
        <f>90315+51873</f>
        <v>142188</v>
      </c>
      <c r="M14" s="135">
        <f>67958+73058</f>
        <v>141016</v>
      </c>
      <c r="N14" s="135">
        <f>64878+80197</f>
        <v>145075</v>
      </c>
      <c r="O14" s="135">
        <v>154319</v>
      </c>
      <c r="P14" s="135">
        <v>147369</v>
      </c>
      <c r="Q14" s="141" t="s">
        <v>59</v>
      </c>
      <c r="R14" s="141" t="s">
        <v>237</v>
      </c>
      <c r="S14" s="141" t="s">
        <v>59</v>
      </c>
      <c r="T14" s="141" t="s">
        <v>237</v>
      </c>
      <c r="U14" s="141" t="s">
        <v>59</v>
      </c>
      <c r="V14" s="141" t="s">
        <v>237</v>
      </c>
      <c r="W14" s="141" t="s">
        <v>237</v>
      </c>
      <c r="X14" s="141" t="s">
        <v>59</v>
      </c>
      <c r="Y14" s="141" t="s">
        <v>59</v>
      </c>
      <c r="Z14" s="141" t="s">
        <v>59</v>
      </c>
    </row>
    <row r="15" spans="1:26">
      <c r="A15" s="140"/>
      <c r="B15" s="142">
        <f>B14-B9-B10</f>
        <v>0</v>
      </c>
      <c r="C15" s="142">
        <f t="shared" ref="C15:K15" si="3">C14-C9-C10</f>
        <v>0</v>
      </c>
      <c r="D15" s="142">
        <f t="shared" si="3"/>
        <v>0</v>
      </c>
      <c r="E15" s="142">
        <f t="shared" si="3"/>
        <v>0</v>
      </c>
      <c r="F15" s="142">
        <f t="shared" si="3"/>
        <v>0</v>
      </c>
      <c r="G15" s="142">
        <f t="shared" si="3"/>
        <v>0</v>
      </c>
      <c r="H15" s="142">
        <f t="shared" si="3"/>
        <v>0</v>
      </c>
      <c r="I15" s="142">
        <f t="shared" si="3"/>
        <v>0</v>
      </c>
      <c r="J15" s="142">
        <f t="shared" si="3"/>
        <v>0</v>
      </c>
      <c r="K15" s="142">
        <f t="shared" si="3"/>
        <v>0</v>
      </c>
      <c r="L15" s="142">
        <f>L14-L9-L10</f>
        <v>0</v>
      </c>
      <c r="M15" s="142">
        <f>M14-M9-M10</f>
        <v>0</v>
      </c>
      <c r="N15" s="142">
        <f>N14-N9-N10</f>
        <v>0</v>
      </c>
      <c r="O15" s="142">
        <f>O14-O9-O10</f>
        <v>0</v>
      </c>
      <c r="P15" s="142">
        <f>P14-P9-P10</f>
        <v>0</v>
      </c>
      <c r="Q15" s="142"/>
      <c r="R15" s="142"/>
      <c r="S15" s="142"/>
    </row>
    <row r="16" spans="1:26">
      <c r="B16" s="139"/>
      <c r="C16" s="139"/>
      <c r="D16" s="139"/>
      <c r="E16" s="139"/>
      <c r="F16" s="139"/>
      <c r="G16" s="139"/>
      <c r="H16" s="139"/>
      <c r="I16" s="139"/>
      <c r="J16" s="139"/>
      <c r="K16" s="139"/>
      <c r="L16" s="139"/>
    </row>
    <row r="17" spans="1:26" ht="13.5" hidden="1" customHeight="1">
      <c r="A17" s="670" t="s">
        <v>76</v>
      </c>
      <c r="B17" s="670"/>
      <c r="C17" s="670"/>
      <c r="D17" s="670"/>
    </row>
    <row r="18" spans="1:26" ht="13.5" hidden="1" customHeight="1">
      <c r="A18" s="130"/>
      <c r="B18" s="131" t="s">
        <v>48</v>
      </c>
      <c r="C18" s="131" t="s">
        <v>62</v>
      </c>
      <c r="D18" s="131" t="s">
        <v>49</v>
      </c>
      <c r="E18" s="131" t="s">
        <v>63</v>
      </c>
      <c r="F18" s="131" t="s">
        <v>50</v>
      </c>
      <c r="G18" s="131" t="s">
        <v>64</v>
      </c>
      <c r="H18" s="131" t="s">
        <v>51</v>
      </c>
      <c r="I18" s="131" t="s">
        <v>65</v>
      </c>
      <c r="J18" s="131" t="s">
        <v>52</v>
      </c>
      <c r="K18" s="131" t="s">
        <v>53</v>
      </c>
      <c r="L18" s="131" t="s">
        <v>66</v>
      </c>
    </row>
    <row r="19" spans="1:26" ht="13.5" hidden="1" customHeight="1">
      <c r="A19" s="134" t="s">
        <v>67</v>
      </c>
      <c r="B19" s="135">
        <v>777637</v>
      </c>
      <c r="C19" s="135">
        <v>775187</v>
      </c>
      <c r="D19" s="135">
        <v>738656</v>
      </c>
      <c r="E19" s="135">
        <v>712955</v>
      </c>
      <c r="F19" s="135">
        <v>686522</v>
      </c>
      <c r="G19" s="135">
        <v>665501</v>
      </c>
      <c r="H19" s="135">
        <v>635039</v>
      </c>
      <c r="I19" s="135">
        <v>613049</v>
      </c>
      <c r="J19" s="135">
        <v>618500</v>
      </c>
      <c r="K19" s="135">
        <v>628573</v>
      </c>
      <c r="L19" s="135">
        <v>652624</v>
      </c>
    </row>
    <row r="20" spans="1:26" ht="13.5" hidden="1" customHeight="1">
      <c r="A20" s="134" t="s">
        <v>68</v>
      </c>
      <c r="B20" s="135">
        <v>12844</v>
      </c>
      <c r="C20" s="135">
        <v>3779</v>
      </c>
      <c r="D20" s="135">
        <v>15155</v>
      </c>
      <c r="E20" s="135">
        <v>58810</v>
      </c>
      <c r="F20" s="135">
        <v>76659</v>
      </c>
      <c r="G20" s="135">
        <v>79853</v>
      </c>
      <c r="H20" s="135">
        <v>84384</v>
      </c>
      <c r="I20" s="135">
        <v>80475</v>
      </c>
      <c r="J20" s="135">
        <v>72843</v>
      </c>
      <c r="K20" s="135">
        <v>60716</v>
      </c>
      <c r="L20" s="135">
        <v>47208</v>
      </c>
    </row>
    <row r="21" spans="1:26" ht="13.5" hidden="1" customHeight="1">
      <c r="A21" s="134" t="s">
        <v>77</v>
      </c>
      <c r="B21" s="135" t="s">
        <v>237</v>
      </c>
      <c r="C21" s="135" t="s">
        <v>237</v>
      </c>
      <c r="D21" s="135" t="s">
        <v>59</v>
      </c>
      <c r="E21" s="135" t="s">
        <v>59</v>
      </c>
      <c r="F21" s="135" t="s">
        <v>59</v>
      </c>
      <c r="G21" s="135">
        <v>15666</v>
      </c>
      <c r="H21" s="135">
        <v>36732</v>
      </c>
      <c r="I21" s="135">
        <v>61138</v>
      </c>
      <c r="J21" s="135">
        <v>44086</v>
      </c>
      <c r="K21" s="135">
        <v>33826</v>
      </c>
      <c r="L21" s="135">
        <v>30150</v>
      </c>
    </row>
    <row r="22" spans="1:26" ht="13.5" hidden="1" customHeight="1">
      <c r="A22" s="134" t="s">
        <v>74</v>
      </c>
      <c r="B22" s="135">
        <f>SUM(B19:B21)</f>
        <v>790481</v>
      </c>
      <c r="C22" s="135">
        <f t="shared" ref="C22:L22" si="4">SUM(C19:C21)</f>
        <v>778966</v>
      </c>
      <c r="D22" s="135">
        <f t="shared" si="4"/>
        <v>753811</v>
      </c>
      <c r="E22" s="135">
        <f t="shared" si="4"/>
        <v>771765</v>
      </c>
      <c r="F22" s="135">
        <f t="shared" si="4"/>
        <v>763181</v>
      </c>
      <c r="G22" s="135">
        <f t="shared" si="4"/>
        <v>761020</v>
      </c>
      <c r="H22" s="135">
        <f t="shared" si="4"/>
        <v>756155</v>
      </c>
      <c r="I22" s="135">
        <f t="shared" si="4"/>
        <v>754662</v>
      </c>
      <c r="J22" s="135">
        <f t="shared" si="4"/>
        <v>735429</v>
      </c>
      <c r="K22" s="135">
        <f t="shared" si="4"/>
        <v>723115</v>
      </c>
      <c r="L22" s="135">
        <f t="shared" si="4"/>
        <v>729982</v>
      </c>
    </row>
    <row r="23" spans="1:26" ht="13.5" hidden="1" customHeight="1">
      <c r="B23" s="143"/>
      <c r="C23" s="143"/>
      <c r="D23" s="143"/>
      <c r="E23" s="143"/>
      <c r="F23" s="143"/>
      <c r="G23" s="143"/>
      <c r="H23" s="143"/>
      <c r="I23" s="143"/>
      <c r="J23" s="143"/>
      <c r="K23" s="143"/>
      <c r="L23" s="143"/>
    </row>
    <row r="24" spans="1:26">
      <c r="A24" s="670" t="s">
        <v>78</v>
      </c>
      <c r="B24" s="670"/>
      <c r="C24" s="670"/>
      <c r="D24" s="670"/>
    </row>
    <row r="25" spans="1:26">
      <c r="A25" s="130"/>
      <c r="B25" s="131" t="s">
        <v>48</v>
      </c>
      <c r="C25" s="131" t="s">
        <v>62</v>
      </c>
      <c r="D25" s="131" t="s">
        <v>49</v>
      </c>
      <c r="E25" s="131" t="s">
        <v>63</v>
      </c>
      <c r="F25" s="131" t="s">
        <v>50</v>
      </c>
      <c r="G25" s="131" t="s">
        <v>64</v>
      </c>
      <c r="H25" s="131" t="s">
        <v>51</v>
      </c>
      <c r="I25" s="131" t="s">
        <v>65</v>
      </c>
      <c r="J25" s="131" t="s">
        <v>52</v>
      </c>
      <c r="K25" s="131" t="s">
        <v>53</v>
      </c>
      <c r="L25" s="131" t="s">
        <v>233</v>
      </c>
      <c r="M25" s="144" t="s">
        <v>169</v>
      </c>
      <c r="N25" s="144" t="s">
        <v>105</v>
      </c>
      <c r="O25" s="144" t="s">
        <v>108</v>
      </c>
      <c r="P25" s="144" t="s">
        <v>113</v>
      </c>
      <c r="Q25" s="144" t="s">
        <v>144</v>
      </c>
      <c r="R25" s="132" t="s">
        <v>152</v>
      </c>
      <c r="S25" s="132" t="s">
        <v>170</v>
      </c>
      <c r="T25" s="132" t="s">
        <v>175</v>
      </c>
      <c r="U25" s="132" t="s">
        <v>181</v>
      </c>
      <c r="V25" s="132" t="s">
        <v>206</v>
      </c>
      <c r="W25" s="132" t="s">
        <v>211</v>
      </c>
      <c r="X25" s="132" t="s">
        <v>231</v>
      </c>
      <c r="Y25" s="132" t="s">
        <v>287</v>
      </c>
      <c r="Z25" s="132" t="s">
        <v>287</v>
      </c>
    </row>
    <row r="26" spans="1:26">
      <c r="A26" s="134" t="s">
        <v>67</v>
      </c>
      <c r="B26" s="145">
        <f t="shared" ref="B26:N32" si="5">B5/B$12*100</f>
        <v>41.858333292962634</v>
      </c>
      <c r="C26" s="145">
        <f t="shared" si="5"/>
        <v>41.656810266490908</v>
      </c>
      <c r="D26" s="145">
        <f t="shared" si="5"/>
        <v>37.201113027712374</v>
      </c>
      <c r="E26" s="145">
        <f t="shared" si="5"/>
        <v>37.32103877340564</v>
      </c>
      <c r="F26" s="145">
        <f t="shared" si="5"/>
        <v>36.719632526614866</v>
      </c>
      <c r="G26" s="145">
        <f t="shared" si="5"/>
        <v>35.738754660664931</v>
      </c>
      <c r="H26" s="145">
        <f t="shared" si="5"/>
        <v>35.463052002953027</v>
      </c>
      <c r="I26" s="145">
        <f t="shared" si="5"/>
        <v>35.587409449472531</v>
      </c>
      <c r="J26" s="145">
        <f>J5/J$12*100</f>
        <v>36.29982422316322</v>
      </c>
      <c r="K26" s="145">
        <f>K5/K$12*100</f>
        <v>37.720981171705048</v>
      </c>
      <c r="L26" s="145">
        <f>L5/L$12*100</f>
        <v>41.032476457177779</v>
      </c>
      <c r="M26" s="145">
        <f>M5/M$12*100</f>
        <v>43.016005350967006</v>
      </c>
      <c r="N26" s="145">
        <f>N5/N$12*100</f>
        <v>43.134071239472682</v>
      </c>
      <c r="O26" s="146">
        <f t="shared" ref="O26:Y32" si="6">O5/O$12*100</f>
        <v>37.305304289721455</v>
      </c>
      <c r="P26" s="146">
        <f t="shared" si="6"/>
        <v>38.110411087497404</v>
      </c>
      <c r="Q26" s="146">
        <f t="shared" si="6"/>
        <v>38.522465472674902</v>
      </c>
      <c r="R26" s="146">
        <f t="shared" si="6"/>
        <v>36.865769314215058</v>
      </c>
      <c r="S26" s="146">
        <f t="shared" si="6"/>
        <v>38.303080501692961</v>
      </c>
      <c r="T26" s="146">
        <f t="shared" si="6"/>
        <v>40.170172524522322</v>
      </c>
      <c r="U26" s="146">
        <f t="shared" si="6"/>
        <v>40.44698995026296</v>
      </c>
      <c r="V26" s="146">
        <f t="shared" si="6"/>
        <v>41.875608792777413</v>
      </c>
      <c r="W26" s="146">
        <f t="shared" si="6"/>
        <v>38.753581127565319</v>
      </c>
      <c r="X26" s="146">
        <f t="shared" ref="X26" si="7">X5/X$12*100</f>
        <v>41.872982128600938</v>
      </c>
      <c r="Y26" s="146">
        <f t="shared" si="6"/>
        <v>43.992055385571135</v>
      </c>
      <c r="Z26" s="146">
        <f t="shared" ref="Z26" si="8">Z5/Z$12*100</f>
        <v>36.455106881384062</v>
      </c>
    </row>
    <row r="27" spans="1:26">
      <c r="A27" s="134" t="s">
        <v>68</v>
      </c>
      <c r="B27" s="145">
        <f t="shared" si="5"/>
        <v>0.69136169294260952</v>
      </c>
      <c r="C27" s="145">
        <f t="shared" si="5"/>
        <v>0.20307498190381049</v>
      </c>
      <c r="D27" s="145">
        <f t="shared" si="5"/>
        <v>0.76325497651813701</v>
      </c>
      <c r="E27" s="145">
        <f t="shared" si="5"/>
        <v>3.0785256997482113</v>
      </c>
      <c r="F27" s="145">
        <f t="shared" si="5"/>
        <v>4.1002186526546396</v>
      </c>
      <c r="G27" s="145">
        <f t="shared" si="5"/>
        <v>4.28826820082626</v>
      </c>
      <c r="H27" s="145">
        <f t="shared" si="5"/>
        <v>4.7123313374724827</v>
      </c>
      <c r="I27" s="145">
        <f t="shared" si="5"/>
        <v>4.6715625919727488</v>
      </c>
      <c r="J27" s="145">
        <f t="shared" si="5"/>
        <v>4.275162644927855</v>
      </c>
      <c r="K27" s="145">
        <f t="shared" si="5"/>
        <v>3.6435976295851775</v>
      </c>
      <c r="L27" s="145">
        <f t="shared" si="5"/>
        <v>2.9681120347864138</v>
      </c>
      <c r="M27" s="145">
        <f t="shared" si="5"/>
        <v>0.66563747198508838</v>
      </c>
      <c r="N27" s="145">
        <f t="shared" si="5"/>
        <v>1.0869250688531631</v>
      </c>
      <c r="O27" s="146">
        <f t="shared" si="6"/>
        <v>2.275121481987525</v>
      </c>
      <c r="P27" s="146">
        <f t="shared" si="6"/>
        <v>2.9202936974132543</v>
      </c>
      <c r="Q27" s="146">
        <f t="shared" si="6"/>
        <v>3.2822458931802934</v>
      </c>
      <c r="R27" s="146">
        <f t="shared" si="6"/>
        <v>2.9499388810199552</v>
      </c>
      <c r="S27" s="146">
        <f t="shared" si="6"/>
        <v>2.9025532204376985</v>
      </c>
      <c r="T27" s="146">
        <f t="shared" si="6"/>
        <v>2.2415270193363463</v>
      </c>
      <c r="U27" s="146">
        <f t="shared" si="6"/>
        <v>2.5668772285005423</v>
      </c>
      <c r="V27" s="146">
        <f t="shared" si="6"/>
        <v>2.0894212611074918</v>
      </c>
      <c r="W27" s="146">
        <f t="shared" si="6"/>
        <v>3.0278566252222694</v>
      </c>
      <c r="X27" s="146">
        <f t="shared" ref="X27" si="9">X6/X$12*100</f>
        <v>2.4780568019087656</v>
      </c>
      <c r="Y27" s="146">
        <f t="shared" si="6"/>
        <v>2.5231632897142866</v>
      </c>
      <c r="Z27" s="146">
        <f t="shared" ref="Z27" si="10">Z6/Z$12*100</f>
        <v>1.6579648844535499</v>
      </c>
    </row>
    <row r="28" spans="1:26">
      <c r="A28" s="134" t="s">
        <v>69</v>
      </c>
      <c r="B28" s="145">
        <f t="shared" si="5"/>
        <v>3.9187030993393739</v>
      </c>
      <c r="C28" s="145">
        <f t="shared" si="5"/>
        <v>3.5286897821417611</v>
      </c>
      <c r="D28" s="145">
        <f t="shared" si="5"/>
        <v>4.3484129282449668</v>
      </c>
      <c r="E28" s="145">
        <f t="shared" si="5"/>
        <v>4.736773227662237</v>
      </c>
      <c r="F28" s="145">
        <f t="shared" si="5"/>
        <v>5.7003731215554723</v>
      </c>
      <c r="G28" s="145">
        <f t="shared" si="5"/>
        <v>5.5650339638488671</v>
      </c>
      <c r="H28" s="145">
        <f t="shared" si="5"/>
        <v>4.841274893812832</v>
      </c>
      <c r="I28" s="145">
        <f t="shared" si="5"/>
        <v>5.1013057155312982</v>
      </c>
      <c r="J28" s="145">
        <f t="shared" si="5"/>
        <v>5.7182347192999448</v>
      </c>
      <c r="K28" s="145">
        <f t="shared" si="5"/>
        <v>6.1147700847648343</v>
      </c>
      <c r="L28" s="145">
        <f t="shared" si="5"/>
        <v>6.781866902734099</v>
      </c>
      <c r="M28" s="145">
        <f t="shared" si="5"/>
        <v>4.9045670249828026</v>
      </c>
      <c r="N28" s="145">
        <f t="shared" si="5"/>
        <v>4.7177036384950108</v>
      </c>
      <c r="O28" s="146">
        <f t="shared" si="6"/>
        <v>4.2418046393766149</v>
      </c>
      <c r="P28" s="146">
        <f t="shared" si="6"/>
        <v>4.1478276168345767</v>
      </c>
      <c r="Q28" s="146">
        <f t="shared" si="6"/>
        <v>4.0868337092315929</v>
      </c>
      <c r="R28" s="146">
        <f t="shared" si="6"/>
        <v>3.8123662011746369</v>
      </c>
      <c r="S28" s="146">
        <f t="shared" si="6"/>
        <v>4.0135675267310589</v>
      </c>
      <c r="T28" s="146">
        <f t="shared" si="6"/>
        <v>4.3712427444523927</v>
      </c>
      <c r="U28" s="146">
        <f t="shared" si="6"/>
        <v>5.8821691157322098</v>
      </c>
      <c r="V28" s="146">
        <f t="shared" si="6"/>
        <v>5.4766903008436421</v>
      </c>
      <c r="W28" s="146">
        <f t="shared" si="6"/>
        <v>7.9175840033692575</v>
      </c>
      <c r="X28" s="146">
        <f t="shared" ref="X28" si="11">X7/X$12*100</f>
        <v>5.4144536089732886</v>
      </c>
      <c r="Y28" s="146">
        <f t="shared" si="6"/>
        <v>5.0050617442101695</v>
      </c>
      <c r="Z28" s="146">
        <f t="shared" ref="Z28" si="12">Z7/Z$12*100</f>
        <v>5.1934586096240976</v>
      </c>
    </row>
    <row r="29" spans="1:26">
      <c r="A29" s="134" t="s">
        <v>70</v>
      </c>
      <c r="B29" s="145">
        <f t="shared" si="5"/>
        <v>11.817795727488086</v>
      </c>
      <c r="C29" s="145">
        <f t="shared" si="5"/>
        <v>12.33270764672154</v>
      </c>
      <c r="D29" s="145">
        <f t="shared" si="5"/>
        <v>12.630346373216828</v>
      </c>
      <c r="E29" s="145">
        <f t="shared" si="5"/>
        <v>14.59527934964116</v>
      </c>
      <c r="F29" s="145">
        <f t="shared" si="5"/>
        <v>13.254052134323761</v>
      </c>
      <c r="G29" s="145">
        <f t="shared" si="5"/>
        <v>13.685532726822608</v>
      </c>
      <c r="H29" s="145">
        <f t="shared" si="5"/>
        <v>13.980072664077744</v>
      </c>
      <c r="I29" s="145">
        <f t="shared" si="5"/>
        <v>15.299795606438193</v>
      </c>
      <c r="J29" s="145">
        <f t="shared" si="5"/>
        <v>16.063009686800303</v>
      </c>
      <c r="K29" s="145">
        <f t="shared" si="5"/>
        <v>16.417373040282047</v>
      </c>
      <c r="L29" s="145">
        <f t="shared" si="5"/>
        <v>15.88601363339717</v>
      </c>
      <c r="M29" s="145">
        <f t="shared" si="5"/>
        <v>16.320005579207308</v>
      </c>
      <c r="N29" s="145">
        <f t="shared" si="5"/>
        <v>16.606810659749303</v>
      </c>
      <c r="O29" s="146">
        <f t="shared" si="6"/>
        <v>20.639704435206717</v>
      </c>
      <c r="P29" s="146">
        <f t="shared" si="6"/>
        <v>20.298993755794779</v>
      </c>
      <c r="Q29" s="146">
        <f t="shared" si="6"/>
        <v>20.857144933610151</v>
      </c>
      <c r="R29" s="146">
        <f t="shared" si="6"/>
        <v>19.597408484690266</v>
      </c>
      <c r="S29" s="146">
        <f t="shared" si="6"/>
        <v>20.792998545142936</v>
      </c>
      <c r="T29" s="146">
        <f t="shared" si="6"/>
        <v>21.291551453303097</v>
      </c>
      <c r="U29" s="146">
        <f t="shared" si="6"/>
        <v>21.911809130364716</v>
      </c>
      <c r="V29" s="146">
        <f t="shared" si="6"/>
        <v>23.275663909557682</v>
      </c>
      <c r="W29" s="146">
        <f t="shared" si="6"/>
        <v>23.17437803280551</v>
      </c>
      <c r="X29" s="146">
        <f t="shared" ref="X29" si="13">X8/X$12*100</f>
        <v>22.52435641045733</v>
      </c>
      <c r="Y29" s="146">
        <f t="shared" si="6"/>
        <v>23.873804425086753</v>
      </c>
      <c r="Z29" s="146">
        <f t="shared" ref="Z29" si="14">Z8/Z$12*100</f>
        <v>37.702435764692062</v>
      </c>
    </row>
    <row r="30" spans="1:26">
      <c r="A30" s="134" t="s">
        <v>71</v>
      </c>
      <c r="B30" s="145">
        <f t="shared" si="5"/>
        <v>12.285396087702386</v>
      </c>
      <c r="C30" s="145">
        <f t="shared" si="5"/>
        <v>12.849772339994486</v>
      </c>
      <c r="D30" s="145">
        <f t="shared" si="5"/>
        <v>15.948931669667477</v>
      </c>
      <c r="E30" s="145">
        <f t="shared" si="5"/>
        <v>10.258908146759984</v>
      </c>
      <c r="F30" s="145">
        <f t="shared" si="5"/>
        <v>11.020029610105091</v>
      </c>
      <c r="G30" s="145">
        <f t="shared" si="5"/>
        <v>9.8272029780997752</v>
      </c>
      <c r="H30" s="145">
        <f t="shared" si="5"/>
        <v>9.4605703002056174</v>
      </c>
      <c r="I30" s="145">
        <f t="shared" si="5"/>
        <v>7.7334605786294084</v>
      </c>
      <c r="J30" s="145">
        <f t="shared" si="5"/>
        <v>7.1128874646758984</v>
      </c>
      <c r="K30" s="145">
        <f t="shared" si="5"/>
        <v>7.0338309204110718</v>
      </c>
      <c r="L30" s="145">
        <f t="shared" si="5"/>
        <v>5.678381596800012</v>
      </c>
      <c r="M30" s="145">
        <f t="shared" si="5"/>
        <v>4.308542844191126</v>
      </c>
      <c r="N30" s="145">
        <f t="shared" si="5"/>
        <v>4.1718940198222514</v>
      </c>
      <c r="O30" s="146">
        <f t="shared" si="6"/>
        <v>3.0029067141567567</v>
      </c>
      <c r="P30" s="146">
        <f t="shared" si="6"/>
        <v>2.0417096106701211</v>
      </c>
      <c r="Q30" s="666">
        <f t="shared" si="6"/>
        <v>9.9375225599519368</v>
      </c>
      <c r="R30" s="666">
        <f t="shared" si="6"/>
        <v>7.6187939540716885</v>
      </c>
      <c r="S30" s="666">
        <f t="shared" si="6"/>
        <v>9.2395358301815396</v>
      </c>
      <c r="T30" s="666">
        <f t="shared" si="6"/>
        <v>7.3803984747355225</v>
      </c>
      <c r="U30" s="666">
        <f t="shared" si="6"/>
        <v>6.241302758668442</v>
      </c>
      <c r="V30" s="666">
        <f t="shared" si="6"/>
        <v>5.8058035175681564</v>
      </c>
      <c r="W30" s="666">
        <f t="shared" si="6"/>
        <v>6.7690985341547618</v>
      </c>
      <c r="X30" s="666">
        <f t="shared" ref="X30" si="15">X9/X$12*100</f>
        <v>5.8825032450608639</v>
      </c>
      <c r="Y30" s="666">
        <f t="shared" si="6"/>
        <v>5.6832674494137336</v>
      </c>
      <c r="Z30" s="666">
        <f t="shared" ref="Z30" si="16">Z9/Z$12*100</f>
        <v>5.3153569933690212</v>
      </c>
    </row>
    <row r="31" spans="1:26">
      <c r="A31" s="134" t="s">
        <v>72</v>
      </c>
      <c r="B31" s="145">
        <f t="shared" si="5"/>
        <v>3.102246064260465</v>
      </c>
      <c r="C31" s="145">
        <f t="shared" si="5"/>
        <v>3.7631476138555282</v>
      </c>
      <c r="D31" s="145">
        <f t="shared" si="5"/>
        <v>4.5622049028618914</v>
      </c>
      <c r="E31" s="145">
        <f t="shared" si="5"/>
        <v>3.4970397784675948</v>
      </c>
      <c r="F31" s="145">
        <f t="shared" si="5"/>
        <v>2.0620635504741038</v>
      </c>
      <c r="G31" s="145">
        <f t="shared" si="5"/>
        <v>2.6579282723466231</v>
      </c>
      <c r="H31" s="145">
        <f t="shared" si="5"/>
        <v>4.5627255395358031</v>
      </c>
      <c r="I31" s="145">
        <f t="shared" si="5"/>
        <v>6.3667926929156531</v>
      </c>
      <c r="J31" s="145">
        <f t="shared" si="5"/>
        <v>5.666763505324659</v>
      </c>
      <c r="K31" s="145">
        <f t="shared" si="5"/>
        <v>4.1879528917560576</v>
      </c>
      <c r="L31" s="145">
        <f t="shared" si="5"/>
        <v>3.2614149207862155</v>
      </c>
      <c r="M31" s="145">
        <f t="shared" si="5"/>
        <v>4.6318832677670807</v>
      </c>
      <c r="N31" s="145">
        <f t="shared" si="5"/>
        <v>5.1569620627591037</v>
      </c>
      <c r="O31" s="146">
        <f t="shared" si="6"/>
        <v>6.2286475553750282</v>
      </c>
      <c r="P31" s="146">
        <f t="shared" si="6"/>
        <v>6.9297467556858061</v>
      </c>
      <c r="Q31" s="667"/>
      <c r="R31" s="667"/>
      <c r="S31" s="667"/>
      <c r="T31" s="667"/>
      <c r="U31" s="667"/>
      <c r="V31" s="667"/>
      <c r="W31" s="667"/>
      <c r="X31" s="667"/>
      <c r="Y31" s="667"/>
      <c r="Z31" s="667"/>
    </row>
    <row r="32" spans="1:26">
      <c r="A32" s="134" t="s">
        <v>73</v>
      </c>
      <c r="B32" s="145">
        <f t="shared" si="5"/>
        <v>26.326164035304444</v>
      </c>
      <c r="C32" s="145">
        <f t="shared" si="5"/>
        <v>25.665797368891962</v>
      </c>
      <c r="D32" s="145">
        <f t="shared" si="5"/>
        <v>24.545736121778326</v>
      </c>
      <c r="E32" s="145">
        <f t="shared" si="5"/>
        <v>26.512435024315174</v>
      </c>
      <c r="F32" s="145">
        <f t="shared" si="5"/>
        <v>27.143630404272074</v>
      </c>
      <c r="G32" s="145">
        <f t="shared" si="5"/>
        <v>28.23727919739094</v>
      </c>
      <c r="H32" s="145">
        <f t="shared" si="5"/>
        <v>26.979973261942497</v>
      </c>
      <c r="I32" s="145">
        <f t="shared" si="5"/>
        <v>25.239673365040165</v>
      </c>
      <c r="J32" s="145">
        <f t="shared" si="5"/>
        <v>24.864117755808117</v>
      </c>
      <c r="K32" s="145">
        <f t="shared" si="5"/>
        <v>24.881494261495764</v>
      </c>
      <c r="L32" s="145">
        <f t="shared" si="5"/>
        <v>24.391734454318311</v>
      </c>
      <c r="M32" s="145">
        <f t="shared" si="5"/>
        <v>26.153358460899582</v>
      </c>
      <c r="N32" s="145">
        <f t="shared" si="5"/>
        <v>25.125633310848482</v>
      </c>
      <c r="O32" s="146">
        <f t="shared" si="6"/>
        <v>26.306510884175903</v>
      </c>
      <c r="P32" s="146">
        <f t="shared" si="6"/>
        <v>25.551017476104061</v>
      </c>
      <c r="Q32" s="146">
        <f t="shared" si="6"/>
        <v>23.313787431351127</v>
      </c>
      <c r="R32" s="146">
        <f t="shared" si="6"/>
        <v>29.155723164828395</v>
      </c>
      <c r="S32" s="146">
        <f t="shared" si="6"/>
        <v>24.748264375813807</v>
      </c>
      <c r="T32" s="146">
        <f t="shared" ref="T32:Y32" si="17">T11/T$12*100</f>
        <v>24.545107783650323</v>
      </c>
      <c r="U32" s="146">
        <f t="shared" si="17"/>
        <v>22.950851816471125</v>
      </c>
      <c r="V32" s="146">
        <f t="shared" si="17"/>
        <v>21.476812218145614</v>
      </c>
      <c r="W32" s="146">
        <f t="shared" si="17"/>
        <v>20.357501676882887</v>
      </c>
      <c r="X32" s="146">
        <f t="shared" si="17"/>
        <v>21.827647804998811</v>
      </c>
      <c r="Y32" s="146">
        <f t="shared" si="17"/>
        <v>18.922647706003922</v>
      </c>
      <c r="Z32" s="146">
        <f t="shared" ref="Z32" si="18">Z11/Z$12*100</f>
        <v>13.675676866477209</v>
      </c>
    </row>
    <row r="33" spans="1:26">
      <c r="A33" s="134" t="s">
        <v>74</v>
      </c>
      <c r="B33" s="147">
        <f>SUM(B26:B32)</f>
        <v>100</v>
      </c>
      <c r="C33" s="147">
        <f t="shared" ref="C33:Y33" si="19">SUM(C26:C32)</f>
        <v>99.999999999999986</v>
      </c>
      <c r="D33" s="147">
        <f t="shared" si="19"/>
        <v>100</v>
      </c>
      <c r="E33" s="147">
        <f t="shared" si="19"/>
        <v>100</v>
      </c>
      <c r="F33" s="147">
        <f t="shared" si="19"/>
        <v>100</v>
      </c>
      <c r="G33" s="147">
        <f t="shared" si="19"/>
        <v>100</v>
      </c>
      <c r="H33" s="147">
        <f t="shared" si="19"/>
        <v>100</v>
      </c>
      <c r="I33" s="147">
        <f t="shared" si="19"/>
        <v>100</v>
      </c>
      <c r="J33" s="147">
        <f t="shared" si="19"/>
        <v>99.999999999999972</v>
      </c>
      <c r="K33" s="147">
        <f t="shared" si="19"/>
        <v>100</v>
      </c>
      <c r="L33" s="147">
        <f t="shared" si="19"/>
        <v>100</v>
      </c>
      <c r="M33" s="147">
        <f t="shared" si="19"/>
        <v>99.999999999999986</v>
      </c>
      <c r="N33" s="147">
        <f t="shared" si="19"/>
        <v>100</v>
      </c>
      <c r="O33" s="147">
        <f t="shared" si="19"/>
        <v>100</v>
      </c>
      <c r="P33" s="147">
        <f t="shared" si="19"/>
        <v>100.00000000000001</v>
      </c>
      <c r="Q33" s="147">
        <f t="shared" si="19"/>
        <v>100</v>
      </c>
      <c r="R33" s="147">
        <f t="shared" si="19"/>
        <v>100</v>
      </c>
      <c r="S33" s="147">
        <f t="shared" si="19"/>
        <v>100</v>
      </c>
      <c r="T33" s="147">
        <f t="shared" si="19"/>
        <v>100.00000000000001</v>
      </c>
      <c r="U33" s="147">
        <f t="shared" si="19"/>
        <v>100</v>
      </c>
      <c r="V33" s="147">
        <f t="shared" si="19"/>
        <v>99.999999999999986</v>
      </c>
      <c r="W33" s="147">
        <f t="shared" si="19"/>
        <v>100.00000000000001</v>
      </c>
      <c r="X33" s="147">
        <f t="shared" ref="X33" si="20">SUM(X26:X32)</f>
        <v>100</v>
      </c>
      <c r="Y33" s="147">
        <f t="shared" si="19"/>
        <v>100</v>
      </c>
      <c r="Z33" s="147">
        <f t="shared" ref="Z33" si="21">SUM(Z26:Z32)</f>
        <v>100</v>
      </c>
    </row>
    <row r="35" spans="1:26">
      <c r="A35" s="670" t="s">
        <v>79</v>
      </c>
      <c r="B35" s="670"/>
      <c r="C35" s="670"/>
      <c r="D35" s="670"/>
      <c r="E35" s="148" t="s">
        <v>80</v>
      </c>
    </row>
    <row r="36" spans="1:26">
      <c r="A36" s="130"/>
      <c r="B36" s="131" t="s">
        <v>48</v>
      </c>
      <c r="C36" s="131" t="s">
        <v>62</v>
      </c>
      <c r="D36" s="131" t="s">
        <v>49</v>
      </c>
      <c r="E36" s="131" t="s">
        <v>63</v>
      </c>
      <c r="F36" s="131" t="s">
        <v>50</v>
      </c>
      <c r="G36" s="131" t="s">
        <v>64</v>
      </c>
      <c r="H36" s="131" t="s">
        <v>51</v>
      </c>
      <c r="I36" s="131" t="s">
        <v>65</v>
      </c>
      <c r="J36" s="131" t="s">
        <v>52</v>
      </c>
      <c r="K36" s="131" t="s">
        <v>53</v>
      </c>
      <c r="L36" s="131" t="s">
        <v>238</v>
      </c>
      <c r="M36" s="144" t="s">
        <v>169</v>
      </c>
      <c r="N36" s="144" t="s">
        <v>105</v>
      </c>
      <c r="O36" s="144" t="s">
        <v>236</v>
      </c>
      <c r="P36" s="144" t="s">
        <v>113</v>
      </c>
      <c r="Q36" s="144" t="s">
        <v>234</v>
      </c>
      <c r="R36" s="132" t="s">
        <v>152</v>
      </c>
      <c r="S36" s="132" t="s">
        <v>170</v>
      </c>
      <c r="T36" s="132" t="s">
        <v>175</v>
      </c>
      <c r="U36" s="132" t="s">
        <v>180</v>
      </c>
      <c r="V36" s="132" t="s">
        <v>206</v>
      </c>
      <c r="W36" s="132" t="s">
        <v>211</v>
      </c>
      <c r="X36" s="132" t="s">
        <v>231</v>
      </c>
      <c r="Y36" s="132" t="s">
        <v>287</v>
      </c>
      <c r="Z36" s="132" t="s">
        <v>287</v>
      </c>
    </row>
    <row r="37" spans="1:26">
      <c r="A37" s="134" t="s">
        <v>235</v>
      </c>
      <c r="B37" s="147">
        <f>ROUND(B26,1)</f>
        <v>41.9</v>
      </c>
      <c r="C37" s="147">
        <f t="shared" ref="C37:Y40" si="22">ROUND(C26,1)</f>
        <v>41.7</v>
      </c>
      <c r="D37" s="147">
        <f t="shared" si="22"/>
        <v>37.200000000000003</v>
      </c>
      <c r="E37" s="147">
        <f t="shared" si="22"/>
        <v>37.299999999999997</v>
      </c>
      <c r="F37" s="147">
        <f t="shared" si="22"/>
        <v>36.700000000000003</v>
      </c>
      <c r="G37" s="147">
        <f t="shared" si="22"/>
        <v>35.700000000000003</v>
      </c>
      <c r="H37" s="147">
        <f t="shared" si="22"/>
        <v>35.5</v>
      </c>
      <c r="I37" s="147">
        <f t="shared" si="22"/>
        <v>35.6</v>
      </c>
      <c r="J37" s="147">
        <f t="shared" si="22"/>
        <v>36.299999999999997</v>
      </c>
      <c r="K37" s="147">
        <f t="shared" si="22"/>
        <v>37.700000000000003</v>
      </c>
      <c r="L37" s="147">
        <f t="shared" si="22"/>
        <v>41</v>
      </c>
      <c r="M37" s="147">
        <f t="shared" si="22"/>
        <v>43</v>
      </c>
      <c r="N37" s="147">
        <f t="shared" si="22"/>
        <v>43.1</v>
      </c>
      <c r="O37" s="147">
        <f t="shared" si="22"/>
        <v>37.299999999999997</v>
      </c>
      <c r="P37" s="147">
        <f t="shared" si="22"/>
        <v>38.1</v>
      </c>
      <c r="Q37" s="147">
        <f t="shared" si="22"/>
        <v>38.5</v>
      </c>
      <c r="R37" s="147">
        <f t="shared" si="22"/>
        <v>36.9</v>
      </c>
      <c r="S37" s="147">
        <f t="shared" si="22"/>
        <v>38.299999999999997</v>
      </c>
      <c r="T37" s="147">
        <f t="shared" si="22"/>
        <v>40.200000000000003</v>
      </c>
      <c r="U37" s="147">
        <f t="shared" si="22"/>
        <v>40.4</v>
      </c>
      <c r="V37" s="147">
        <f t="shared" si="22"/>
        <v>41.9</v>
      </c>
      <c r="W37" s="147">
        <f t="shared" si="22"/>
        <v>38.799999999999997</v>
      </c>
      <c r="X37" s="147">
        <f t="shared" ref="X37" si="23">ROUND(X26,1)</f>
        <v>41.9</v>
      </c>
      <c r="Y37" s="147">
        <f t="shared" si="22"/>
        <v>44</v>
      </c>
      <c r="Z37" s="147">
        <f t="shared" ref="Z37" si="24">ROUND(Z26,1)</f>
        <v>36.5</v>
      </c>
    </row>
    <row r="38" spans="1:26">
      <c r="A38" s="134" t="s">
        <v>68</v>
      </c>
      <c r="B38" s="147">
        <f>ROUND(B27,1)</f>
        <v>0.7</v>
      </c>
      <c r="C38" s="147">
        <f t="shared" si="22"/>
        <v>0.2</v>
      </c>
      <c r="D38" s="147">
        <f t="shared" si="22"/>
        <v>0.8</v>
      </c>
      <c r="E38" s="147">
        <f t="shared" si="22"/>
        <v>3.1</v>
      </c>
      <c r="F38" s="147">
        <f t="shared" si="22"/>
        <v>4.0999999999999996</v>
      </c>
      <c r="G38" s="147">
        <f t="shared" si="22"/>
        <v>4.3</v>
      </c>
      <c r="H38" s="147">
        <f t="shared" si="22"/>
        <v>4.7</v>
      </c>
      <c r="I38" s="147">
        <f t="shared" si="22"/>
        <v>4.7</v>
      </c>
      <c r="J38" s="147">
        <f t="shared" si="22"/>
        <v>4.3</v>
      </c>
      <c r="K38" s="147">
        <f>ROUND(K27,1)+0.1</f>
        <v>3.7</v>
      </c>
      <c r="L38" s="147">
        <f>ROUND(L27,1)</f>
        <v>3</v>
      </c>
      <c r="M38" s="147">
        <f t="shared" si="22"/>
        <v>0.7</v>
      </c>
      <c r="N38" s="147">
        <f t="shared" si="22"/>
        <v>1.1000000000000001</v>
      </c>
      <c r="O38" s="147">
        <f t="shared" si="22"/>
        <v>2.2999999999999998</v>
      </c>
      <c r="P38" s="147">
        <f t="shared" si="22"/>
        <v>2.9</v>
      </c>
      <c r="Q38" s="147">
        <f t="shared" si="22"/>
        <v>3.3</v>
      </c>
      <c r="R38" s="147">
        <f t="shared" si="22"/>
        <v>2.9</v>
      </c>
      <c r="S38" s="147">
        <f t="shared" si="22"/>
        <v>2.9</v>
      </c>
      <c r="T38" s="147">
        <f t="shared" si="22"/>
        <v>2.2000000000000002</v>
      </c>
      <c r="U38" s="147">
        <f t="shared" si="22"/>
        <v>2.6</v>
      </c>
      <c r="V38" s="147">
        <f t="shared" si="22"/>
        <v>2.1</v>
      </c>
      <c r="W38" s="147">
        <f t="shared" si="22"/>
        <v>3</v>
      </c>
      <c r="X38" s="147">
        <f t="shared" ref="X38" si="25">ROUND(X27,1)</f>
        <v>2.5</v>
      </c>
      <c r="Y38" s="147">
        <f t="shared" si="22"/>
        <v>2.5</v>
      </c>
      <c r="Z38" s="147">
        <f t="shared" ref="Z38" si="26">ROUND(Z27,1)</f>
        <v>1.7</v>
      </c>
    </row>
    <row r="39" spans="1:26">
      <c r="A39" s="134" t="s">
        <v>69</v>
      </c>
      <c r="B39" s="147">
        <f>ROUND(B28,1)</f>
        <v>3.9</v>
      </c>
      <c r="C39" s="147">
        <f>ROUND(C28,1)</f>
        <v>3.5</v>
      </c>
      <c r="D39" s="147">
        <f>ROUND(D28,1)+0.1</f>
        <v>4.3999999999999995</v>
      </c>
      <c r="E39" s="147">
        <f t="shared" si="22"/>
        <v>4.7</v>
      </c>
      <c r="F39" s="147">
        <f t="shared" si="22"/>
        <v>5.7</v>
      </c>
      <c r="G39" s="147">
        <f t="shared" si="22"/>
        <v>5.6</v>
      </c>
      <c r="H39" s="147">
        <f t="shared" si="22"/>
        <v>4.8</v>
      </c>
      <c r="I39" s="147">
        <f t="shared" si="22"/>
        <v>5.0999999999999996</v>
      </c>
      <c r="J39" s="147">
        <f t="shared" si="22"/>
        <v>5.7</v>
      </c>
      <c r="K39" s="147">
        <f>ROUND(K28,1)</f>
        <v>6.1</v>
      </c>
      <c r="L39" s="147">
        <f>ROUND(L28,1)</f>
        <v>6.8</v>
      </c>
      <c r="M39" s="147">
        <f t="shared" si="22"/>
        <v>4.9000000000000004</v>
      </c>
      <c r="N39" s="147">
        <f t="shared" si="22"/>
        <v>4.7</v>
      </c>
      <c r="O39" s="149">
        <f>ROUND(O28,1)+0.1</f>
        <v>4.3</v>
      </c>
      <c r="P39" s="149">
        <f t="shared" si="22"/>
        <v>4.0999999999999996</v>
      </c>
      <c r="Q39" s="149">
        <f t="shared" si="22"/>
        <v>4.0999999999999996</v>
      </c>
      <c r="R39" s="149">
        <f t="shared" si="22"/>
        <v>3.8</v>
      </c>
      <c r="S39" s="149">
        <f t="shared" si="22"/>
        <v>4</v>
      </c>
      <c r="T39" s="149">
        <f t="shared" si="22"/>
        <v>4.4000000000000004</v>
      </c>
      <c r="U39" s="149">
        <f t="shared" si="22"/>
        <v>5.9</v>
      </c>
      <c r="V39" s="149">
        <f t="shared" si="22"/>
        <v>5.5</v>
      </c>
      <c r="W39" s="149">
        <f t="shared" si="22"/>
        <v>7.9</v>
      </c>
      <c r="X39" s="149">
        <f t="shared" ref="X39" si="27">ROUND(X28,1)</f>
        <v>5.4</v>
      </c>
      <c r="Y39" s="149">
        <f t="shared" si="22"/>
        <v>5</v>
      </c>
      <c r="Z39" s="149">
        <f t="shared" ref="Z39" si="28">ROUND(Z28,1)</f>
        <v>5.2</v>
      </c>
    </row>
    <row r="40" spans="1:26">
      <c r="A40" s="134" t="s">
        <v>70</v>
      </c>
      <c r="B40" s="147">
        <f>ROUND(B29,1)</f>
        <v>11.8</v>
      </c>
      <c r="C40" s="147">
        <f>ROUND(C29,1)</f>
        <v>12.3</v>
      </c>
      <c r="D40" s="147">
        <f>ROUND(D29,1)</f>
        <v>12.6</v>
      </c>
      <c r="E40" s="147">
        <f t="shared" si="22"/>
        <v>14.6</v>
      </c>
      <c r="F40" s="147">
        <f t="shared" si="22"/>
        <v>13.3</v>
      </c>
      <c r="G40" s="147">
        <f t="shared" si="22"/>
        <v>13.7</v>
      </c>
      <c r="H40" s="147">
        <f t="shared" si="22"/>
        <v>14</v>
      </c>
      <c r="I40" s="147">
        <f t="shared" si="22"/>
        <v>15.3</v>
      </c>
      <c r="J40" s="147">
        <f t="shared" si="22"/>
        <v>16.100000000000001</v>
      </c>
      <c r="K40" s="147">
        <f>ROUND(K29,1)</f>
        <v>16.399999999999999</v>
      </c>
      <c r="L40" s="147">
        <f>ROUND(L29,1)</f>
        <v>15.9</v>
      </c>
      <c r="M40" s="147">
        <f t="shared" si="22"/>
        <v>16.3</v>
      </c>
      <c r="N40" s="147">
        <f t="shared" si="22"/>
        <v>16.600000000000001</v>
      </c>
      <c r="O40" s="147">
        <f>ROUND(O29,1)</f>
        <v>20.6</v>
      </c>
      <c r="P40" s="147">
        <f t="shared" si="22"/>
        <v>20.3</v>
      </c>
      <c r="Q40" s="147">
        <f t="shared" si="22"/>
        <v>20.9</v>
      </c>
      <c r="R40" s="147">
        <f t="shared" si="22"/>
        <v>19.600000000000001</v>
      </c>
      <c r="S40" s="147">
        <f t="shared" si="22"/>
        <v>20.8</v>
      </c>
      <c r="T40" s="147">
        <f t="shared" si="22"/>
        <v>21.3</v>
      </c>
      <c r="U40" s="147">
        <f t="shared" si="22"/>
        <v>21.9</v>
      </c>
      <c r="V40" s="147">
        <f t="shared" si="22"/>
        <v>23.3</v>
      </c>
      <c r="W40" s="147">
        <f t="shared" si="22"/>
        <v>23.2</v>
      </c>
      <c r="X40" s="147">
        <f t="shared" ref="X40" si="29">ROUND(X29,1)</f>
        <v>22.5</v>
      </c>
      <c r="Y40" s="147">
        <f t="shared" si="22"/>
        <v>23.9</v>
      </c>
      <c r="Z40" s="147">
        <f t="shared" ref="Z40" si="30">ROUND(Z29,1)</f>
        <v>37.700000000000003</v>
      </c>
    </row>
    <row r="41" spans="1:26">
      <c r="A41" s="134" t="s">
        <v>117</v>
      </c>
      <c r="B41" s="147">
        <f>SUM(B42:B43)</f>
        <v>15.4</v>
      </c>
      <c r="C41" s="147">
        <f t="shared" ref="C41:Y41" si="31">SUM(C42:C43)</f>
        <v>16.600000000000001</v>
      </c>
      <c r="D41" s="147">
        <f t="shared" si="31"/>
        <v>20.5</v>
      </c>
      <c r="E41" s="147">
        <f t="shared" si="31"/>
        <v>13.8</v>
      </c>
      <c r="F41" s="147">
        <f t="shared" si="31"/>
        <v>13.1</v>
      </c>
      <c r="G41" s="147">
        <f t="shared" si="31"/>
        <v>12.5</v>
      </c>
      <c r="H41" s="147">
        <f t="shared" si="31"/>
        <v>14</v>
      </c>
      <c r="I41" s="147">
        <f t="shared" si="31"/>
        <v>14.100000000000001</v>
      </c>
      <c r="J41" s="147">
        <f t="shared" si="31"/>
        <v>12.8</v>
      </c>
      <c r="K41" s="147">
        <f t="shared" si="31"/>
        <v>11.2</v>
      </c>
      <c r="L41" s="147">
        <f t="shared" si="31"/>
        <v>8.9</v>
      </c>
      <c r="M41" s="147">
        <f t="shared" si="31"/>
        <v>8.8999999999999986</v>
      </c>
      <c r="N41" s="147">
        <f t="shared" si="31"/>
        <v>9.3000000000000007</v>
      </c>
      <c r="O41" s="147">
        <f t="shared" si="31"/>
        <v>9.1999999999999993</v>
      </c>
      <c r="P41" s="147">
        <f t="shared" si="31"/>
        <v>9</v>
      </c>
      <c r="Q41" s="147">
        <f t="shared" si="31"/>
        <v>9.9</v>
      </c>
      <c r="R41" s="147">
        <f t="shared" si="31"/>
        <v>7.6</v>
      </c>
      <c r="S41" s="147">
        <f t="shared" si="31"/>
        <v>9.1999999999999993</v>
      </c>
      <c r="T41" s="147">
        <f t="shared" si="31"/>
        <v>7.4</v>
      </c>
      <c r="U41" s="147">
        <f t="shared" si="31"/>
        <v>6.2</v>
      </c>
      <c r="V41" s="147">
        <f t="shared" si="31"/>
        <v>5.8</v>
      </c>
      <c r="W41" s="147">
        <f t="shared" si="31"/>
        <v>6.8</v>
      </c>
      <c r="X41" s="147">
        <f t="shared" ref="X41" si="32">SUM(X42:X43)</f>
        <v>5.9</v>
      </c>
      <c r="Y41" s="147">
        <f t="shared" si="31"/>
        <v>5.7</v>
      </c>
      <c r="Z41" s="147">
        <f t="shared" ref="Z41" si="33">SUM(Z42:Z43)</f>
        <v>5.3</v>
      </c>
    </row>
    <row r="42" spans="1:26">
      <c r="A42" s="134" t="s">
        <v>118</v>
      </c>
      <c r="B42" s="147">
        <f t="shared" ref="B42:M44" si="34">ROUND(B30,1)</f>
        <v>12.3</v>
      </c>
      <c r="C42" s="147">
        <f t="shared" si="34"/>
        <v>12.8</v>
      </c>
      <c r="D42" s="147">
        <f t="shared" si="34"/>
        <v>15.9</v>
      </c>
      <c r="E42" s="147">
        <f t="shared" si="34"/>
        <v>10.3</v>
      </c>
      <c r="F42" s="147">
        <f t="shared" si="34"/>
        <v>11</v>
      </c>
      <c r="G42" s="147">
        <f t="shared" si="34"/>
        <v>9.8000000000000007</v>
      </c>
      <c r="H42" s="147">
        <f>ROUND(H30,1)-0.1</f>
        <v>9.4</v>
      </c>
      <c r="I42" s="147">
        <f>ROUND(I30,1)</f>
        <v>7.7</v>
      </c>
      <c r="J42" s="147">
        <f>ROUND(J30,1)</f>
        <v>7.1</v>
      </c>
      <c r="K42" s="147">
        <f>ROUND(K30,1)</f>
        <v>7</v>
      </c>
      <c r="L42" s="147">
        <f>ROUND(L30,1)-0.1</f>
        <v>5.6000000000000005</v>
      </c>
      <c r="M42" s="147">
        <f>ROUND(M30,1)</f>
        <v>4.3</v>
      </c>
      <c r="N42" s="147">
        <f>ROUND(N30,1)</f>
        <v>4.2</v>
      </c>
      <c r="O42" s="147">
        <f>ROUND(O30,1)</f>
        <v>3</v>
      </c>
      <c r="P42" s="147">
        <f>ROUND(P30,1)+0.1</f>
        <v>2.1</v>
      </c>
      <c r="Q42" s="150">
        <f t="shared" ref="Q42:Y42" si="35">ROUND(Q30,1)</f>
        <v>9.9</v>
      </c>
      <c r="R42" s="150">
        <f t="shared" si="35"/>
        <v>7.6</v>
      </c>
      <c r="S42" s="150">
        <f t="shared" si="35"/>
        <v>9.1999999999999993</v>
      </c>
      <c r="T42" s="150">
        <f t="shared" si="35"/>
        <v>7.4</v>
      </c>
      <c r="U42" s="150">
        <f t="shared" si="35"/>
        <v>6.2</v>
      </c>
      <c r="V42" s="150">
        <f t="shared" si="35"/>
        <v>5.8</v>
      </c>
      <c r="W42" s="150">
        <f t="shared" si="35"/>
        <v>6.8</v>
      </c>
      <c r="X42" s="150">
        <f t="shared" ref="X42" si="36">ROUND(X30,1)</f>
        <v>5.9</v>
      </c>
      <c r="Y42" s="150">
        <f t="shared" si="35"/>
        <v>5.7</v>
      </c>
      <c r="Z42" s="150">
        <f t="shared" ref="Z42" si="37">ROUND(Z30,1)</f>
        <v>5.3</v>
      </c>
    </row>
    <row r="43" spans="1:26">
      <c r="A43" s="134" t="s">
        <v>119</v>
      </c>
      <c r="B43" s="147">
        <f>ROUND(B31,1)</f>
        <v>3.1</v>
      </c>
      <c r="C43" s="147">
        <f t="shared" si="34"/>
        <v>3.8</v>
      </c>
      <c r="D43" s="147">
        <f t="shared" si="34"/>
        <v>4.5999999999999996</v>
      </c>
      <c r="E43" s="147">
        <f t="shared" si="34"/>
        <v>3.5</v>
      </c>
      <c r="F43" s="147">
        <f t="shared" si="34"/>
        <v>2.1</v>
      </c>
      <c r="G43" s="147">
        <f t="shared" si="34"/>
        <v>2.7</v>
      </c>
      <c r="H43" s="147">
        <f t="shared" si="34"/>
        <v>4.5999999999999996</v>
      </c>
      <c r="I43" s="147">
        <f t="shared" si="34"/>
        <v>6.4</v>
      </c>
      <c r="J43" s="147">
        <f t="shared" si="34"/>
        <v>5.7</v>
      </c>
      <c r="K43" s="147">
        <f t="shared" si="34"/>
        <v>4.2</v>
      </c>
      <c r="L43" s="147">
        <f t="shared" si="34"/>
        <v>3.3</v>
      </c>
      <c r="M43" s="147">
        <f t="shared" si="34"/>
        <v>4.5999999999999996</v>
      </c>
      <c r="N43" s="147">
        <f>ROUND(N31,1)-0.1</f>
        <v>5.1000000000000005</v>
      </c>
      <c r="O43" s="147">
        <f>ROUND(O31,1)</f>
        <v>6.2</v>
      </c>
      <c r="P43" s="147">
        <f>ROUND(P31,1)</f>
        <v>6.9</v>
      </c>
      <c r="Q43" s="151"/>
      <c r="R43" s="151"/>
      <c r="S43" s="151"/>
      <c r="T43" s="151"/>
      <c r="U43" s="151"/>
      <c r="V43" s="151"/>
      <c r="W43" s="151"/>
      <c r="X43" s="151"/>
      <c r="Y43" s="151"/>
      <c r="Z43" s="151"/>
    </row>
    <row r="44" spans="1:26">
      <c r="A44" s="134" t="s">
        <v>73</v>
      </c>
      <c r="B44" s="147">
        <f t="shared" ref="B44:I44" si="38">ROUND(B32,1)</f>
        <v>26.3</v>
      </c>
      <c r="C44" s="147">
        <f t="shared" si="38"/>
        <v>25.7</v>
      </c>
      <c r="D44" s="147">
        <f t="shared" si="38"/>
        <v>24.5</v>
      </c>
      <c r="E44" s="147">
        <f t="shared" si="38"/>
        <v>26.5</v>
      </c>
      <c r="F44" s="147">
        <f t="shared" si="38"/>
        <v>27.1</v>
      </c>
      <c r="G44" s="147">
        <f t="shared" si="38"/>
        <v>28.2</v>
      </c>
      <c r="H44" s="147">
        <f t="shared" si="38"/>
        <v>27</v>
      </c>
      <c r="I44" s="147">
        <f t="shared" si="38"/>
        <v>25.2</v>
      </c>
      <c r="J44" s="147">
        <f>ROUND(J32,1)-0.1</f>
        <v>24.799999999999997</v>
      </c>
      <c r="K44" s="147">
        <f t="shared" si="34"/>
        <v>24.9</v>
      </c>
      <c r="L44" s="147">
        <f t="shared" si="34"/>
        <v>24.4</v>
      </c>
      <c r="M44" s="147">
        <f t="shared" si="34"/>
        <v>26.2</v>
      </c>
      <c r="N44" s="147">
        <f>ROUND(N32,1)+0.1</f>
        <v>25.200000000000003</v>
      </c>
      <c r="O44" s="147">
        <f>ROUND(O32,1)</f>
        <v>26.3</v>
      </c>
      <c r="P44" s="147">
        <f>ROUND(P32,1)</f>
        <v>25.6</v>
      </c>
      <c r="Q44" s="147">
        <f>ROUND(Q32,1)</f>
        <v>23.3</v>
      </c>
      <c r="R44" s="147">
        <f>ROUND(R32,1)</f>
        <v>29.2</v>
      </c>
      <c r="S44" s="184">
        <f>ROUND(S32,1)+0.1</f>
        <v>24.8</v>
      </c>
      <c r="T44" s="152">
        <f t="shared" ref="T44:Y44" si="39">ROUND(T32,1)</f>
        <v>24.5</v>
      </c>
      <c r="U44" s="152">
        <f t="shared" si="39"/>
        <v>23</v>
      </c>
      <c r="V44" s="152">
        <f t="shared" si="39"/>
        <v>21.5</v>
      </c>
      <c r="W44" s="152">
        <f t="shared" si="39"/>
        <v>20.399999999999999</v>
      </c>
      <c r="X44" s="152">
        <f t="shared" si="39"/>
        <v>21.8</v>
      </c>
      <c r="Y44" s="152">
        <f t="shared" si="39"/>
        <v>18.899999999999999</v>
      </c>
      <c r="Z44" s="152">
        <f t="shared" ref="Z44" si="40">ROUND(Z32,1)</f>
        <v>13.7</v>
      </c>
    </row>
    <row r="45" spans="1:26">
      <c r="A45" s="134" t="s">
        <v>74</v>
      </c>
      <c r="B45" s="147">
        <f t="shared" ref="B45:Q45" si="41">SUM(B37:B44)-B41</f>
        <v>99.999999999999986</v>
      </c>
      <c r="C45" s="147">
        <f t="shared" si="41"/>
        <v>100</v>
      </c>
      <c r="D45" s="147">
        <f t="shared" si="41"/>
        <v>100</v>
      </c>
      <c r="E45" s="147">
        <f t="shared" si="41"/>
        <v>100</v>
      </c>
      <c r="F45" s="147">
        <f t="shared" si="41"/>
        <v>100</v>
      </c>
      <c r="G45" s="147">
        <f t="shared" si="41"/>
        <v>100</v>
      </c>
      <c r="H45" s="147">
        <f t="shared" si="41"/>
        <v>100</v>
      </c>
      <c r="I45" s="147">
        <f t="shared" si="41"/>
        <v>100.00000000000003</v>
      </c>
      <c r="J45" s="147">
        <f t="shared" si="41"/>
        <v>100</v>
      </c>
      <c r="K45" s="147">
        <f t="shared" si="41"/>
        <v>100.00000000000001</v>
      </c>
      <c r="L45" s="147">
        <f t="shared" si="41"/>
        <v>100</v>
      </c>
      <c r="M45" s="147">
        <f t="shared" si="41"/>
        <v>100</v>
      </c>
      <c r="N45" s="147">
        <f t="shared" si="41"/>
        <v>100</v>
      </c>
      <c r="O45" s="147">
        <f t="shared" si="41"/>
        <v>100</v>
      </c>
      <c r="P45" s="147">
        <f t="shared" si="41"/>
        <v>100</v>
      </c>
      <c r="Q45" s="147">
        <f t="shared" si="41"/>
        <v>100</v>
      </c>
      <c r="R45" s="147">
        <f t="shared" ref="R45:Y45" si="42">SUM(R37:R44)-R41</f>
        <v>100</v>
      </c>
      <c r="S45" s="147">
        <f t="shared" si="42"/>
        <v>100</v>
      </c>
      <c r="T45" s="147">
        <f t="shared" si="42"/>
        <v>100.00000000000001</v>
      </c>
      <c r="U45" s="147">
        <f t="shared" si="42"/>
        <v>100</v>
      </c>
      <c r="V45" s="147">
        <f t="shared" si="42"/>
        <v>100.1</v>
      </c>
      <c r="W45" s="147">
        <f>SUM(W37:W44)-W41</f>
        <v>100.09999999999998</v>
      </c>
      <c r="X45" s="147">
        <f t="shared" ref="X45" si="43">SUM(X37:X44)-X41</f>
        <v>100</v>
      </c>
      <c r="Y45" s="147">
        <f t="shared" si="42"/>
        <v>100.00000000000001</v>
      </c>
      <c r="Z45" s="147">
        <f t="shared" ref="Z45" si="44">SUM(Z37:Z44)-Z41</f>
        <v>100.10000000000001</v>
      </c>
    </row>
    <row r="47" spans="1:26">
      <c r="A47" s="129" t="s">
        <v>61</v>
      </c>
      <c r="I47" s="153"/>
    </row>
    <row r="48" spans="1:26" s="133" customFormat="1">
      <c r="A48" s="130"/>
      <c r="B48" s="131" t="s">
        <v>409</v>
      </c>
      <c r="C48" s="131" t="s">
        <v>330</v>
      </c>
      <c r="D48" s="131" t="s">
        <v>331</v>
      </c>
      <c r="E48" s="132" t="s">
        <v>407</v>
      </c>
      <c r="F48" s="132" t="s">
        <v>336</v>
      </c>
      <c r="G48" s="132" t="s">
        <v>337</v>
      </c>
      <c r="H48" s="132" t="s">
        <v>338</v>
      </c>
      <c r="I48" s="132" t="s">
        <v>363</v>
      </c>
    </row>
    <row r="49" spans="1:10" s="133" customFormat="1">
      <c r="A49" s="134" t="s">
        <v>235</v>
      </c>
      <c r="B49" s="135">
        <v>777637</v>
      </c>
      <c r="C49" s="135">
        <v>738656</v>
      </c>
      <c r="D49" s="135">
        <v>613049</v>
      </c>
      <c r="E49" s="136">
        <f>V5</f>
        <v>659473</v>
      </c>
      <c r="F49" s="136">
        <f>W5</f>
        <v>675404</v>
      </c>
      <c r="G49" s="136">
        <f>X5</f>
        <v>737441</v>
      </c>
      <c r="H49" s="136">
        <f>Y5</f>
        <v>776114</v>
      </c>
      <c r="I49" s="136">
        <f>Z5</f>
        <v>744663</v>
      </c>
    </row>
    <row r="50" spans="1:10" s="133" customFormat="1">
      <c r="A50" s="134" t="s">
        <v>68</v>
      </c>
      <c r="B50" s="135">
        <v>12844</v>
      </c>
      <c r="C50" s="135">
        <v>15155</v>
      </c>
      <c r="D50" s="135">
        <v>80475</v>
      </c>
      <c r="E50" s="136">
        <f t="shared" ref="E50:E53" si="45">V6</f>
        <v>32905</v>
      </c>
      <c r="F50" s="136">
        <f t="shared" ref="F50:H53" si="46">W6</f>
        <v>52770</v>
      </c>
      <c r="G50" s="136">
        <f t="shared" si="46"/>
        <v>43642</v>
      </c>
      <c r="H50" s="136">
        <f t="shared" si="46"/>
        <v>44514</v>
      </c>
      <c r="I50" s="136">
        <f t="shared" ref="I50:I53" si="47">Z6</f>
        <v>33867</v>
      </c>
    </row>
    <row r="51" spans="1:10" s="133" customFormat="1">
      <c r="A51" s="134" t="s">
        <v>69</v>
      </c>
      <c r="B51" s="135">
        <v>72801</v>
      </c>
      <c r="C51" s="135">
        <v>86341</v>
      </c>
      <c r="D51" s="135">
        <v>87878</v>
      </c>
      <c r="E51" s="136">
        <f t="shared" si="45"/>
        <v>86249</v>
      </c>
      <c r="F51" s="136">
        <f t="shared" si="46"/>
        <v>137989</v>
      </c>
      <c r="G51" s="136">
        <f t="shared" si="46"/>
        <v>95356</v>
      </c>
      <c r="H51" s="136">
        <f t="shared" si="46"/>
        <v>88300</v>
      </c>
      <c r="I51" s="136">
        <f t="shared" si="47"/>
        <v>106086</v>
      </c>
    </row>
    <row r="52" spans="1:10" s="133" customFormat="1">
      <c r="A52" s="134" t="s">
        <v>70</v>
      </c>
      <c r="B52" s="135">
        <v>219549</v>
      </c>
      <c r="C52" s="135">
        <v>250785</v>
      </c>
      <c r="D52" s="135">
        <v>263563</v>
      </c>
      <c r="E52" s="136">
        <f t="shared" si="45"/>
        <v>366554</v>
      </c>
      <c r="F52" s="136">
        <f t="shared" si="46"/>
        <v>403887</v>
      </c>
      <c r="G52" s="136">
        <f t="shared" si="46"/>
        <v>396685</v>
      </c>
      <c r="H52" s="136">
        <f t="shared" si="46"/>
        <v>421185</v>
      </c>
      <c r="I52" s="136">
        <f t="shared" si="47"/>
        <v>770142</v>
      </c>
    </row>
    <row r="53" spans="1:10" s="133" customFormat="1">
      <c r="A53" s="134" t="s">
        <v>117</v>
      </c>
      <c r="B53" s="135">
        <f>SUM(B54:B55)</f>
        <v>285869</v>
      </c>
      <c r="C53" s="135">
        <f>SUM(C54:C55)</f>
        <v>407264</v>
      </c>
      <c r="D53" s="135">
        <f>SUM(D54:D55)</f>
        <v>242899</v>
      </c>
      <c r="E53" s="136">
        <f t="shared" si="45"/>
        <v>91432</v>
      </c>
      <c r="F53" s="136">
        <f t="shared" si="46"/>
        <v>117973</v>
      </c>
      <c r="G53" s="136">
        <f t="shared" si="46"/>
        <v>103599</v>
      </c>
      <c r="H53" s="136">
        <f t="shared" si="46"/>
        <v>100265</v>
      </c>
      <c r="I53" s="136">
        <f t="shared" si="47"/>
        <v>108576</v>
      </c>
    </row>
    <row r="54" spans="1:10" s="133" customFormat="1">
      <c r="A54" s="182" t="s">
        <v>118</v>
      </c>
      <c r="B54" s="183">
        <v>228236</v>
      </c>
      <c r="C54" s="183">
        <v>316678</v>
      </c>
      <c r="D54" s="183">
        <v>133221</v>
      </c>
      <c r="E54" s="136">
        <f>V9</f>
        <v>91432</v>
      </c>
      <c r="F54" s="136">
        <f>W9</f>
        <v>117973</v>
      </c>
      <c r="G54" s="136">
        <f>X9</f>
        <v>103599</v>
      </c>
      <c r="H54" s="136">
        <f>Y9</f>
        <v>100265</v>
      </c>
      <c r="I54" s="136">
        <f>Z9</f>
        <v>108576</v>
      </c>
    </row>
    <row r="55" spans="1:10" s="133" customFormat="1">
      <c r="A55" s="182" t="s">
        <v>119</v>
      </c>
      <c r="B55" s="183">
        <v>57633</v>
      </c>
      <c r="C55" s="183">
        <v>90586</v>
      </c>
      <c r="D55" s="183">
        <v>109678</v>
      </c>
      <c r="E55" s="136">
        <f t="shared" ref="E55:E57" si="48">V10</f>
        <v>0</v>
      </c>
      <c r="F55" s="179"/>
      <c r="G55" s="220"/>
      <c r="H55" s="220"/>
      <c r="I55" s="179"/>
    </row>
    <row r="56" spans="1:10" s="133" customFormat="1">
      <c r="A56" s="134" t="s">
        <v>73</v>
      </c>
      <c r="B56" s="135">
        <v>489083</v>
      </c>
      <c r="C56" s="135">
        <v>487374</v>
      </c>
      <c r="D56" s="135">
        <v>434793</v>
      </c>
      <c r="E56" s="136">
        <f>V11</f>
        <v>338225</v>
      </c>
      <c r="F56" s="135">
        <f t="shared" ref="F56:I57" si="49">W11</f>
        <v>354794</v>
      </c>
      <c r="G56" s="135">
        <f t="shared" si="49"/>
        <v>384415</v>
      </c>
      <c r="H56" s="135">
        <f t="shared" si="49"/>
        <v>333836</v>
      </c>
      <c r="I56" s="135">
        <f t="shared" si="49"/>
        <v>279351</v>
      </c>
    </row>
    <row r="57" spans="1:10" s="133" customFormat="1">
      <c r="A57" s="134" t="s">
        <v>74</v>
      </c>
      <c r="B57" s="135">
        <v>1857783</v>
      </c>
      <c r="C57" s="135">
        <v>1985575</v>
      </c>
      <c r="D57" s="135">
        <v>1722657</v>
      </c>
      <c r="E57" s="136">
        <f t="shared" si="48"/>
        <v>1574838</v>
      </c>
      <c r="F57" s="135">
        <f t="shared" si="49"/>
        <v>1742817</v>
      </c>
      <c r="G57" s="135">
        <f t="shared" si="49"/>
        <v>1761138</v>
      </c>
      <c r="H57" s="135">
        <f t="shared" si="49"/>
        <v>1764214</v>
      </c>
      <c r="I57" s="135">
        <f t="shared" si="49"/>
        <v>2042685</v>
      </c>
    </row>
    <row r="58" spans="1:10">
      <c r="B58" s="139">
        <f t="shared" ref="B58:I58" si="50">SUM(B49:B56)-B53-B57</f>
        <v>0</v>
      </c>
      <c r="C58" s="139">
        <f t="shared" si="50"/>
        <v>0</v>
      </c>
      <c r="D58" s="139">
        <f t="shared" si="50"/>
        <v>0</v>
      </c>
      <c r="E58" s="139">
        <f t="shared" si="50"/>
        <v>0</v>
      </c>
      <c r="F58" s="139">
        <f t="shared" si="50"/>
        <v>0</v>
      </c>
      <c r="G58" s="139">
        <f t="shared" si="50"/>
        <v>0</v>
      </c>
      <c r="H58" s="139">
        <f t="shared" ref="H58" si="51">SUM(H49:H56)-H53-H57</f>
        <v>0</v>
      </c>
      <c r="I58" s="139">
        <f t="shared" si="50"/>
        <v>0</v>
      </c>
      <c r="J58" s="139"/>
    </row>
    <row r="59" spans="1:10">
      <c r="B59" s="139"/>
      <c r="C59" s="139"/>
      <c r="D59" s="139"/>
      <c r="E59" s="139"/>
      <c r="F59" s="139"/>
      <c r="G59" s="139"/>
      <c r="H59" s="139"/>
      <c r="I59" s="139"/>
      <c r="J59" s="139"/>
    </row>
    <row r="60" spans="1:10">
      <c r="A60" s="129" t="s">
        <v>114</v>
      </c>
      <c r="F60" s="153"/>
    </row>
    <row r="61" spans="1:10" s="133" customFormat="1">
      <c r="A61" s="130"/>
      <c r="B61" s="131" t="s">
        <v>409</v>
      </c>
      <c r="C61" s="131" t="s">
        <v>330</v>
      </c>
      <c r="D61" s="131" t="s">
        <v>331</v>
      </c>
      <c r="E61" s="132" t="s">
        <v>407</v>
      </c>
      <c r="F61" s="132" t="s">
        <v>336</v>
      </c>
      <c r="G61" s="132" t="s">
        <v>337</v>
      </c>
      <c r="H61" s="132" t="s">
        <v>338</v>
      </c>
      <c r="I61" s="132" t="s">
        <v>363</v>
      </c>
    </row>
    <row r="62" spans="1:10" s="133" customFormat="1">
      <c r="A62" s="134" t="s">
        <v>235</v>
      </c>
      <c r="B62" s="141">
        <f>ROUND(B49/100,0)</f>
        <v>7776</v>
      </c>
      <c r="C62" s="141">
        <f t="shared" ref="C62:I65" si="52">ROUND(C49/100,0)</f>
        <v>7387</v>
      </c>
      <c r="D62" s="141">
        <f t="shared" si="52"/>
        <v>6130</v>
      </c>
      <c r="E62" s="141">
        <f>ROUND(E49/100,0)</f>
        <v>6595</v>
      </c>
      <c r="F62" s="141">
        <f>ROUND(F49/100,0)</f>
        <v>6754</v>
      </c>
      <c r="G62" s="141">
        <f t="shared" si="52"/>
        <v>7374</v>
      </c>
      <c r="H62" s="141">
        <f t="shared" ref="H62" si="53">ROUND(H49/100,0)</f>
        <v>7761</v>
      </c>
      <c r="I62" s="141">
        <f>ROUND(I49/100,0)</f>
        <v>7447</v>
      </c>
    </row>
    <row r="63" spans="1:10" s="133" customFormat="1">
      <c r="A63" s="134" t="s">
        <v>68</v>
      </c>
      <c r="B63" s="141">
        <f>ROUND(B50/100,0)</f>
        <v>128</v>
      </c>
      <c r="C63" s="141">
        <f>ROUND(C50/100,0)-1</f>
        <v>151</v>
      </c>
      <c r="D63" s="141">
        <f>ROUND(D50/100,0)</f>
        <v>805</v>
      </c>
      <c r="E63" s="141">
        <f>ROUND(E50/100,0)</f>
        <v>329</v>
      </c>
      <c r="F63" s="141">
        <f t="shared" si="52"/>
        <v>528</v>
      </c>
      <c r="G63" s="141">
        <f t="shared" si="52"/>
        <v>436</v>
      </c>
      <c r="H63" s="141">
        <f t="shared" ref="H63" si="54">ROUND(H50/100,0)</f>
        <v>445</v>
      </c>
      <c r="I63" s="141">
        <f t="shared" si="52"/>
        <v>339</v>
      </c>
    </row>
    <row r="64" spans="1:10" s="133" customFormat="1">
      <c r="A64" s="134" t="s">
        <v>69</v>
      </c>
      <c r="B64" s="141">
        <f>ROUND(B51/100,0)</f>
        <v>728</v>
      </c>
      <c r="C64" s="141">
        <f>ROUND(C51/100,0)</f>
        <v>863</v>
      </c>
      <c r="D64" s="141">
        <f>ROUND(D51/100,0)</f>
        <v>879</v>
      </c>
      <c r="E64" s="141">
        <f>ROUND(E51/100,0)</f>
        <v>862</v>
      </c>
      <c r="F64" s="141">
        <f>ROUND(F51/100,0)</f>
        <v>1380</v>
      </c>
      <c r="G64" s="141">
        <f t="shared" si="52"/>
        <v>954</v>
      </c>
      <c r="H64" s="141">
        <f t="shared" ref="H64" si="55">ROUND(H51/100,0)</f>
        <v>883</v>
      </c>
      <c r="I64" s="141">
        <f t="shared" si="52"/>
        <v>1061</v>
      </c>
      <c r="J64" s="154"/>
    </row>
    <row r="65" spans="1:13" s="133" customFormat="1">
      <c r="A65" s="134" t="s">
        <v>70</v>
      </c>
      <c r="B65" s="141">
        <f>ROUND(B52/100,0)+1</f>
        <v>2196</v>
      </c>
      <c r="C65" s="141">
        <f>ROUND(C52/100,0)</f>
        <v>2508</v>
      </c>
      <c r="D65" s="141">
        <f>ROUND(D52/100,0)</f>
        <v>2636</v>
      </c>
      <c r="E65" s="141">
        <f>ROUND(E52/100,0)-1</f>
        <v>3665</v>
      </c>
      <c r="F65" s="141">
        <f>ROUND(F52/100,0)</f>
        <v>4039</v>
      </c>
      <c r="G65" s="141">
        <f t="shared" si="52"/>
        <v>3967</v>
      </c>
      <c r="H65" s="141">
        <f t="shared" ref="H65" si="56">ROUND(H52/100,0)</f>
        <v>4212</v>
      </c>
      <c r="I65" s="141">
        <f t="shared" si="52"/>
        <v>7701</v>
      </c>
    </row>
    <row r="66" spans="1:13" s="133" customFormat="1">
      <c r="A66" s="134" t="s">
        <v>117</v>
      </c>
      <c r="B66" s="141">
        <f>ROUND(B53/100,0)</f>
        <v>2859</v>
      </c>
      <c r="C66" s="141">
        <f>ROUND(C53/100,0)</f>
        <v>4073</v>
      </c>
      <c r="D66" s="141">
        <f>ROUND(D53/100,0)</f>
        <v>2429</v>
      </c>
      <c r="E66" s="141">
        <f>ROUND(E53/100,0)</f>
        <v>914</v>
      </c>
      <c r="F66" s="141">
        <f t="shared" ref="F66:G67" si="57">ROUND(F53/100,0)</f>
        <v>1180</v>
      </c>
      <c r="G66" s="141">
        <f t="shared" si="57"/>
        <v>1036</v>
      </c>
      <c r="H66" s="141">
        <f>ROUND(H53/100,0)</f>
        <v>1003</v>
      </c>
      <c r="I66" s="141">
        <f>ROUND(I53/100,0)</f>
        <v>1086</v>
      </c>
    </row>
    <row r="67" spans="1:13" s="133" customFormat="1">
      <c r="A67" s="182" t="s">
        <v>118</v>
      </c>
      <c r="B67" s="138">
        <f>ROUND(B54/100,0)+1</f>
        <v>2283</v>
      </c>
      <c r="C67" s="138">
        <f>ROUND(C54/100,0)</f>
        <v>3167</v>
      </c>
      <c r="D67" s="138">
        <f>ROUND(D54/100,0)</f>
        <v>1332</v>
      </c>
      <c r="E67" s="138">
        <f>ROUND(E54/100,0)</f>
        <v>914</v>
      </c>
      <c r="F67" s="671">
        <f>ROUND(F54/100,0)</f>
        <v>1180</v>
      </c>
      <c r="G67" s="671">
        <f t="shared" si="57"/>
        <v>1036</v>
      </c>
      <c r="H67" s="671">
        <f>ROUND(H54/100,0)</f>
        <v>1003</v>
      </c>
      <c r="I67" s="671">
        <f>ROUND(I54/100,0)</f>
        <v>1086</v>
      </c>
    </row>
    <row r="68" spans="1:13" s="133" customFormat="1">
      <c r="A68" s="182" t="s">
        <v>119</v>
      </c>
      <c r="B68" s="138">
        <f>ROUND(B55/100,0)</f>
        <v>576</v>
      </c>
      <c r="C68" s="138">
        <f t="shared" ref="C68:E69" si="58">ROUND(C55/100,0)</f>
        <v>906</v>
      </c>
      <c r="D68" s="138">
        <f t="shared" si="58"/>
        <v>1097</v>
      </c>
      <c r="E68" s="138">
        <f t="shared" si="58"/>
        <v>0</v>
      </c>
      <c r="F68" s="672"/>
      <c r="G68" s="672"/>
      <c r="H68" s="672"/>
      <c r="I68" s="672"/>
    </row>
    <row r="69" spans="1:13" s="133" customFormat="1">
      <c r="A69" s="134" t="s">
        <v>73</v>
      </c>
      <c r="B69" s="141">
        <f>ROUND(B56/100,0)</f>
        <v>4891</v>
      </c>
      <c r="C69" s="141">
        <f t="shared" si="58"/>
        <v>4874</v>
      </c>
      <c r="D69" s="141">
        <f t="shared" si="58"/>
        <v>4348</v>
      </c>
      <c r="E69" s="141">
        <f t="shared" si="58"/>
        <v>3382</v>
      </c>
      <c r="F69" s="141">
        <f>ROUND(F56/100,0)</f>
        <v>3548</v>
      </c>
      <c r="G69" s="141">
        <f>ROUND(G56/100,0)</f>
        <v>3844</v>
      </c>
      <c r="H69" s="141">
        <f t="shared" ref="H69:I70" si="59">ROUND(H56/100,0)</f>
        <v>3338</v>
      </c>
      <c r="I69" s="141">
        <f t="shared" si="59"/>
        <v>2794</v>
      </c>
    </row>
    <row r="70" spans="1:13" s="133" customFormat="1">
      <c r="A70" s="134" t="s">
        <v>74</v>
      </c>
      <c r="B70" s="141">
        <f>ROUND(B57/100,0)</f>
        <v>18578</v>
      </c>
      <c r="C70" s="141">
        <f>ROUND(C57/100,0)</f>
        <v>19856</v>
      </c>
      <c r="D70" s="141">
        <f>ROUND(D57/100,0)</f>
        <v>17227</v>
      </c>
      <c r="E70" s="141">
        <f>ROUND(E57/100,0)</f>
        <v>15748</v>
      </c>
      <c r="F70" s="141">
        <f>ROUND(F57/100,0)</f>
        <v>17428</v>
      </c>
      <c r="G70" s="141">
        <f>ROUND(G57/100,0)</f>
        <v>17611</v>
      </c>
      <c r="H70" s="141">
        <f t="shared" si="59"/>
        <v>17642</v>
      </c>
      <c r="I70" s="141">
        <f t="shared" si="59"/>
        <v>20427</v>
      </c>
    </row>
    <row r="71" spans="1:13">
      <c r="B71" s="139">
        <f t="shared" ref="B71:E71" si="60">SUM(B62:B66,B69)-B70</f>
        <v>0</v>
      </c>
      <c r="C71" s="139">
        <f t="shared" si="60"/>
        <v>0</v>
      </c>
      <c r="D71" s="139">
        <f t="shared" si="60"/>
        <v>0</v>
      </c>
      <c r="E71" s="139">
        <f t="shared" si="60"/>
        <v>-1</v>
      </c>
      <c r="F71" s="139">
        <f>SUM(F62:F66,F69)-F70</f>
        <v>1</v>
      </c>
      <c r="G71" s="139">
        <f>SUM(I62:I66,I69)-I70</f>
        <v>1</v>
      </c>
      <c r="H71" s="139">
        <f>SUM(I62:I66,I69)-I70</f>
        <v>1</v>
      </c>
      <c r="I71" s="139">
        <f>SUM(J62:J66,J69)-J70</f>
        <v>0</v>
      </c>
      <c r="J71" s="139"/>
      <c r="K71" s="139"/>
    </row>
    <row r="72" spans="1:13">
      <c r="B72" s="139"/>
      <c r="C72" s="139"/>
      <c r="D72" s="139"/>
      <c r="E72" s="139"/>
      <c r="F72" s="139"/>
      <c r="G72" s="139"/>
      <c r="H72" s="139"/>
      <c r="I72" s="139"/>
      <c r="J72" s="139"/>
      <c r="K72" s="139"/>
      <c r="L72" s="139"/>
      <c r="M72" s="139"/>
    </row>
    <row r="73" spans="1:13" hidden="1">
      <c r="A73" s="673" t="s">
        <v>47</v>
      </c>
      <c r="B73" s="673"/>
      <c r="C73" s="673"/>
      <c r="D73" s="673"/>
      <c r="E73" s="148"/>
      <c r="F73" s="148"/>
    </row>
    <row r="74" spans="1:13" hidden="1">
      <c r="A74" s="155"/>
      <c r="B74" s="156" t="s">
        <v>48</v>
      </c>
      <c r="C74" s="156" t="s">
        <v>49</v>
      </c>
      <c r="D74" s="156" t="s">
        <v>50</v>
      </c>
      <c r="E74" s="156" t="s">
        <v>51</v>
      </c>
      <c r="F74" s="156" t="s">
        <v>52</v>
      </c>
      <c r="G74" s="156" t="s">
        <v>53</v>
      </c>
      <c r="H74" s="156" t="s">
        <v>54</v>
      </c>
    </row>
    <row r="75" spans="1:13" ht="21" hidden="1">
      <c r="A75" s="157" t="s">
        <v>55</v>
      </c>
      <c r="B75" s="158">
        <v>777637</v>
      </c>
      <c r="C75" s="158">
        <v>738656</v>
      </c>
      <c r="D75" s="158">
        <v>686522</v>
      </c>
      <c r="E75" s="158">
        <v>635039</v>
      </c>
      <c r="F75" s="158">
        <v>618500</v>
      </c>
      <c r="G75" s="158">
        <v>628573</v>
      </c>
      <c r="H75" s="158">
        <v>652624</v>
      </c>
    </row>
    <row r="76" spans="1:13" hidden="1">
      <c r="A76" s="159" t="s">
        <v>56</v>
      </c>
      <c r="B76" s="158">
        <v>12844</v>
      </c>
      <c r="C76" s="158">
        <v>15155</v>
      </c>
      <c r="D76" s="158">
        <v>76659</v>
      </c>
      <c r="E76" s="158">
        <v>84384</v>
      </c>
      <c r="F76" s="158">
        <v>72843</v>
      </c>
      <c r="G76" s="158">
        <v>60716</v>
      </c>
      <c r="H76" s="158">
        <v>47208</v>
      </c>
    </row>
    <row r="77" spans="1:13" hidden="1">
      <c r="A77" s="159" t="s">
        <v>57</v>
      </c>
      <c r="B77" s="158">
        <f t="shared" ref="B77:H77" si="61">SUM(B75:B76)</f>
        <v>790481</v>
      </c>
      <c r="C77" s="158">
        <f t="shared" si="61"/>
        <v>753811</v>
      </c>
      <c r="D77" s="158">
        <f t="shared" si="61"/>
        <v>763181</v>
      </c>
      <c r="E77" s="158">
        <f t="shared" si="61"/>
        <v>719423</v>
      </c>
      <c r="F77" s="158">
        <f t="shared" si="61"/>
        <v>691343</v>
      </c>
      <c r="G77" s="158">
        <f t="shared" si="61"/>
        <v>689289</v>
      </c>
      <c r="H77" s="158">
        <f t="shared" si="61"/>
        <v>699832</v>
      </c>
      <c r="I77" s="160"/>
      <c r="J77" s="160"/>
      <c r="K77" s="160"/>
      <c r="L77" s="160"/>
      <c r="M77" s="160"/>
    </row>
    <row r="78" spans="1:13" ht="6.75" hidden="1" customHeight="1">
      <c r="A78" s="161"/>
      <c r="B78" s="162"/>
      <c r="C78" s="162"/>
      <c r="D78" s="162"/>
      <c r="E78" s="162"/>
      <c r="F78" s="162"/>
      <c r="G78" s="162"/>
      <c r="H78" s="162"/>
      <c r="I78" s="160"/>
      <c r="J78" s="160"/>
      <c r="K78" s="160"/>
      <c r="L78" s="160"/>
      <c r="M78" s="160"/>
    </row>
    <row r="79" spans="1:13" hidden="1">
      <c r="A79" s="159" t="s">
        <v>58</v>
      </c>
      <c r="B79" s="158" t="s">
        <v>59</v>
      </c>
      <c r="C79" s="158">
        <f>C77-B77</f>
        <v>-36670</v>
      </c>
      <c r="D79" s="158">
        <f>D77-B77</f>
        <v>-27300</v>
      </c>
      <c r="E79" s="158">
        <f>E77-B77</f>
        <v>-71058</v>
      </c>
      <c r="F79" s="158">
        <f>F77-B77</f>
        <v>-99138</v>
      </c>
      <c r="G79" s="158">
        <f>G77-B77</f>
        <v>-101192</v>
      </c>
      <c r="H79" s="158">
        <f>H77-B77</f>
        <v>-90649</v>
      </c>
      <c r="I79" s="160"/>
      <c r="J79" s="160"/>
      <c r="K79" s="160"/>
      <c r="L79" s="160"/>
      <c r="M79" s="160"/>
    </row>
    <row r="80" spans="1:13">
      <c r="B80" s="143"/>
      <c r="C80" s="143"/>
      <c r="D80" s="143"/>
      <c r="E80" s="143"/>
      <c r="F80" s="143"/>
      <c r="G80" s="163"/>
      <c r="H80" s="163"/>
      <c r="I80" s="163"/>
      <c r="J80" s="163"/>
      <c r="K80" s="163"/>
      <c r="L80" s="163"/>
      <c r="M80" s="163"/>
    </row>
    <row r="81" spans="1:9">
      <c r="A81" s="670" t="s">
        <v>78</v>
      </c>
      <c r="B81" s="670"/>
      <c r="C81" s="670"/>
      <c r="D81" s="670"/>
    </row>
    <row r="82" spans="1:9">
      <c r="A82" s="130"/>
      <c r="B82" s="131" t="s">
        <v>48</v>
      </c>
      <c r="C82" s="131" t="s">
        <v>49</v>
      </c>
      <c r="D82" s="131" t="s">
        <v>65</v>
      </c>
      <c r="E82" s="132" t="s">
        <v>408</v>
      </c>
      <c r="F82" s="132" t="s">
        <v>211</v>
      </c>
      <c r="G82" s="132" t="s">
        <v>231</v>
      </c>
      <c r="H82" s="132" t="s">
        <v>287</v>
      </c>
      <c r="I82" s="132" t="s">
        <v>362</v>
      </c>
    </row>
    <row r="83" spans="1:9">
      <c r="A83" s="134" t="s">
        <v>235</v>
      </c>
      <c r="B83" s="145">
        <f>B49/B$57*100</f>
        <v>41.858333292962634</v>
      </c>
      <c r="C83" s="145">
        <f t="shared" ref="C83:E86" si="62">C49/C$57*100</f>
        <v>37.201113027712374</v>
      </c>
      <c r="D83" s="145">
        <f t="shared" si="62"/>
        <v>35.587409449472531</v>
      </c>
      <c r="E83" s="145">
        <f>E49/E$57*100</f>
        <v>41.875608792777413</v>
      </c>
      <c r="F83" s="145">
        <f>G49/G$57*100</f>
        <v>41.872982128600938</v>
      </c>
      <c r="G83" s="145">
        <f t="shared" ref="F83:I86" si="63">G49/G$57*100</f>
        <v>41.872982128600938</v>
      </c>
      <c r="H83" s="145">
        <f t="shared" si="63"/>
        <v>43.992055385571135</v>
      </c>
      <c r="I83" s="145">
        <f>I49/I$57*100</f>
        <v>36.455106881384062</v>
      </c>
    </row>
    <row r="84" spans="1:9">
      <c r="A84" s="134" t="s">
        <v>68</v>
      </c>
      <c r="B84" s="145">
        <f>B50/B$57*100</f>
        <v>0.69136169294260952</v>
      </c>
      <c r="C84" s="145">
        <f t="shared" si="62"/>
        <v>0.76325497651813701</v>
      </c>
      <c r="D84" s="145">
        <f t="shared" si="62"/>
        <v>4.6715625919727488</v>
      </c>
      <c r="E84" s="145">
        <f t="shared" si="62"/>
        <v>2.0894212611074918</v>
      </c>
      <c r="F84" s="145">
        <f t="shared" si="63"/>
        <v>3.0278566252222694</v>
      </c>
      <c r="G84" s="145">
        <f t="shared" si="63"/>
        <v>2.4780568019087656</v>
      </c>
      <c r="H84" s="145">
        <f t="shared" si="63"/>
        <v>2.5231632897142866</v>
      </c>
      <c r="I84" s="145">
        <f t="shared" si="63"/>
        <v>1.6579648844535499</v>
      </c>
    </row>
    <row r="85" spans="1:9">
      <c r="A85" s="134" t="s">
        <v>69</v>
      </c>
      <c r="B85" s="145">
        <f>B51/B$57*100</f>
        <v>3.9187030993393739</v>
      </c>
      <c r="C85" s="145">
        <f t="shared" si="62"/>
        <v>4.3484129282449668</v>
      </c>
      <c r="D85" s="145">
        <f t="shared" si="62"/>
        <v>5.1013057155312982</v>
      </c>
      <c r="E85" s="145">
        <f t="shared" si="62"/>
        <v>5.4766903008436421</v>
      </c>
      <c r="F85" s="145">
        <f t="shared" si="63"/>
        <v>7.9175840033692575</v>
      </c>
      <c r="G85" s="145">
        <f t="shared" si="63"/>
        <v>5.4144536089732886</v>
      </c>
      <c r="H85" s="145">
        <f t="shared" si="63"/>
        <v>5.0050617442101695</v>
      </c>
      <c r="I85" s="145">
        <f t="shared" si="63"/>
        <v>5.1934586096240976</v>
      </c>
    </row>
    <row r="86" spans="1:9">
      <c r="A86" s="134" t="s">
        <v>70</v>
      </c>
      <c r="B86" s="145">
        <f>B52/B$57*100</f>
        <v>11.817795727488086</v>
      </c>
      <c r="C86" s="145">
        <f t="shared" si="62"/>
        <v>12.630346373216828</v>
      </c>
      <c r="D86" s="145">
        <f t="shared" si="62"/>
        <v>15.299795606438193</v>
      </c>
      <c r="E86" s="145">
        <f t="shared" si="62"/>
        <v>23.275663909557682</v>
      </c>
      <c r="F86" s="145">
        <f t="shared" si="63"/>
        <v>23.17437803280551</v>
      </c>
      <c r="G86" s="145">
        <f t="shared" si="63"/>
        <v>22.52435641045733</v>
      </c>
      <c r="H86" s="145">
        <f t="shared" si="63"/>
        <v>23.873804425086753</v>
      </c>
      <c r="I86" s="145">
        <f t="shared" si="63"/>
        <v>37.702435764692062</v>
      </c>
    </row>
    <row r="87" spans="1:9">
      <c r="A87" s="134" t="s">
        <v>71</v>
      </c>
      <c r="B87" s="145">
        <f t="shared" ref="B87:E89" si="64">B54/B$57*100</f>
        <v>12.285396087702386</v>
      </c>
      <c r="C87" s="145">
        <f t="shared" si="64"/>
        <v>15.948931669667477</v>
      </c>
      <c r="D87" s="145">
        <f t="shared" si="64"/>
        <v>7.7334605786294084</v>
      </c>
      <c r="E87" s="145">
        <f t="shared" si="64"/>
        <v>5.8058035175681564</v>
      </c>
      <c r="F87" s="145">
        <f>F54/F$57*100</f>
        <v>6.7690985341547618</v>
      </c>
      <c r="G87" s="145">
        <f>G54/G$57*100</f>
        <v>5.8825032450608639</v>
      </c>
      <c r="H87" s="145">
        <f>H54/H$57*100</f>
        <v>5.6832674494137336</v>
      </c>
      <c r="I87" s="145">
        <f>I54/I$57*100</f>
        <v>5.3153569933690212</v>
      </c>
    </row>
    <row r="88" spans="1:9">
      <c r="A88" s="134" t="s">
        <v>72</v>
      </c>
      <c r="B88" s="145">
        <f t="shared" si="64"/>
        <v>3.102246064260465</v>
      </c>
      <c r="C88" s="145">
        <f t="shared" si="64"/>
        <v>4.5622049028618914</v>
      </c>
      <c r="D88" s="145">
        <f t="shared" si="64"/>
        <v>6.3667926929156531</v>
      </c>
      <c r="E88" s="145">
        <f t="shared" si="64"/>
        <v>0</v>
      </c>
      <c r="F88" s="164"/>
      <c r="G88" s="164"/>
      <c r="H88" s="164"/>
      <c r="I88" s="164"/>
    </row>
    <row r="89" spans="1:9">
      <c r="A89" s="134" t="s">
        <v>73</v>
      </c>
      <c r="B89" s="145">
        <f t="shared" si="64"/>
        <v>26.326164035304444</v>
      </c>
      <c r="C89" s="145">
        <f t="shared" si="64"/>
        <v>24.545736121778326</v>
      </c>
      <c r="D89" s="145">
        <f t="shared" si="64"/>
        <v>25.239673365040165</v>
      </c>
      <c r="E89" s="145">
        <f t="shared" si="64"/>
        <v>21.476812218145614</v>
      </c>
      <c r="F89" s="145">
        <f>F56/F$57*100</f>
        <v>20.357501676882887</v>
      </c>
      <c r="G89" s="145">
        <f>G56/G$57*100</f>
        <v>21.827647804998811</v>
      </c>
      <c r="H89" s="145">
        <f>H56/H$57*100</f>
        <v>18.922647706003922</v>
      </c>
      <c r="I89" s="145">
        <f>I56/I$57*100</f>
        <v>13.675676866477209</v>
      </c>
    </row>
    <row r="90" spans="1:9">
      <c r="A90" s="134" t="s">
        <v>74</v>
      </c>
      <c r="B90" s="147">
        <f t="shared" ref="B90:I90" si="65">SUM(B83:B89)</f>
        <v>100</v>
      </c>
      <c r="C90" s="147">
        <f t="shared" si="65"/>
        <v>100</v>
      </c>
      <c r="D90" s="147">
        <f t="shared" si="65"/>
        <v>100</v>
      </c>
      <c r="E90" s="147">
        <f t="shared" si="65"/>
        <v>99.999999999999986</v>
      </c>
      <c r="F90" s="147">
        <f t="shared" si="65"/>
        <v>103.11940100103563</v>
      </c>
      <c r="G90" s="147">
        <f t="shared" si="65"/>
        <v>100</v>
      </c>
      <c r="H90" s="147">
        <f t="shared" ref="H90" si="66">SUM(H83:H89)</f>
        <v>100</v>
      </c>
      <c r="I90" s="147">
        <f t="shared" si="65"/>
        <v>100</v>
      </c>
    </row>
    <row r="92" spans="1:9">
      <c r="A92" s="670" t="s">
        <v>79</v>
      </c>
      <c r="B92" s="670"/>
      <c r="C92" s="670"/>
      <c r="D92" s="670"/>
      <c r="E92" s="148" t="s">
        <v>80</v>
      </c>
    </row>
    <row r="93" spans="1:9">
      <c r="A93" s="130"/>
      <c r="B93" s="131" t="s">
        <v>48</v>
      </c>
      <c r="C93" s="131" t="s">
        <v>49</v>
      </c>
      <c r="D93" s="131" t="s">
        <v>65</v>
      </c>
      <c r="E93" s="132" t="s">
        <v>408</v>
      </c>
      <c r="F93" s="132" t="s">
        <v>211</v>
      </c>
      <c r="G93" s="132" t="s">
        <v>231</v>
      </c>
      <c r="H93" s="132" t="s">
        <v>287</v>
      </c>
      <c r="I93" s="132" t="s">
        <v>362</v>
      </c>
    </row>
    <row r="94" spans="1:9">
      <c r="A94" s="134" t="s">
        <v>235</v>
      </c>
      <c r="B94" s="147">
        <f t="shared" ref="B94:I100" si="67">ROUND(B83,1)</f>
        <v>41.9</v>
      </c>
      <c r="C94" s="147">
        <f t="shared" si="67"/>
        <v>37.200000000000003</v>
      </c>
      <c r="D94" s="147">
        <f t="shared" si="67"/>
        <v>35.6</v>
      </c>
      <c r="E94" s="147">
        <f>ROUND(E83,1)</f>
        <v>41.9</v>
      </c>
      <c r="F94" s="147">
        <f t="shared" si="67"/>
        <v>41.9</v>
      </c>
      <c r="G94" s="147">
        <f t="shared" si="67"/>
        <v>41.9</v>
      </c>
      <c r="H94" s="147">
        <f t="shared" ref="H94" si="68">ROUND(H83,1)</f>
        <v>44</v>
      </c>
      <c r="I94" s="147">
        <f>ROUND(I83,1)</f>
        <v>36.5</v>
      </c>
    </row>
    <row r="95" spans="1:9">
      <c r="A95" s="134" t="s">
        <v>68</v>
      </c>
      <c r="B95" s="147">
        <f t="shared" si="67"/>
        <v>0.7</v>
      </c>
      <c r="C95" s="147">
        <f t="shared" si="67"/>
        <v>0.8</v>
      </c>
      <c r="D95" s="147">
        <f t="shared" si="67"/>
        <v>4.7</v>
      </c>
      <c r="E95" s="147">
        <f t="shared" si="67"/>
        <v>2.1</v>
      </c>
      <c r="F95" s="147">
        <f t="shared" si="67"/>
        <v>3</v>
      </c>
      <c r="G95" s="147">
        <f t="shared" si="67"/>
        <v>2.5</v>
      </c>
      <c r="H95" s="147">
        <f t="shared" ref="H95" si="69">ROUND(H84,1)</f>
        <v>2.5</v>
      </c>
      <c r="I95" s="147">
        <f t="shared" si="67"/>
        <v>1.7</v>
      </c>
    </row>
    <row r="96" spans="1:9">
      <c r="A96" s="134" t="s">
        <v>69</v>
      </c>
      <c r="B96" s="147">
        <f t="shared" si="67"/>
        <v>3.9</v>
      </c>
      <c r="C96" s="184">
        <f>ROUND(C85,1)+0.1</f>
        <v>4.3999999999999995</v>
      </c>
      <c r="D96" s="184">
        <f t="shared" si="67"/>
        <v>5.0999999999999996</v>
      </c>
      <c r="E96" s="184">
        <f t="shared" si="67"/>
        <v>5.5</v>
      </c>
      <c r="F96" s="184">
        <f t="shared" si="67"/>
        <v>7.9</v>
      </c>
      <c r="G96" s="184">
        <f t="shared" si="67"/>
        <v>5.4</v>
      </c>
      <c r="H96" s="184">
        <f t="shared" ref="H96" si="70">ROUND(H85,1)</f>
        <v>5</v>
      </c>
      <c r="I96" s="184">
        <f t="shared" si="67"/>
        <v>5.2</v>
      </c>
    </row>
    <row r="97" spans="1:9">
      <c r="A97" s="134" t="s">
        <v>70</v>
      </c>
      <c r="B97" s="147">
        <f t="shared" si="67"/>
        <v>11.8</v>
      </c>
      <c r="C97" s="184">
        <f t="shared" si="67"/>
        <v>12.6</v>
      </c>
      <c r="D97" s="184">
        <f t="shared" si="67"/>
        <v>15.3</v>
      </c>
      <c r="E97" s="184">
        <f t="shared" si="67"/>
        <v>23.3</v>
      </c>
      <c r="F97" s="184">
        <f t="shared" si="67"/>
        <v>23.2</v>
      </c>
      <c r="G97" s="184">
        <f t="shared" si="67"/>
        <v>22.5</v>
      </c>
      <c r="H97" s="184">
        <f t="shared" ref="H97" si="71">ROUND(H86,1)</f>
        <v>23.9</v>
      </c>
      <c r="I97" s="184">
        <f t="shared" si="67"/>
        <v>37.700000000000003</v>
      </c>
    </row>
    <row r="98" spans="1:9">
      <c r="A98" s="134" t="s">
        <v>71</v>
      </c>
      <c r="B98" s="147">
        <f t="shared" si="67"/>
        <v>12.3</v>
      </c>
      <c r="C98" s="184">
        <f t="shared" si="67"/>
        <v>15.9</v>
      </c>
      <c r="D98" s="184">
        <f t="shared" si="67"/>
        <v>7.7</v>
      </c>
      <c r="E98" s="184">
        <f t="shared" si="67"/>
        <v>5.8</v>
      </c>
      <c r="F98" s="184">
        <f t="shared" si="67"/>
        <v>6.8</v>
      </c>
      <c r="G98" s="184">
        <f t="shared" si="67"/>
        <v>5.9</v>
      </c>
      <c r="H98" s="184">
        <f t="shared" ref="H98" si="72">ROUND(H87,1)</f>
        <v>5.7</v>
      </c>
      <c r="I98" s="184">
        <f t="shared" si="67"/>
        <v>5.3</v>
      </c>
    </row>
    <row r="99" spans="1:9">
      <c r="A99" s="134" t="s">
        <v>72</v>
      </c>
      <c r="B99" s="147">
        <f t="shared" si="67"/>
        <v>3.1</v>
      </c>
      <c r="C99" s="184">
        <f t="shared" si="67"/>
        <v>4.5999999999999996</v>
      </c>
      <c r="D99" s="184">
        <f t="shared" si="67"/>
        <v>6.4</v>
      </c>
      <c r="E99" s="184">
        <f t="shared" si="67"/>
        <v>0</v>
      </c>
      <c r="F99" s="185"/>
      <c r="G99" s="185"/>
      <c r="H99" s="185"/>
      <c r="I99" s="185"/>
    </row>
    <row r="100" spans="1:9">
      <c r="A100" s="134" t="s">
        <v>73</v>
      </c>
      <c r="B100" s="147">
        <f t="shared" si="67"/>
        <v>26.3</v>
      </c>
      <c r="C100" s="184">
        <f t="shared" si="67"/>
        <v>24.5</v>
      </c>
      <c r="D100" s="184">
        <f t="shared" si="67"/>
        <v>25.2</v>
      </c>
      <c r="E100" s="184">
        <f t="shared" si="67"/>
        <v>21.5</v>
      </c>
      <c r="F100" s="184">
        <f>ROUND(F89,1)</f>
        <v>20.399999999999999</v>
      </c>
      <c r="G100" s="184">
        <f>ROUND(G89,1)-0.1</f>
        <v>21.7</v>
      </c>
      <c r="H100" s="184">
        <f>ROUND(H89,1)-0.1</f>
        <v>18.799999999999997</v>
      </c>
      <c r="I100" s="184">
        <f>ROUND(I89,1)</f>
        <v>13.7</v>
      </c>
    </row>
    <row r="101" spans="1:9">
      <c r="A101" s="134" t="s">
        <v>74</v>
      </c>
      <c r="B101" s="147">
        <f>SUM(B94:B100)</f>
        <v>99.999999999999986</v>
      </c>
      <c r="C101" s="184">
        <f t="shared" ref="C101:I101" si="73">SUM(C94:C100)</f>
        <v>100</v>
      </c>
      <c r="D101" s="184">
        <f t="shared" si="73"/>
        <v>100.00000000000001</v>
      </c>
      <c r="E101" s="184">
        <f t="shared" si="73"/>
        <v>100.1</v>
      </c>
      <c r="F101" s="184">
        <f t="shared" si="73"/>
        <v>103.19999999999999</v>
      </c>
      <c r="G101" s="184">
        <f t="shared" si="73"/>
        <v>99.9</v>
      </c>
      <c r="H101" s="184">
        <f t="shared" ref="H101" si="74">SUM(H94:H100)</f>
        <v>99.9</v>
      </c>
      <c r="I101" s="184">
        <f t="shared" si="73"/>
        <v>100.10000000000001</v>
      </c>
    </row>
  </sheetData>
  <mergeCells count="30">
    <mergeCell ref="X30:X31"/>
    <mergeCell ref="H67:H68"/>
    <mergeCell ref="A73:D73"/>
    <mergeCell ref="A81:D81"/>
    <mergeCell ref="R30:R31"/>
    <mergeCell ref="A17:D17"/>
    <mergeCell ref="A24:D24"/>
    <mergeCell ref="Q30:Q31"/>
    <mergeCell ref="A92:D92"/>
    <mergeCell ref="W30:W31"/>
    <mergeCell ref="A35:D35"/>
    <mergeCell ref="F67:F68"/>
    <mergeCell ref="G67:G68"/>
    <mergeCell ref="I67:I68"/>
    <mergeCell ref="Z9:Z10"/>
    <mergeCell ref="Z30:Z31"/>
    <mergeCell ref="X9:X10"/>
    <mergeCell ref="Q9:Q10"/>
    <mergeCell ref="R9:R10"/>
    <mergeCell ref="S9:S10"/>
    <mergeCell ref="T9:T10"/>
    <mergeCell ref="U9:U10"/>
    <mergeCell ref="W9:W10"/>
    <mergeCell ref="S30:S31"/>
    <mergeCell ref="T30:T31"/>
    <mergeCell ref="U30:U31"/>
    <mergeCell ref="V30:V31"/>
    <mergeCell ref="V9:V10"/>
    <mergeCell ref="Y9:Y10"/>
    <mergeCell ref="Y30:Y31"/>
  </mergeCells>
  <phoneticPr fontId="9"/>
  <pageMargins left="0.78740157480314965" right="0.78740157480314965" top="0.98425196850393704" bottom="0.98425196850393704" header="0.51181102362204722" footer="0.51181102362204722"/>
  <pageSetup paperSize="9" scale="3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B2:Q15"/>
  <sheetViews>
    <sheetView view="pageBreakPreview" zoomScaleNormal="100" zoomScaleSheetLayoutView="100" workbookViewId="0">
      <selection activeCell="C1" sqref="C1:K1048576"/>
    </sheetView>
  </sheetViews>
  <sheetFormatPr defaultColWidth="10.28515625" defaultRowHeight="13.5"/>
  <cols>
    <col min="1" max="1" width="3.85546875" style="167" customWidth="1"/>
    <col min="2" max="2" width="17" style="167" customWidth="1"/>
    <col min="3" max="3" width="8.28515625" style="167" bestFit="1" customWidth="1"/>
    <col min="4" max="10" width="8.28515625" style="167" hidden="1" customWidth="1"/>
    <col min="11" max="12" width="8.28515625" style="167" customWidth="1"/>
    <col min="13" max="13" width="8.28515625" style="167" bestFit="1" customWidth="1"/>
    <col min="14" max="15" width="8.28515625" style="167" customWidth="1"/>
    <col min="16" max="16" width="5.28515625" style="167" customWidth="1"/>
    <col min="17" max="17" width="12" style="167" bestFit="1" customWidth="1"/>
    <col min="18" max="261" width="10.28515625" style="167"/>
    <col min="262" max="262" width="17" style="167" customWidth="1"/>
    <col min="263" max="271" width="8.28515625" style="167" bestFit="1" customWidth="1"/>
    <col min="272" max="273" width="12" style="167" bestFit="1" customWidth="1"/>
    <col min="274" max="517" width="10.28515625" style="167"/>
    <col min="518" max="518" width="17" style="167" customWidth="1"/>
    <col min="519" max="527" width="8.28515625" style="167" bestFit="1" customWidth="1"/>
    <col min="528" max="529" width="12" style="167" bestFit="1" customWidth="1"/>
    <col min="530" max="773" width="10.28515625" style="167"/>
    <col min="774" max="774" width="17" style="167" customWidth="1"/>
    <col min="775" max="783" width="8.28515625" style="167" bestFit="1" customWidth="1"/>
    <col min="784" max="785" width="12" style="167" bestFit="1" customWidth="1"/>
    <col min="786" max="1029" width="10.28515625" style="167"/>
    <col min="1030" max="1030" width="17" style="167" customWidth="1"/>
    <col min="1031" max="1039" width="8.28515625" style="167" bestFit="1" customWidth="1"/>
    <col min="1040" max="1041" width="12" style="167" bestFit="1" customWidth="1"/>
    <col min="1042" max="1285" width="10.28515625" style="167"/>
    <col min="1286" max="1286" width="17" style="167" customWidth="1"/>
    <col min="1287" max="1295" width="8.28515625" style="167" bestFit="1" customWidth="1"/>
    <col min="1296" max="1297" width="12" style="167" bestFit="1" customWidth="1"/>
    <col min="1298" max="1541" width="10.28515625" style="167"/>
    <col min="1542" max="1542" width="17" style="167" customWidth="1"/>
    <col min="1543" max="1551" width="8.28515625" style="167" bestFit="1" customWidth="1"/>
    <col min="1552" max="1553" width="12" style="167" bestFit="1" customWidth="1"/>
    <col min="1554" max="1797" width="10.28515625" style="167"/>
    <col min="1798" max="1798" width="17" style="167" customWidth="1"/>
    <col min="1799" max="1807" width="8.28515625" style="167" bestFit="1" customWidth="1"/>
    <col min="1808" max="1809" width="12" style="167" bestFit="1" customWidth="1"/>
    <col min="1810" max="2053" width="10.28515625" style="167"/>
    <col min="2054" max="2054" width="17" style="167" customWidth="1"/>
    <col min="2055" max="2063" width="8.28515625" style="167" bestFit="1" customWidth="1"/>
    <col min="2064" max="2065" width="12" style="167" bestFit="1" customWidth="1"/>
    <col min="2066" max="2309" width="10.28515625" style="167"/>
    <col min="2310" max="2310" width="17" style="167" customWidth="1"/>
    <col min="2311" max="2319" width="8.28515625" style="167" bestFit="1" customWidth="1"/>
    <col min="2320" max="2321" width="12" style="167" bestFit="1" customWidth="1"/>
    <col min="2322" max="2565" width="10.28515625" style="167"/>
    <col min="2566" max="2566" width="17" style="167" customWidth="1"/>
    <col min="2567" max="2575" width="8.28515625" style="167" bestFit="1" customWidth="1"/>
    <col min="2576" max="2577" width="12" style="167" bestFit="1" customWidth="1"/>
    <col min="2578" max="2821" width="10.28515625" style="167"/>
    <col min="2822" max="2822" width="17" style="167" customWidth="1"/>
    <col min="2823" max="2831" width="8.28515625" style="167" bestFit="1" customWidth="1"/>
    <col min="2832" max="2833" width="12" style="167" bestFit="1" customWidth="1"/>
    <col min="2834" max="3077" width="10.28515625" style="167"/>
    <col min="3078" max="3078" width="17" style="167" customWidth="1"/>
    <col min="3079" max="3087" width="8.28515625" style="167" bestFit="1" customWidth="1"/>
    <col min="3088" max="3089" width="12" style="167" bestFit="1" customWidth="1"/>
    <col min="3090" max="3333" width="10.28515625" style="167"/>
    <col min="3334" max="3334" width="17" style="167" customWidth="1"/>
    <col min="3335" max="3343" width="8.28515625" style="167" bestFit="1" customWidth="1"/>
    <col min="3344" max="3345" width="12" style="167" bestFit="1" customWidth="1"/>
    <col min="3346" max="3589" width="10.28515625" style="167"/>
    <col min="3590" max="3590" width="17" style="167" customWidth="1"/>
    <col min="3591" max="3599" width="8.28515625" style="167" bestFit="1" customWidth="1"/>
    <col min="3600" max="3601" width="12" style="167" bestFit="1" customWidth="1"/>
    <col min="3602" max="3845" width="10.28515625" style="167"/>
    <col min="3846" max="3846" width="17" style="167" customWidth="1"/>
    <col min="3847" max="3855" width="8.28515625" style="167" bestFit="1" customWidth="1"/>
    <col min="3856" max="3857" width="12" style="167" bestFit="1" customWidth="1"/>
    <col min="3858" max="4101" width="10.28515625" style="167"/>
    <col min="4102" max="4102" width="17" style="167" customWidth="1"/>
    <col min="4103" max="4111" width="8.28515625" style="167" bestFit="1" customWidth="1"/>
    <col min="4112" max="4113" width="12" style="167" bestFit="1" customWidth="1"/>
    <col min="4114" max="4357" width="10.28515625" style="167"/>
    <col min="4358" max="4358" width="17" style="167" customWidth="1"/>
    <col min="4359" max="4367" width="8.28515625" style="167" bestFit="1" customWidth="1"/>
    <col min="4368" max="4369" width="12" style="167" bestFit="1" customWidth="1"/>
    <col min="4370" max="4613" width="10.28515625" style="167"/>
    <col min="4614" max="4614" width="17" style="167" customWidth="1"/>
    <col min="4615" max="4623" width="8.28515625" style="167" bestFit="1" customWidth="1"/>
    <col min="4624" max="4625" width="12" style="167" bestFit="1" customWidth="1"/>
    <col min="4626" max="4869" width="10.28515625" style="167"/>
    <col min="4870" max="4870" width="17" style="167" customWidth="1"/>
    <col min="4871" max="4879" width="8.28515625" style="167" bestFit="1" customWidth="1"/>
    <col min="4880" max="4881" width="12" style="167" bestFit="1" customWidth="1"/>
    <col min="4882" max="5125" width="10.28515625" style="167"/>
    <col min="5126" max="5126" width="17" style="167" customWidth="1"/>
    <col min="5127" max="5135" width="8.28515625" style="167" bestFit="1" customWidth="1"/>
    <col min="5136" max="5137" width="12" style="167" bestFit="1" customWidth="1"/>
    <col min="5138" max="5381" width="10.28515625" style="167"/>
    <col min="5382" max="5382" width="17" style="167" customWidth="1"/>
    <col min="5383" max="5391" width="8.28515625" style="167" bestFit="1" customWidth="1"/>
    <col min="5392" max="5393" width="12" style="167" bestFit="1" customWidth="1"/>
    <col min="5394" max="5637" width="10.28515625" style="167"/>
    <col min="5638" max="5638" width="17" style="167" customWidth="1"/>
    <col min="5639" max="5647" width="8.28515625" style="167" bestFit="1" customWidth="1"/>
    <col min="5648" max="5649" width="12" style="167" bestFit="1" customWidth="1"/>
    <col min="5650" max="5893" width="10.28515625" style="167"/>
    <col min="5894" max="5894" width="17" style="167" customWidth="1"/>
    <col min="5895" max="5903" width="8.28515625" style="167" bestFit="1" customWidth="1"/>
    <col min="5904" max="5905" width="12" style="167" bestFit="1" customWidth="1"/>
    <col min="5906" max="6149" width="10.28515625" style="167"/>
    <col min="6150" max="6150" width="17" style="167" customWidth="1"/>
    <col min="6151" max="6159" width="8.28515625" style="167" bestFit="1" customWidth="1"/>
    <col min="6160" max="6161" width="12" style="167" bestFit="1" customWidth="1"/>
    <col min="6162" max="6405" width="10.28515625" style="167"/>
    <col min="6406" max="6406" width="17" style="167" customWidth="1"/>
    <col min="6407" max="6415" width="8.28515625" style="167" bestFit="1" customWidth="1"/>
    <col min="6416" max="6417" width="12" style="167" bestFit="1" customWidth="1"/>
    <col min="6418" max="6661" width="10.28515625" style="167"/>
    <col min="6662" max="6662" width="17" style="167" customWidth="1"/>
    <col min="6663" max="6671" width="8.28515625" style="167" bestFit="1" customWidth="1"/>
    <col min="6672" max="6673" width="12" style="167" bestFit="1" customWidth="1"/>
    <col min="6674" max="6917" width="10.28515625" style="167"/>
    <col min="6918" max="6918" width="17" style="167" customWidth="1"/>
    <col min="6919" max="6927" width="8.28515625" style="167" bestFit="1" customWidth="1"/>
    <col min="6928" max="6929" width="12" style="167" bestFit="1" customWidth="1"/>
    <col min="6930" max="7173" width="10.28515625" style="167"/>
    <col min="7174" max="7174" width="17" style="167" customWidth="1"/>
    <col min="7175" max="7183" width="8.28515625" style="167" bestFit="1" customWidth="1"/>
    <col min="7184" max="7185" width="12" style="167" bestFit="1" customWidth="1"/>
    <col min="7186" max="7429" width="10.28515625" style="167"/>
    <col min="7430" max="7430" width="17" style="167" customWidth="1"/>
    <col min="7431" max="7439" width="8.28515625" style="167" bestFit="1" customWidth="1"/>
    <col min="7440" max="7441" width="12" style="167" bestFit="1" customWidth="1"/>
    <col min="7442" max="7685" width="10.28515625" style="167"/>
    <col min="7686" max="7686" width="17" style="167" customWidth="1"/>
    <col min="7687" max="7695" width="8.28515625" style="167" bestFit="1" customWidth="1"/>
    <col min="7696" max="7697" width="12" style="167" bestFit="1" customWidth="1"/>
    <col min="7698" max="7941" width="10.28515625" style="167"/>
    <col min="7942" max="7942" width="17" style="167" customWidth="1"/>
    <col min="7943" max="7951" width="8.28515625" style="167" bestFit="1" customWidth="1"/>
    <col min="7952" max="7953" width="12" style="167" bestFit="1" customWidth="1"/>
    <col min="7954" max="8197" width="10.28515625" style="167"/>
    <col min="8198" max="8198" width="17" style="167" customWidth="1"/>
    <col min="8199" max="8207" width="8.28515625" style="167" bestFit="1" customWidth="1"/>
    <col min="8208" max="8209" width="12" style="167" bestFit="1" customWidth="1"/>
    <col min="8210" max="8453" width="10.28515625" style="167"/>
    <col min="8454" max="8454" width="17" style="167" customWidth="1"/>
    <col min="8455" max="8463" width="8.28515625" style="167" bestFit="1" customWidth="1"/>
    <col min="8464" max="8465" width="12" style="167" bestFit="1" customWidth="1"/>
    <col min="8466" max="8709" width="10.28515625" style="167"/>
    <col min="8710" max="8710" width="17" style="167" customWidth="1"/>
    <col min="8711" max="8719" width="8.28515625" style="167" bestFit="1" customWidth="1"/>
    <col min="8720" max="8721" width="12" style="167" bestFit="1" customWidth="1"/>
    <col min="8722" max="8965" width="10.28515625" style="167"/>
    <col min="8966" max="8966" width="17" style="167" customWidth="1"/>
    <col min="8967" max="8975" width="8.28515625" style="167" bestFit="1" customWidth="1"/>
    <col min="8976" max="8977" width="12" style="167" bestFit="1" customWidth="1"/>
    <col min="8978" max="9221" width="10.28515625" style="167"/>
    <col min="9222" max="9222" width="17" style="167" customWidth="1"/>
    <col min="9223" max="9231" width="8.28515625" style="167" bestFit="1" customWidth="1"/>
    <col min="9232" max="9233" width="12" style="167" bestFit="1" customWidth="1"/>
    <col min="9234" max="9477" width="10.28515625" style="167"/>
    <col min="9478" max="9478" width="17" style="167" customWidth="1"/>
    <col min="9479" max="9487" width="8.28515625" style="167" bestFit="1" customWidth="1"/>
    <col min="9488" max="9489" width="12" style="167" bestFit="1" customWidth="1"/>
    <col min="9490" max="9733" width="10.28515625" style="167"/>
    <col min="9734" max="9734" width="17" style="167" customWidth="1"/>
    <col min="9735" max="9743" width="8.28515625" style="167" bestFit="1" customWidth="1"/>
    <col min="9744" max="9745" width="12" style="167" bestFit="1" customWidth="1"/>
    <col min="9746" max="9989" width="10.28515625" style="167"/>
    <col min="9990" max="9990" width="17" style="167" customWidth="1"/>
    <col min="9991" max="9999" width="8.28515625" style="167" bestFit="1" customWidth="1"/>
    <col min="10000" max="10001" width="12" style="167" bestFit="1" customWidth="1"/>
    <col min="10002" max="10245" width="10.28515625" style="167"/>
    <col min="10246" max="10246" width="17" style="167" customWidth="1"/>
    <col min="10247" max="10255" width="8.28515625" style="167" bestFit="1" customWidth="1"/>
    <col min="10256" max="10257" width="12" style="167" bestFit="1" customWidth="1"/>
    <col min="10258" max="10501" width="10.28515625" style="167"/>
    <col min="10502" max="10502" width="17" style="167" customWidth="1"/>
    <col min="10503" max="10511" width="8.28515625" style="167" bestFit="1" customWidth="1"/>
    <col min="10512" max="10513" width="12" style="167" bestFit="1" customWidth="1"/>
    <col min="10514" max="10757" width="10.28515625" style="167"/>
    <col min="10758" max="10758" width="17" style="167" customWidth="1"/>
    <col min="10759" max="10767" width="8.28515625" style="167" bestFit="1" customWidth="1"/>
    <col min="10768" max="10769" width="12" style="167" bestFit="1" customWidth="1"/>
    <col min="10770" max="11013" width="10.28515625" style="167"/>
    <col min="11014" max="11014" width="17" style="167" customWidth="1"/>
    <col min="11015" max="11023" width="8.28515625" style="167" bestFit="1" customWidth="1"/>
    <col min="11024" max="11025" width="12" style="167" bestFit="1" customWidth="1"/>
    <col min="11026" max="11269" width="10.28515625" style="167"/>
    <col min="11270" max="11270" width="17" style="167" customWidth="1"/>
    <col min="11271" max="11279" width="8.28515625" style="167" bestFit="1" customWidth="1"/>
    <col min="11280" max="11281" width="12" style="167" bestFit="1" customWidth="1"/>
    <col min="11282" max="11525" width="10.28515625" style="167"/>
    <col min="11526" max="11526" width="17" style="167" customWidth="1"/>
    <col min="11527" max="11535" width="8.28515625" style="167" bestFit="1" customWidth="1"/>
    <col min="11536" max="11537" width="12" style="167" bestFit="1" customWidth="1"/>
    <col min="11538" max="11781" width="10.28515625" style="167"/>
    <col min="11782" max="11782" width="17" style="167" customWidth="1"/>
    <col min="11783" max="11791" width="8.28515625" style="167" bestFit="1" customWidth="1"/>
    <col min="11792" max="11793" width="12" style="167" bestFit="1" customWidth="1"/>
    <col min="11794" max="12037" width="10.28515625" style="167"/>
    <col min="12038" max="12038" width="17" style="167" customWidth="1"/>
    <col min="12039" max="12047" width="8.28515625" style="167" bestFit="1" customWidth="1"/>
    <col min="12048" max="12049" width="12" style="167" bestFit="1" customWidth="1"/>
    <col min="12050" max="12293" width="10.28515625" style="167"/>
    <col min="12294" max="12294" width="17" style="167" customWidth="1"/>
    <col min="12295" max="12303" width="8.28515625" style="167" bestFit="1" customWidth="1"/>
    <col min="12304" max="12305" width="12" style="167" bestFit="1" customWidth="1"/>
    <col min="12306" max="12549" width="10.28515625" style="167"/>
    <col min="12550" max="12550" width="17" style="167" customWidth="1"/>
    <col min="12551" max="12559" width="8.28515625" style="167" bestFit="1" customWidth="1"/>
    <col min="12560" max="12561" width="12" style="167" bestFit="1" customWidth="1"/>
    <col min="12562" max="12805" width="10.28515625" style="167"/>
    <col min="12806" max="12806" width="17" style="167" customWidth="1"/>
    <col min="12807" max="12815" width="8.28515625" style="167" bestFit="1" customWidth="1"/>
    <col min="12816" max="12817" width="12" style="167" bestFit="1" customWidth="1"/>
    <col min="12818" max="13061" width="10.28515625" style="167"/>
    <col min="13062" max="13062" width="17" style="167" customWidth="1"/>
    <col min="13063" max="13071" width="8.28515625" style="167" bestFit="1" customWidth="1"/>
    <col min="13072" max="13073" width="12" style="167" bestFit="1" customWidth="1"/>
    <col min="13074" max="13317" width="10.28515625" style="167"/>
    <col min="13318" max="13318" width="17" style="167" customWidth="1"/>
    <col min="13319" max="13327" width="8.28515625" style="167" bestFit="1" customWidth="1"/>
    <col min="13328" max="13329" width="12" style="167" bestFit="1" customWidth="1"/>
    <col min="13330" max="13573" width="10.28515625" style="167"/>
    <col min="13574" max="13574" width="17" style="167" customWidth="1"/>
    <col min="13575" max="13583" width="8.28515625" style="167" bestFit="1" customWidth="1"/>
    <col min="13584" max="13585" width="12" style="167" bestFit="1" customWidth="1"/>
    <col min="13586" max="13829" width="10.28515625" style="167"/>
    <col min="13830" max="13830" width="17" style="167" customWidth="1"/>
    <col min="13831" max="13839" width="8.28515625" style="167" bestFit="1" customWidth="1"/>
    <col min="13840" max="13841" width="12" style="167" bestFit="1" customWidth="1"/>
    <col min="13842" max="14085" width="10.28515625" style="167"/>
    <col min="14086" max="14086" width="17" style="167" customWidth="1"/>
    <col min="14087" max="14095" width="8.28515625" style="167" bestFit="1" customWidth="1"/>
    <col min="14096" max="14097" width="12" style="167" bestFit="1" customWidth="1"/>
    <col min="14098" max="14341" width="10.28515625" style="167"/>
    <col min="14342" max="14342" width="17" style="167" customWidth="1"/>
    <col min="14343" max="14351" width="8.28515625" style="167" bestFit="1" customWidth="1"/>
    <col min="14352" max="14353" width="12" style="167" bestFit="1" customWidth="1"/>
    <col min="14354" max="14597" width="10.28515625" style="167"/>
    <col min="14598" max="14598" width="17" style="167" customWidth="1"/>
    <col min="14599" max="14607" width="8.28515625" style="167" bestFit="1" customWidth="1"/>
    <col min="14608" max="14609" width="12" style="167" bestFit="1" customWidth="1"/>
    <col min="14610" max="14853" width="10.28515625" style="167"/>
    <col min="14854" max="14854" width="17" style="167" customWidth="1"/>
    <col min="14855" max="14863" width="8.28515625" style="167" bestFit="1" customWidth="1"/>
    <col min="14864" max="14865" width="12" style="167" bestFit="1" customWidth="1"/>
    <col min="14866" max="15109" width="10.28515625" style="167"/>
    <col min="15110" max="15110" width="17" style="167" customWidth="1"/>
    <col min="15111" max="15119" width="8.28515625" style="167" bestFit="1" customWidth="1"/>
    <col min="15120" max="15121" width="12" style="167" bestFit="1" customWidth="1"/>
    <col min="15122" max="15365" width="10.28515625" style="167"/>
    <col min="15366" max="15366" width="17" style="167" customWidth="1"/>
    <col min="15367" max="15375" width="8.28515625" style="167" bestFit="1" customWidth="1"/>
    <col min="15376" max="15377" width="12" style="167" bestFit="1" customWidth="1"/>
    <col min="15378" max="15621" width="10.28515625" style="167"/>
    <col min="15622" max="15622" width="17" style="167" customWidth="1"/>
    <col min="15623" max="15631" width="8.28515625" style="167" bestFit="1" customWidth="1"/>
    <col min="15632" max="15633" width="12" style="167" bestFit="1" customWidth="1"/>
    <col min="15634" max="15877" width="10.28515625" style="167"/>
    <col min="15878" max="15878" width="17" style="167" customWidth="1"/>
    <col min="15879" max="15887" width="8.28515625" style="167" bestFit="1" customWidth="1"/>
    <col min="15888" max="15889" width="12" style="167" bestFit="1" customWidth="1"/>
    <col min="15890" max="16133" width="10.28515625" style="167"/>
    <col min="16134" max="16134" width="17" style="167" customWidth="1"/>
    <col min="16135" max="16143" width="8.28515625" style="167" bestFit="1" customWidth="1"/>
    <col min="16144" max="16145" width="12" style="167" bestFit="1" customWidth="1"/>
    <col min="16146" max="16384" width="10.28515625" style="167"/>
  </cols>
  <sheetData>
    <row r="2" spans="2:17">
      <c r="B2" s="674" t="s">
        <v>47</v>
      </c>
      <c r="C2" s="674"/>
      <c r="D2" s="674"/>
      <c r="E2" s="674"/>
      <c r="F2" s="165"/>
      <c r="G2" s="165"/>
      <c r="H2" s="165"/>
      <c r="I2" s="166"/>
      <c r="J2" s="166"/>
      <c r="K2" s="166"/>
      <c r="L2" s="166"/>
      <c r="M2" s="166"/>
      <c r="N2" s="166"/>
      <c r="O2" s="166"/>
    </row>
    <row r="3" spans="2:17">
      <c r="B3" s="168"/>
      <c r="C3" s="169" t="s">
        <v>48</v>
      </c>
      <c r="D3" s="169" t="s">
        <v>49</v>
      </c>
      <c r="E3" s="169" t="s">
        <v>50</v>
      </c>
      <c r="F3" s="169" t="s">
        <v>51</v>
      </c>
      <c r="G3" s="169" t="s">
        <v>65</v>
      </c>
      <c r="H3" s="169" t="s">
        <v>52</v>
      </c>
      <c r="I3" s="169" t="s">
        <v>54</v>
      </c>
      <c r="J3" s="169" t="s">
        <v>104</v>
      </c>
      <c r="K3" s="169" t="s">
        <v>408</v>
      </c>
      <c r="L3" s="169" t="s">
        <v>336</v>
      </c>
      <c r="M3" s="169" t="s">
        <v>337</v>
      </c>
      <c r="N3" s="169" t="s">
        <v>338</v>
      </c>
      <c r="O3" s="169" t="s">
        <v>363</v>
      </c>
    </row>
    <row r="4" spans="2:17">
      <c r="B4" s="170" t="s">
        <v>67</v>
      </c>
      <c r="C4" s="171">
        <v>777637</v>
      </c>
      <c r="D4" s="171">
        <v>738656</v>
      </c>
      <c r="E4" s="171">
        <v>686522</v>
      </c>
      <c r="F4" s="171">
        <v>635039</v>
      </c>
      <c r="G4" s="171">
        <v>613049</v>
      </c>
      <c r="H4" s="171">
        <v>618500</v>
      </c>
      <c r="I4" s="171">
        <v>652624</v>
      </c>
      <c r="J4" s="171">
        <v>670787</v>
      </c>
      <c r="K4" s="171">
        <v>659473</v>
      </c>
      <c r="L4" s="171">
        <v>675404</v>
      </c>
      <c r="M4" s="171">
        <v>737441</v>
      </c>
      <c r="N4" s="171">
        <v>776114</v>
      </c>
      <c r="O4" s="171">
        <v>744663</v>
      </c>
    </row>
    <row r="5" spans="2:17" ht="19.5">
      <c r="B5" s="170" t="s">
        <v>147</v>
      </c>
      <c r="C5" s="171">
        <v>12844</v>
      </c>
      <c r="D5" s="171">
        <v>15155</v>
      </c>
      <c r="E5" s="171">
        <v>76659</v>
      </c>
      <c r="F5" s="171">
        <v>121116</v>
      </c>
      <c r="G5" s="171">
        <f>80475+61138</f>
        <v>141613</v>
      </c>
      <c r="H5" s="171">
        <v>116929</v>
      </c>
      <c r="I5" s="171">
        <v>77358</v>
      </c>
      <c r="J5" s="171">
        <v>42503</v>
      </c>
      <c r="K5" s="171">
        <v>88364</v>
      </c>
      <c r="L5" s="171">
        <f>52770+74600</f>
        <v>127370</v>
      </c>
      <c r="M5" s="171">
        <f>43642+64076</f>
        <v>107718</v>
      </c>
      <c r="N5" s="171">
        <f>44514+52754</f>
        <v>97268</v>
      </c>
      <c r="O5" s="171">
        <f>33867+39144</f>
        <v>73011</v>
      </c>
    </row>
    <row r="6" spans="2:17">
      <c r="B6" s="172" t="s">
        <v>56</v>
      </c>
      <c r="C6" s="171">
        <v>96734</v>
      </c>
      <c r="D6" s="171">
        <v>131726</v>
      </c>
      <c r="E6" s="171">
        <v>112505</v>
      </c>
      <c r="F6" s="171">
        <v>104463</v>
      </c>
      <c r="G6" s="171">
        <v>98386</v>
      </c>
      <c r="H6" s="171">
        <v>110305</v>
      </c>
      <c r="I6" s="171">
        <v>113420</v>
      </c>
      <c r="J6" s="171">
        <v>102339</v>
      </c>
      <c r="K6" s="173">
        <f>86249-850</f>
        <v>85399</v>
      </c>
      <c r="L6" s="173">
        <v>137161</v>
      </c>
      <c r="M6" s="173">
        <f>6018+86045+2527</f>
        <v>94590</v>
      </c>
      <c r="N6" s="173">
        <f>5917+75642+6000</f>
        <v>87559</v>
      </c>
      <c r="O6" s="173">
        <f>5891+96055+3311</f>
        <v>105257</v>
      </c>
    </row>
    <row r="7" spans="2:17">
      <c r="B7" s="172" t="s">
        <v>57</v>
      </c>
      <c r="C7" s="171">
        <f t="shared" ref="C7:J7" si="0">SUM(C4:C6)</f>
        <v>887215</v>
      </c>
      <c r="D7" s="171">
        <f t="shared" si="0"/>
        <v>885537</v>
      </c>
      <c r="E7" s="171">
        <f t="shared" si="0"/>
        <v>875686</v>
      </c>
      <c r="F7" s="171">
        <f>SUM(F4:F6)</f>
        <v>860618</v>
      </c>
      <c r="G7" s="171">
        <f>SUM(G4:G6)</f>
        <v>853048</v>
      </c>
      <c r="H7" s="171">
        <f t="shared" si="0"/>
        <v>845734</v>
      </c>
      <c r="I7" s="171">
        <f t="shared" si="0"/>
        <v>843402</v>
      </c>
      <c r="J7" s="171">
        <f t="shared" si="0"/>
        <v>815629</v>
      </c>
      <c r="K7" s="171">
        <f>SUM(K4:K6)</f>
        <v>833236</v>
      </c>
      <c r="L7" s="171">
        <f>SUM(L4:L6)</f>
        <v>939935</v>
      </c>
      <c r="M7" s="171">
        <f>SUM(M4:M6)</f>
        <v>939749</v>
      </c>
      <c r="N7" s="171">
        <f>SUM(N4:N6)</f>
        <v>960941</v>
      </c>
      <c r="O7" s="171">
        <f>SUM(O4:O6)</f>
        <v>922931</v>
      </c>
      <c r="P7" s="174"/>
      <c r="Q7" s="174"/>
    </row>
    <row r="8" spans="2:17">
      <c r="B8" s="166"/>
      <c r="C8" s="175"/>
      <c r="D8" s="175"/>
      <c r="E8" s="175"/>
      <c r="F8" s="175"/>
      <c r="G8" s="175"/>
      <c r="H8" s="175"/>
      <c r="I8" s="175"/>
      <c r="J8" s="175"/>
      <c r="K8" s="175"/>
      <c r="L8" s="175"/>
      <c r="M8" s="175"/>
      <c r="N8" s="175"/>
      <c r="O8" s="175"/>
      <c r="P8" s="176"/>
      <c r="Q8" s="176"/>
    </row>
    <row r="9" spans="2:17">
      <c r="B9" s="674" t="s">
        <v>47</v>
      </c>
      <c r="C9" s="674"/>
      <c r="D9" s="674"/>
      <c r="E9" s="674"/>
      <c r="F9" s="165"/>
      <c r="G9" s="165"/>
      <c r="H9" s="165"/>
      <c r="I9" s="166"/>
      <c r="J9" s="166"/>
      <c r="K9" s="166"/>
      <c r="L9" s="166"/>
      <c r="M9" s="166"/>
      <c r="N9" s="166"/>
      <c r="O9" s="166"/>
    </row>
    <row r="10" spans="2:17">
      <c r="B10" s="168"/>
      <c r="C10" s="169" t="s">
        <v>409</v>
      </c>
      <c r="D10" s="169" t="s">
        <v>330</v>
      </c>
      <c r="E10" s="169" t="s">
        <v>50</v>
      </c>
      <c r="F10" s="169" t="s">
        <v>51</v>
      </c>
      <c r="G10" s="169" t="s">
        <v>331</v>
      </c>
      <c r="H10" s="169" t="s">
        <v>52</v>
      </c>
      <c r="I10" s="169" t="s">
        <v>54</v>
      </c>
      <c r="J10" s="169" t="s">
        <v>332</v>
      </c>
      <c r="K10" s="169" t="s">
        <v>407</v>
      </c>
      <c r="L10" s="169" t="str">
        <f>L3</f>
        <v>H29決算</v>
      </c>
      <c r="M10" s="169" t="str">
        <f>M3</f>
        <v>H30決算</v>
      </c>
      <c r="N10" s="169" t="str">
        <f>N3</f>
        <v>R元決算</v>
      </c>
      <c r="O10" s="169" t="str">
        <f>O3</f>
        <v>R２決算</v>
      </c>
    </row>
    <row r="11" spans="2:17">
      <c r="B11" s="170" t="s">
        <v>67</v>
      </c>
      <c r="C11" s="177">
        <v>7776</v>
      </c>
      <c r="D11" s="177">
        <v>7387</v>
      </c>
      <c r="E11" s="177">
        <v>6865</v>
      </c>
      <c r="F11" s="177">
        <v>6350</v>
      </c>
      <c r="G11" s="177">
        <v>6130</v>
      </c>
      <c r="H11" s="177">
        <v>6185</v>
      </c>
      <c r="I11" s="177">
        <v>6526</v>
      </c>
      <c r="J11" s="177">
        <v>6708</v>
      </c>
      <c r="K11" s="177">
        <v>6595</v>
      </c>
      <c r="L11" s="177">
        <v>6754</v>
      </c>
      <c r="M11" s="177">
        <v>7374</v>
      </c>
      <c r="N11" s="177">
        <v>7761</v>
      </c>
      <c r="O11" s="177">
        <v>7447</v>
      </c>
    </row>
    <row r="12" spans="2:17" ht="19.5">
      <c r="B12" s="170" t="s">
        <v>147</v>
      </c>
      <c r="C12" s="177">
        <v>128</v>
      </c>
      <c r="D12" s="177">
        <v>151</v>
      </c>
      <c r="E12" s="177">
        <v>767</v>
      </c>
      <c r="F12" s="177">
        <v>1211</v>
      </c>
      <c r="G12" s="177">
        <v>1416</v>
      </c>
      <c r="H12" s="177">
        <v>1169</v>
      </c>
      <c r="I12" s="177">
        <v>774</v>
      </c>
      <c r="J12" s="177">
        <v>425</v>
      </c>
      <c r="K12" s="177">
        <v>883</v>
      </c>
      <c r="L12" s="177">
        <v>1274</v>
      </c>
      <c r="M12" s="177">
        <v>1077</v>
      </c>
      <c r="N12" s="177">
        <v>973</v>
      </c>
      <c r="O12" s="177">
        <v>730</v>
      </c>
    </row>
    <row r="13" spans="2:17">
      <c r="B13" s="172" t="s">
        <v>56</v>
      </c>
      <c r="C13" s="177">
        <v>968</v>
      </c>
      <c r="D13" s="177">
        <v>1317</v>
      </c>
      <c r="E13" s="177">
        <v>1125</v>
      </c>
      <c r="F13" s="177">
        <v>1045</v>
      </c>
      <c r="G13" s="177">
        <v>984</v>
      </c>
      <c r="H13" s="177">
        <v>1103</v>
      </c>
      <c r="I13" s="177">
        <v>1134</v>
      </c>
      <c r="J13" s="177">
        <v>1023</v>
      </c>
      <c r="K13" s="177">
        <v>854</v>
      </c>
      <c r="L13" s="177">
        <v>1372</v>
      </c>
      <c r="M13" s="177">
        <v>946</v>
      </c>
      <c r="N13" s="177">
        <v>876</v>
      </c>
      <c r="O13" s="177">
        <v>1053</v>
      </c>
    </row>
    <row r="14" spans="2:17">
      <c r="B14" s="172" t="s">
        <v>57</v>
      </c>
      <c r="C14" s="177">
        <f t="shared" ref="C14:J14" si="1">SUM(C11:C13)</f>
        <v>8872</v>
      </c>
      <c r="D14" s="177">
        <f t="shared" si="1"/>
        <v>8855</v>
      </c>
      <c r="E14" s="177">
        <f t="shared" si="1"/>
        <v>8757</v>
      </c>
      <c r="F14" s="177">
        <f t="shared" si="1"/>
        <v>8606</v>
      </c>
      <c r="G14" s="177">
        <f t="shared" si="1"/>
        <v>8530</v>
      </c>
      <c r="H14" s="177">
        <f t="shared" si="1"/>
        <v>8457</v>
      </c>
      <c r="I14" s="177">
        <f t="shared" si="1"/>
        <v>8434</v>
      </c>
      <c r="J14" s="177">
        <f t="shared" si="1"/>
        <v>8156</v>
      </c>
      <c r="K14" s="177">
        <f>SUM(K11:K13)</f>
        <v>8332</v>
      </c>
      <c r="L14" s="177">
        <v>9399</v>
      </c>
      <c r="M14" s="177">
        <v>9397</v>
      </c>
      <c r="N14" s="177">
        <v>9610</v>
      </c>
      <c r="O14" s="177">
        <v>9229</v>
      </c>
    </row>
    <row r="15" spans="2:17">
      <c r="B15" s="166"/>
      <c r="C15" s="166"/>
      <c r="D15" s="166"/>
      <c r="E15" s="166"/>
      <c r="F15" s="166"/>
      <c r="G15" s="166"/>
      <c r="H15" s="166"/>
      <c r="I15" s="166"/>
      <c r="J15" s="166"/>
      <c r="K15" s="166"/>
      <c r="L15" s="166"/>
      <c r="M15" s="166"/>
      <c r="N15" s="166"/>
      <c r="O15" s="166"/>
    </row>
  </sheetData>
  <mergeCells count="2">
    <mergeCell ref="B2:E2"/>
    <mergeCell ref="B9:E9"/>
  </mergeCells>
  <phoneticPr fontId="9"/>
  <pageMargins left="0.78740157480314965" right="0.78740157480314965" top="0.98425196850393704" bottom="0.98425196850393704" header="0.51181102362204722" footer="0.51181102362204722"/>
  <pageSetup paperSize="9" scale="8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16</vt:i4>
      </vt:variant>
      <vt:variant>
        <vt:lpstr>グラフ</vt:lpstr>
      </vt:variant>
      <vt:variant>
        <vt:i4>3</vt:i4>
      </vt:variant>
      <vt:variant>
        <vt:lpstr>名前付き一覧</vt:lpstr>
      </vt:variant>
      <vt:variant>
        <vt:i4>12</vt:i4>
      </vt:variant>
    </vt:vector>
  </HeadingPairs>
  <TitlesOfParts>
    <vt:vector size="31" baseType="lpstr">
      <vt:lpstr>頁７データ</vt:lpstr>
      <vt:lpstr>表紙</vt:lpstr>
      <vt:lpstr>頁１</vt:lpstr>
      <vt:lpstr>頁２・３・５・７</vt:lpstr>
      <vt:lpstr>頁４データ</vt:lpstr>
      <vt:lpstr>頁9グラフ用 </vt:lpstr>
      <vt:lpstr>頁8</vt:lpstr>
      <vt:lpstr>頁６データ</vt:lpstr>
      <vt:lpstr>頁6データ (カメラ)</vt:lpstr>
      <vt:lpstr>ＢＤ</vt:lpstr>
      <vt:lpstr>頁9</vt:lpstr>
      <vt:lpstr>10税ＢＤ</vt:lpstr>
      <vt:lpstr>頁10</vt:lpstr>
      <vt:lpstr>頁12データ</vt:lpstr>
      <vt:lpstr>頁12</vt:lpstr>
      <vt:lpstr>最新年度</vt:lpstr>
      <vt:lpstr>頁４</vt:lpstr>
      <vt:lpstr>頁６</vt:lpstr>
      <vt:lpstr>頁11</vt:lpstr>
      <vt:lpstr>最新年度!Print_Area</vt:lpstr>
      <vt:lpstr>表紙!Print_Area</vt:lpstr>
      <vt:lpstr>頁１!Print_Area</vt:lpstr>
      <vt:lpstr>頁10!Print_Area</vt:lpstr>
      <vt:lpstr>頁12!Print_Area</vt:lpstr>
      <vt:lpstr>頁12データ!Print_Area</vt:lpstr>
      <vt:lpstr>頁２・３・５・７!Print_Area</vt:lpstr>
      <vt:lpstr>頁４データ!Print_Area</vt:lpstr>
      <vt:lpstr>頁６データ!Print_Area</vt:lpstr>
      <vt:lpstr>'頁6データ (カメラ)'!Print_Area</vt:lpstr>
      <vt:lpstr>頁8!Print_Area</vt:lpstr>
      <vt:lpstr>頁9!Print_Area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2021-08-31T23:40:02Z</dcterms:created>
  <dcterms:modified xsi:type="dcterms:W3CDTF">2025-04-03T02:21:47Z</dcterms:modified>
</cp:coreProperties>
</file>