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3.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724E6FB3-2C8C-4FE7-AAF3-CDD33C52AD7C}" xr6:coauthVersionLast="47" xr6:coauthVersionMax="47" xr10:uidLastSave="{00000000-0000-0000-0000-000000000000}"/>
  <bookViews>
    <workbookView xWindow="-120" yWindow="-120" windowWidth="20730" windowHeight="11040" tabRatio="814" xr2:uid="{00000000-000D-0000-FFFF-FFFF00000000}"/>
  </bookViews>
  <sheets>
    <sheet name="表紙" sheetId="2" r:id="rId1"/>
    <sheet name="頁１" sheetId="3" r:id="rId2"/>
    <sheet name="頁２・３・５・７" sheetId="4" r:id="rId3"/>
    <sheet name="頁４" sheetId="36" r:id="rId4"/>
    <sheet name="頁６" sheetId="34" r:id="rId5"/>
    <sheet name="頁４データ" sheetId="35" state="hidden" r:id="rId6"/>
    <sheet name="頁６データ" sheetId="37" state="hidden" r:id="rId7"/>
    <sheet name="頁6データ (カメラ)" sheetId="38" state="hidden" r:id="rId8"/>
    <sheet name="頁8" sheetId="41" r:id="rId9"/>
    <sheet name="8 グラフ用" sheetId="42" state="hidden" r:id="rId10"/>
    <sheet name="頁9" sheetId="43" r:id="rId11"/>
    <sheet name="税BD" sheetId="44" state="hidden" r:id="rId12"/>
    <sheet name="頁10" sheetId="29" r:id="rId13"/>
    <sheet name="頁11" sheetId="39" r:id="rId14"/>
    <sheet name="頁11データ" sheetId="40" state="hidden" r:id="rId15"/>
    <sheet name="頁12" sheetId="32" r:id="rId16"/>
    <sheet name="最新年度" sheetId="33" state="hidden" r:id="rId17"/>
  </sheets>
  <externalReferences>
    <externalReference r:id="rId18"/>
    <externalReference r:id="rId19"/>
    <externalReference r:id="rId20"/>
    <externalReference r:id="rId21"/>
    <externalReference r:id="rId22"/>
  </externalReferences>
  <definedNames>
    <definedName name="_xlnm.Print_Area" localSheetId="16">最新年度!$A$2:$I$65</definedName>
    <definedName name="_xlnm.Print_Area" localSheetId="0">表紙!$A$1:$I$24</definedName>
    <definedName name="_xlnm.Print_Area" localSheetId="1">頁１!$A$2:$R$60</definedName>
    <definedName name="_xlnm.Print_Area" localSheetId="12">頁10!$A$1:$N$44</definedName>
    <definedName name="_xlnm.Print_Area" localSheetId="14">頁11データ!$A$1:$AB$20</definedName>
    <definedName name="_xlnm.Print_Area" localSheetId="15">頁12!$A$2:$L$47</definedName>
    <definedName name="_xlnm.Print_Area" localSheetId="2">頁２・３・５・７!$A$1:$K$165</definedName>
    <definedName name="_xlnm.Print_Area" localSheetId="5">頁４データ!$A$1:$AB$97</definedName>
    <definedName name="_xlnm.Print_Area" localSheetId="6">頁６データ!$A$1:$AA$101</definedName>
    <definedName name="_xlnm.Print_Area" localSheetId="7">'頁6データ (カメラ)'!$A$1:$Q$25</definedName>
    <definedName name="_xlnm.Print_Area" localSheetId="8">頁8!$A$1:$I$58</definedName>
    <definedName name="_xlnm.Print_Area" localSheetId="10">頁9!$A$1:$AF$66</definedName>
    <definedName name="Z_71C5DEFA_8D10_42C7_8DCD_FC8B1FBE3160_.wvu.Cols" localSheetId="5" hidden="1">頁４データ!$E:$F,頁４データ!$H:$I</definedName>
    <definedName name="Z_71C5DEFA_8D10_42C7_8DCD_FC8B1FBE3160_.wvu.Cols" localSheetId="7" hidden="1">'頁6データ (カメラ)'!$E:$F,'頁6データ (カメラ)'!$H:$I,'頁6データ (カメラ)'!$K:$K</definedName>
    <definedName name="Z_71C5DEFA_8D10_42C7_8DCD_FC8B1FBE3160_.wvu.PrintArea" localSheetId="12" hidden="1">頁10!$A$1:$N$45</definedName>
    <definedName name="Z_71C5DEFA_8D10_42C7_8DCD_FC8B1FBE3160_.wvu.PrintArea" localSheetId="14" hidden="1">頁11データ!$A$1:$AA$20</definedName>
    <definedName name="Z_71C5DEFA_8D10_42C7_8DCD_FC8B1FBE3160_.wvu.PrintArea" localSheetId="15" hidden="1">頁12!$A$1:$L$51</definedName>
    <definedName name="Z_71C5DEFA_8D10_42C7_8DCD_FC8B1FBE3160_.wvu.PrintArea" localSheetId="2" hidden="1">頁２・３・５・７!$A$1:$K$165</definedName>
    <definedName name="Z_71C5DEFA_8D10_42C7_8DCD_FC8B1FBE3160_.wvu.PrintArea" localSheetId="5" hidden="1">頁４データ!$A$1:$AA$97</definedName>
    <definedName name="Z_71C5DEFA_8D10_42C7_8DCD_FC8B1FBE3160_.wvu.PrintArea" localSheetId="6" hidden="1">頁６データ!$A$1:$Z$101</definedName>
    <definedName name="Z_71C5DEFA_8D10_42C7_8DCD_FC8B1FBE3160_.wvu.PrintArea" localSheetId="7" hidden="1">'頁6データ (カメラ)'!$A$1:$Q$25</definedName>
    <definedName name="Z_71C5DEFA_8D10_42C7_8DCD_FC8B1FBE3160_.wvu.Rows" localSheetId="12" hidden="1">頁10!$9:$10,頁10!$34:$34</definedName>
    <definedName name="Z_71C5DEFA_8D10_42C7_8DCD_FC8B1FBE3160_.wvu.Rows" localSheetId="14" hidden="1">頁11データ!$17:$17</definedName>
    <definedName name="Z_71C5DEFA_8D10_42C7_8DCD_FC8B1FBE3160_.wvu.Rows" localSheetId="2" hidden="1">頁２・３・５・７!#REF!</definedName>
    <definedName name="Z_71C5DEFA_8D10_42C7_8DCD_FC8B1FBE3160_.wvu.Rows" localSheetId="6" hidden="1">頁６データ!$17:$23</definedName>
    <definedName name="Z_98EB8C34_42F8_49A0_83D7_75227D3B5518_.wvu.Cols" localSheetId="5" hidden="1">頁４データ!$D:$I</definedName>
    <definedName name="Z_98EB8C34_42F8_49A0_83D7_75227D3B5518_.wvu.Cols" localSheetId="6" hidden="1">頁６データ!$C:$D</definedName>
    <definedName name="Z_98EB8C34_42F8_49A0_83D7_75227D3B5518_.wvu.Cols" localSheetId="7" hidden="1">'頁6データ (カメラ)'!$D:$J</definedName>
    <definedName name="Z_98EB8C34_42F8_49A0_83D7_75227D3B5518_.wvu.PrintArea" localSheetId="16" hidden="1">最新年度!$A$2:$I$65</definedName>
    <definedName name="Z_98EB8C34_42F8_49A0_83D7_75227D3B5518_.wvu.PrintArea" localSheetId="12" hidden="1">頁10!$A$1:$N$45</definedName>
    <definedName name="Z_98EB8C34_42F8_49A0_83D7_75227D3B5518_.wvu.PrintArea" localSheetId="14" hidden="1">頁11データ!$A$1:$AA$20</definedName>
    <definedName name="Z_98EB8C34_42F8_49A0_83D7_75227D3B5518_.wvu.PrintArea" localSheetId="15" hidden="1">頁12!$A$2:$L$47</definedName>
    <definedName name="Z_98EB8C34_42F8_49A0_83D7_75227D3B5518_.wvu.PrintArea" localSheetId="5" hidden="1">頁４データ!$A$1:$AA$97</definedName>
    <definedName name="Z_98EB8C34_42F8_49A0_83D7_75227D3B5518_.wvu.PrintArea" localSheetId="6" hidden="1">頁６データ!$A$1:$Z$101</definedName>
    <definedName name="Z_98EB8C34_42F8_49A0_83D7_75227D3B5518_.wvu.PrintArea" localSheetId="7" hidden="1">'頁6データ (カメラ)'!$A$1:$Q$25</definedName>
    <definedName name="Z_98EB8C34_42F8_49A0_83D7_75227D3B5518_.wvu.Rows" localSheetId="16" hidden="1">最新年度!$6:$41</definedName>
    <definedName name="Z_98EB8C34_42F8_49A0_83D7_75227D3B5518_.wvu.Rows" localSheetId="12" hidden="1">頁10!$9:$10,頁10!$34:$34</definedName>
    <definedName name="Z_98EB8C34_42F8_49A0_83D7_75227D3B5518_.wvu.Rows" localSheetId="14" hidden="1">頁11データ!$17:$17</definedName>
    <definedName name="Z_98EB8C34_42F8_49A0_83D7_75227D3B5518_.wvu.Rows" localSheetId="6" hidden="1">頁６データ!$17:$23,頁６データ!$73:$79</definedName>
    <definedName name="Z_AEEB1EFF_BF80_4ECA_9294_529C19E3F0E2_.wvu.Cols" localSheetId="5" hidden="1">頁４データ!$E:$F,頁４データ!$H:$I</definedName>
    <definedName name="Z_AEEB1EFF_BF80_4ECA_9294_529C19E3F0E2_.wvu.Cols" localSheetId="7" hidden="1">'頁6データ (カメラ)'!$E:$F,'頁6データ (カメラ)'!$H:$I,'頁6データ (カメラ)'!$K:$K</definedName>
    <definedName name="Z_AEEB1EFF_BF80_4ECA_9294_529C19E3F0E2_.wvu.PrintArea" localSheetId="16" hidden="1">最新年度!$A$2:$I$65</definedName>
    <definedName name="Z_AEEB1EFF_BF80_4ECA_9294_529C19E3F0E2_.wvu.PrintArea" localSheetId="12" hidden="1">頁10!$A$1:$N$45</definedName>
    <definedName name="Z_AEEB1EFF_BF80_4ECA_9294_529C19E3F0E2_.wvu.PrintArea" localSheetId="14" hidden="1">頁11データ!$A$1:$AA$20</definedName>
    <definedName name="Z_AEEB1EFF_BF80_4ECA_9294_529C19E3F0E2_.wvu.PrintArea" localSheetId="15" hidden="1">頁12!$A$2:$L$47</definedName>
    <definedName name="Z_AEEB1EFF_BF80_4ECA_9294_529C19E3F0E2_.wvu.PrintArea" localSheetId="5" hidden="1">頁４データ!$A$1:$AA$97</definedName>
    <definedName name="Z_AEEB1EFF_BF80_4ECA_9294_529C19E3F0E2_.wvu.PrintArea" localSheetId="6" hidden="1">頁６データ!$A$1:$Z$101</definedName>
    <definedName name="Z_AEEB1EFF_BF80_4ECA_9294_529C19E3F0E2_.wvu.PrintArea" localSheetId="7" hidden="1">'頁6データ (カメラ)'!$A$1:$Q$25</definedName>
    <definedName name="Z_AEEB1EFF_BF80_4ECA_9294_529C19E3F0E2_.wvu.Rows" localSheetId="16" hidden="1">最新年度!$6:$41</definedName>
    <definedName name="Z_AEEB1EFF_BF80_4ECA_9294_529C19E3F0E2_.wvu.Rows" localSheetId="12" hidden="1">頁10!$9:$10,頁10!$34:$34</definedName>
    <definedName name="Z_AEEB1EFF_BF80_4ECA_9294_529C19E3F0E2_.wvu.Rows" localSheetId="14" hidden="1">頁11データ!$17:$17</definedName>
    <definedName name="Z_AEEB1EFF_BF80_4ECA_9294_529C19E3F0E2_.wvu.Rows" localSheetId="6" hidden="1">頁６データ!$17:$23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4" l="1"/>
  <c r="G39" i="44"/>
  <c r="G38" i="44"/>
  <c r="G37" i="44"/>
  <c r="G36" i="44"/>
  <c r="G35" i="44"/>
  <c r="G34" i="44"/>
  <c r="G33" i="44"/>
  <c r="G32" i="44"/>
  <c r="F31" i="44"/>
  <c r="E31" i="44"/>
  <c r="D31" i="44"/>
  <c r="C31" i="44"/>
  <c r="B31" i="44"/>
  <c r="E30" i="44"/>
  <c r="D30" i="44"/>
  <c r="C30" i="44"/>
  <c r="B30" i="44"/>
  <c r="F29" i="44"/>
  <c r="E29" i="44"/>
  <c r="D29" i="44"/>
  <c r="C29" i="44"/>
  <c r="B29" i="44"/>
  <c r="F28" i="44"/>
  <c r="E28" i="44"/>
  <c r="D28" i="44"/>
  <c r="C28" i="44"/>
  <c r="B28" i="44"/>
  <c r="F27" i="44"/>
  <c r="E27" i="44"/>
  <c r="D27" i="44"/>
  <c r="C27" i="44"/>
  <c r="B27" i="44"/>
  <c r="F26" i="44"/>
  <c r="E26" i="44"/>
  <c r="D26" i="44"/>
  <c r="C26" i="44"/>
  <c r="B26" i="44"/>
  <c r="F25" i="44"/>
  <c r="G25" i="44" s="1"/>
  <c r="D23" i="44"/>
  <c r="G23" i="44" s="1"/>
  <c r="C23" i="44"/>
  <c r="B23" i="44"/>
  <c r="E22" i="44"/>
  <c r="D22" i="44"/>
  <c r="C22" i="44"/>
  <c r="B22" i="44"/>
  <c r="F21" i="44"/>
  <c r="E21" i="44"/>
  <c r="D21" i="44"/>
  <c r="C21" i="44"/>
  <c r="B21" i="44"/>
  <c r="F20" i="44"/>
  <c r="E20" i="44"/>
  <c r="D20" i="44"/>
  <c r="C20" i="44"/>
  <c r="B20" i="44"/>
  <c r="G20" i="44" s="1"/>
  <c r="F19" i="44"/>
  <c r="E19" i="44"/>
  <c r="D19" i="44"/>
  <c r="C19" i="44"/>
  <c r="G19" i="44" s="1"/>
  <c r="B19" i="44"/>
  <c r="F18" i="44"/>
  <c r="E18" i="44"/>
  <c r="D18" i="44"/>
  <c r="C18" i="44"/>
  <c r="B18" i="44"/>
  <c r="F17" i="44"/>
  <c r="E17" i="44"/>
  <c r="D17" i="44"/>
  <c r="C17" i="44"/>
  <c r="B17" i="44"/>
  <c r="F16" i="44"/>
  <c r="E16" i="44"/>
  <c r="D16" i="44"/>
  <c r="C16" i="44"/>
  <c r="B16" i="44"/>
  <c r="G16" i="44" s="1"/>
  <c r="F15" i="44"/>
  <c r="E15" i="44"/>
  <c r="D15" i="44"/>
  <c r="C15" i="44"/>
  <c r="G15" i="44" s="1"/>
  <c r="B15" i="44"/>
  <c r="F14" i="44"/>
  <c r="E14" i="44"/>
  <c r="D14" i="44"/>
  <c r="C14" i="44"/>
  <c r="B14" i="44"/>
  <c r="F13" i="44"/>
  <c r="E13" i="44"/>
  <c r="D13" i="44"/>
  <c r="C13" i="44"/>
  <c r="B13" i="44"/>
  <c r="F12" i="44"/>
  <c r="E12" i="44"/>
  <c r="D12" i="44"/>
  <c r="C12" i="44"/>
  <c r="B12" i="44"/>
  <c r="G12" i="44" s="1"/>
  <c r="E7" i="42"/>
  <c r="D7" i="42"/>
  <c r="C7" i="42"/>
  <c r="B7" i="42"/>
  <c r="M22" i="41"/>
  <c r="G22" i="41" s="1"/>
  <c r="H22" i="41"/>
  <c r="F22" i="41"/>
  <c r="E22" i="41"/>
  <c r="M21" i="41"/>
  <c r="H21" i="41"/>
  <c r="G21" i="41"/>
  <c r="F21" i="41"/>
  <c r="E21" i="41"/>
  <c r="M20" i="41"/>
  <c r="G20" i="41" s="1"/>
  <c r="H20" i="41"/>
  <c r="F20" i="41"/>
  <c r="E20" i="41"/>
  <c r="M19" i="41"/>
  <c r="G19" i="41" s="1"/>
  <c r="H19" i="41"/>
  <c r="F19" i="41"/>
  <c r="E19" i="41"/>
  <c r="M18" i="41"/>
  <c r="G18" i="41" s="1"/>
  <c r="H18" i="41"/>
  <c r="F18" i="41"/>
  <c r="E18" i="41"/>
  <c r="M17" i="41"/>
  <c r="G17" i="41" s="1"/>
  <c r="H17" i="41"/>
  <c r="F17" i="41"/>
  <c r="E17" i="41"/>
  <c r="M16" i="41"/>
  <c r="G16" i="41" s="1"/>
  <c r="H16" i="41"/>
  <c r="F16" i="41"/>
  <c r="E16" i="41"/>
  <c r="M15" i="41"/>
  <c r="G15" i="41" s="1"/>
  <c r="H15" i="41"/>
  <c r="F15" i="41"/>
  <c r="E15" i="41"/>
  <c r="M14" i="41"/>
  <c r="H14" i="41"/>
  <c r="G14" i="41"/>
  <c r="F14" i="41"/>
  <c r="E14" i="41"/>
  <c r="M13" i="41"/>
  <c r="H13" i="41"/>
  <c r="G13" i="41"/>
  <c r="F13" i="41"/>
  <c r="E13" i="41"/>
  <c r="M12" i="41"/>
  <c r="G12" i="41" s="1"/>
  <c r="H12" i="41"/>
  <c r="F12" i="41"/>
  <c r="E12" i="41"/>
  <c r="M11" i="41"/>
  <c r="G11" i="41" s="1"/>
  <c r="H11" i="41"/>
  <c r="F11" i="41"/>
  <c r="E11" i="41"/>
  <c r="M10" i="41"/>
  <c r="G10" i="41" s="1"/>
  <c r="H10" i="41"/>
  <c r="F10" i="41"/>
  <c r="E10" i="41"/>
  <c r="M9" i="41"/>
  <c r="G9" i="41" s="1"/>
  <c r="H9" i="41"/>
  <c r="F9" i="41"/>
  <c r="E9" i="41"/>
  <c r="M8" i="41"/>
  <c r="G8" i="41" s="1"/>
  <c r="H8" i="41"/>
  <c r="F8" i="41"/>
  <c r="E8" i="41"/>
  <c r="M7" i="41"/>
  <c r="G7" i="41" s="1"/>
  <c r="H7" i="41"/>
  <c r="F7" i="41"/>
  <c r="E7" i="41"/>
  <c r="L55" i="41" s="1"/>
  <c r="G13" i="44" l="1"/>
  <c r="G14" i="44"/>
  <c r="G17" i="44"/>
  <c r="G18" i="44"/>
  <c r="G21" i="44"/>
  <c r="G22" i="44"/>
  <c r="G31" i="44"/>
  <c r="G26" i="44"/>
  <c r="G30" i="44"/>
  <c r="G28" i="44"/>
  <c r="G29" i="44"/>
  <c r="G27" i="44"/>
  <c r="AB20" i="40"/>
  <c r="AA20" i="40"/>
  <c r="Z20" i="40"/>
  <c r="Y20" i="40"/>
  <c r="X20" i="40"/>
  <c r="W20" i="40"/>
  <c r="V20" i="40"/>
  <c r="U20" i="40"/>
  <c r="T20" i="40"/>
  <c r="S20" i="40"/>
  <c r="R20" i="40"/>
  <c r="Q20" i="40"/>
  <c r="P20" i="40"/>
  <c r="O20" i="40"/>
  <c r="N20" i="40"/>
  <c r="M20" i="40"/>
  <c r="L20" i="40"/>
  <c r="K20" i="40"/>
  <c r="J20" i="40"/>
  <c r="I20" i="40"/>
  <c r="H20" i="40"/>
  <c r="G20" i="40"/>
  <c r="F20" i="40"/>
  <c r="E20" i="40"/>
  <c r="D20" i="40"/>
  <c r="C20"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C19" i="40"/>
  <c r="AB18" i="40"/>
  <c r="AA18" i="40"/>
  <c r="Z18" i="40"/>
  <c r="Y18" i="40"/>
  <c r="X18" i="40"/>
  <c r="W18" i="40"/>
  <c r="V18" i="40"/>
  <c r="U18" i="40"/>
  <c r="T18" i="40"/>
  <c r="S18" i="40"/>
  <c r="R18" i="40"/>
  <c r="Q18" i="40"/>
  <c r="P18" i="40"/>
  <c r="O18" i="40"/>
  <c r="N18" i="40"/>
  <c r="M18" i="40"/>
  <c r="L18" i="40"/>
  <c r="K18" i="40"/>
  <c r="J18" i="40"/>
  <c r="I18" i="40"/>
  <c r="H18" i="40"/>
  <c r="G18" i="40"/>
  <c r="F18" i="40"/>
  <c r="E18" i="40"/>
  <c r="D18" i="40"/>
  <c r="C18" i="40"/>
  <c r="AB17" i="40"/>
  <c r="AA17" i="40"/>
  <c r="Z17" i="40"/>
  <c r="Y17" i="40"/>
  <c r="X17" i="40"/>
  <c r="W17" i="40"/>
  <c r="V17" i="40"/>
  <c r="U17" i="40"/>
  <c r="T17" i="40"/>
  <c r="S17" i="40"/>
  <c r="R17" i="40"/>
  <c r="Q17" i="40"/>
  <c r="P17" i="40"/>
  <c r="O17" i="40"/>
  <c r="N17" i="40"/>
  <c r="M17" i="40"/>
  <c r="L17" i="40"/>
  <c r="K17" i="40"/>
  <c r="J17" i="40"/>
  <c r="I17" i="40"/>
  <c r="H17" i="40"/>
  <c r="G17" i="40"/>
  <c r="F17" i="40"/>
  <c r="E17" i="40"/>
  <c r="D17" i="40"/>
  <c r="C17" i="40"/>
  <c r="AB16" i="40"/>
  <c r="AA16" i="40"/>
  <c r="Z16" i="40"/>
  <c r="Y16" i="40"/>
  <c r="X16" i="40"/>
  <c r="W16" i="40"/>
  <c r="V16" i="40"/>
  <c r="U16" i="40"/>
  <c r="T16" i="40"/>
  <c r="S16" i="40"/>
  <c r="R16" i="40"/>
  <c r="Q16" i="40"/>
  <c r="P16" i="40"/>
  <c r="O16" i="40"/>
  <c r="N16" i="40"/>
  <c r="M16" i="40"/>
  <c r="L16" i="40"/>
  <c r="K16" i="40"/>
  <c r="J16" i="40"/>
  <c r="I16" i="40"/>
  <c r="H16" i="40"/>
  <c r="G16" i="40"/>
  <c r="F16" i="40"/>
  <c r="E16" i="40"/>
  <c r="D16" i="40"/>
  <c r="C16" i="40"/>
  <c r="AB15" i="40"/>
  <c r="AA15" i="40"/>
  <c r="Z15" i="40"/>
  <c r="Y15" i="40"/>
  <c r="X15" i="40"/>
  <c r="W15" i="40"/>
  <c r="V15" i="40"/>
  <c r="U15" i="40"/>
  <c r="T15" i="40"/>
  <c r="S15" i="40"/>
  <c r="R15" i="40"/>
  <c r="Q15" i="40"/>
  <c r="P15" i="40"/>
  <c r="O15" i="40"/>
  <c r="N15" i="40"/>
  <c r="M15" i="40"/>
  <c r="L15" i="40"/>
  <c r="K15" i="40"/>
  <c r="J15" i="40"/>
  <c r="I15" i="40"/>
  <c r="H15" i="40"/>
  <c r="G15" i="40"/>
  <c r="F15" i="40"/>
  <c r="E15" i="40"/>
  <c r="D15" i="40"/>
  <c r="C15" i="40"/>
  <c r="AB14" i="40"/>
  <c r="AA14" i="40"/>
  <c r="Z14" i="40"/>
  <c r="Y14" i="40"/>
  <c r="X14" i="40"/>
  <c r="W14" i="40"/>
  <c r="V14" i="40"/>
  <c r="U14" i="40"/>
  <c r="T14" i="40"/>
  <c r="S14" i="40"/>
  <c r="R14" i="40"/>
  <c r="Q14" i="40"/>
  <c r="P14" i="40"/>
  <c r="O14" i="40"/>
  <c r="N14" i="40"/>
  <c r="M14" i="40"/>
  <c r="L14" i="40"/>
  <c r="K14" i="40"/>
  <c r="J14" i="40"/>
  <c r="I14" i="40"/>
  <c r="H14" i="40"/>
  <c r="G14" i="40"/>
  <c r="F14" i="40"/>
  <c r="E14" i="40"/>
  <c r="D14" i="40"/>
  <c r="C14" i="40"/>
  <c r="K14" i="38" l="1"/>
  <c r="J14" i="38"/>
  <c r="I14" i="38"/>
  <c r="H14" i="38"/>
  <c r="G14" i="38"/>
  <c r="F14" i="38"/>
  <c r="E14" i="38"/>
  <c r="D14" i="38"/>
  <c r="C14" i="38"/>
  <c r="P10" i="38"/>
  <c r="O10" i="38"/>
  <c r="N10" i="38"/>
  <c r="M10" i="38"/>
  <c r="L10" i="38"/>
  <c r="N7" i="38"/>
  <c r="J7" i="38"/>
  <c r="I7" i="38"/>
  <c r="H7" i="38"/>
  <c r="F7" i="38"/>
  <c r="E7" i="38"/>
  <c r="D7" i="38"/>
  <c r="C7" i="38"/>
  <c r="P6" i="38"/>
  <c r="O6" i="38"/>
  <c r="N6" i="38"/>
  <c r="M6" i="38"/>
  <c r="K6" i="38"/>
  <c r="K7" i="38" s="1"/>
  <c r="P5" i="38"/>
  <c r="P7" i="38" s="1"/>
  <c r="O5" i="38"/>
  <c r="N5" i="38"/>
  <c r="M5" i="38"/>
  <c r="M7" i="38" s="1"/>
  <c r="L5" i="38"/>
  <c r="L7" i="38" s="1"/>
  <c r="G5" i="38"/>
  <c r="G7" i="38" s="1"/>
  <c r="B96" i="37"/>
  <c r="C94" i="37"/>
  <c r="D89" i="37"/>
  <c r="D100" i="37" s="1"/>
  <c r="C89" i="37"/>
  <c r="C100" i="37" s="1"/>
  <c r="B89" i="37"/>
  <c r="B100" i="37" s="1"/>
  <c r="D88" i="37"/>
  <c r="D99" i="37" s="1"/>
  <c r="C88" i="37"/>
  <c r="C99" i="37" s="1"/>
  <c r="B88" i="37"/>
  <c r="B99" i="37" s="1"/>
  <c r="D87" i="37"/>
  <c r="D98" i="37" s="1"/>
  <c r="C87" i="37"/>
  <c r="C98" i="37" s="1"/>
  <c r="B87" i="37"/>
  <c r="B98" i="37" s="1"/>
  <c r="D86" i="37"/>
  <c r="D97" i="37" s="1"/>
  <c r="C86" i="37"/>
  <c r="C97" i="37" s="1"/>
  <c r="B86" i="37"/>
  <c r="B97" i="37" s="1"/>
  <c r="D85" i="37"/>
  <c r="D96" i="37" s="1"/>
  <c r="C85" i="37"/>
  <c r="C96" i="37" s="1"/>
  <c r="B85" i="37"/>
  <c r="D84" i="37"/>
  <c r="C84" i="37"/>
  <c r="C95" i="37" s="1"/>
  <c r="B84" i="37"/>
  <c r="B95" i="37" s="1"/>
  <c r="D83" i="37"/>
  <c r="D94" i="37" s="1"/>
  <c r="C83" i="37"/>
  <c r="B83" i="37"/>
  <c r="B94" i="37" s="1"/>
  <c r="H77" i="37"/>
  <c r="G77" i="37"/>
  <c r="F77" i="37"/>
  <c r="E77" i="37"/>
  <c r="D77" i="37"/>
  <c r="D79" i="37" s="1"/>
  <c r="C77" i="37"/>
  <c r="B77" i="37"/>
  <c r="J71" i="37"/>
  <c r="D70" i="37"/>
  <c r="C70" i="37"/>
  <c r="B70" i="37"/>
  <c r="D69" i="37"/>
  <c r="C69" i="37"/>
  <c r="B69" i="37"/>
  <c r="D68" i="37"/>
  <c r="C68" i="37"/>
  <c r="B68" i="37"/>
  <c r="D67" i="37"/>
  <c r="C67" i="37"/>
  <c r="B67" i="37"/>
  <c r="C66" i="37"/>
  <c r="I65" i="37"/>
  <c r="D65" i="37"/>
  <c r="C65" i="37"/>
  <c r="B65" i="37"/>
  <c r="F64" i="37"/>
  <c r="D64" i="37"/>
  <c r="C64" i="37"/>
  <c r="B64" i="37"/>
  <c r="H63" i="37"/>
  <c r="D63" i="37"/>
  <c r="C63" i="37"/>
  <c r="B63" i="37"/>
  <c r="D62" i="37"/>
  <c r="C62" i="37"/>
  <c r="C71" i="37" s="1"/>
  <c r="B62" i="37"/>
  <c r="J57" i="37"/>
  <c r="I57" i="37"/>
  <c r="I70" i="37" s="1"/>
  <c r="H57" i="37"/>
  <c r="H70" i="37" s="1"/>
  <c r="G57" i="37"/>
  <c r="G70" i="37" s="1"/>
  <c r="F57" i="37"/>
  <c r="E57" i="37"/>
  <c r="E87" i="37" s="1"/>
  <c r="E98" i="37" s="1"/>
  <c r="J56" i="37"/>
  <c r="J69" i="37" s="1"/>
  <c r="I56" i="37"/>
  <c r="I89" i="37" s="1"/>
  <c r="I100" i="37" s="1"/>
  <c r="H56" i="37"/>
  <c r="G56" i="37"/>
  <c r="E55" i="37"/>
  <c r="E88" i="37" s="1"/>
  <c r="E99" i="37" s="1"/>
  <c r="J54" i="37"/>
  <c r="I54" i="37"/>
  <c r="I67" i="37" s="1"/>
  <c r="H54" i="37"/>
  <c r="G54" i="37"/>
  <c r="G87" i="37" s="1"/>
  <c r="G98" i="37" s="1"/>
  <c r="F54" i="37"/>
  <c r="F67" i="37" s="1"/>
  <c r="E54" i="37"/>
  <c r="E67" i="37" s="1"/>
  <c r="J53" i="37"/>
  <c r="J66" i="37" s="1"/>
  <c r="I53" i="37"/>
  <c r="I66" i="37" s="1"/>
  <c r="H53" i="37"/>
  <c r="G53" i="37"/>
  <c r="G66" i="37" s="1"/>
  <c r="F53" i="37"/>
  <c r="F66" i="37" s="1"/>
  <c r="E53" i="37"/>
  <c r="E66" i="37" s="1"/>
  <c r="D53" i="37"/>
  <c r="C53" i="37"/>
  <c r="C58" i="37" s="1"/>
  <c r="B53" i="37"/>
  <c r="B66" i="37" s="1"/>
  <c r="J52" i="37"/>
  <c r="I52" i="37"/>
  <c r="H52" i="37"/>
  <c r="H65" i="37" s="1"/>
  <c r="G52" i="37"/>
  <c r="G65" i="37" s="1"/>
  <c r="F52" i="37"/>
  <c r="F65" i="37" s="1"/>
  <c r="E52" i="37"/>
  <c r="J51" i="37"/>
  <c r="J64" i="37" s="1"/>
  <c r="I51" i="37"/>
  <c r="I85" i="37" s="1"/>
  <c r="I96" i="37" s="1"/>
  <c r="H51" i="37"/>
  <c r="H64" i="37" s="1"/>
  <c r="G51" i="37"/>
  <c r="F51" i="37"/>
  <c r="E51" i="37"/>
  <c r="E85" i="37" s="1"/>
  <c r="E96" i="37" s="1"/>
  <c r="J50" i="37"/>
  <c r="I50" i="37"/>
  <c r="H50" i="37"/>
  <c r="G50" i="37"/>
  <c r="G84" i="37" s="1"/>
  <c r="G95" i="37" s="1"/>
  <c r="F50" i="37"/>
  <c r="E50" i="37"/>
  <c r="J49" i="37"/>
  <c r="J62" i="37" s="1"/>
  <c r="I49" i="37"/>
  <c r="I62" i="37" s="1"/>
  <c r="H49" i="37"/>
  <c r="H83" i="37" s="1"/>
  <c r="H94" i="37" s="1"/>
  <c r="G49" i="37"/>
  <c r="F49" i="37"/>
  <c r="F62" i="37" s="1"/>
  <c r="E49" i="37"/>
  <c r="E62" i="37" s="1"/>
  <c r="Y44" i="37"/>
  <c r="H43" i="37"/>
  <c r="R42" i="37"/>
  <c r="R41" i="37" s="1"/>
  <c r="M42" i="37"/>
  <c r="AA40" i="37"/>
  <c r="G39" i="37"/>
  <c r="C39" i="37"/>
  <c r="Q38" i="37"/>
  <c r="M38" i="37"/>
  <c r="AA37" i="37"/>
  <c r="W37" i="37"/>
  <c r="K37" i="37"/>
  <c r="G37" i="37"/>
  <c r="AA32" i="37"/>
  <c r="AA44" i="37" s="1"/>
  <c r="Z32" i="37"/>
  <c r="Z44" i="37" s="1"/>
  <c r="Y32" i="37"/>
  <c r="X32" i="37"/>
  <c r="X44" i="37" s="1"/>
  <c r="R32" i="37"/>
  <c r="R44" i="37" s="1"/>
  <c r="Q32" i="37"/>
  <c r="Q44" i="37" s="1"/>
  <c r="P32" i="37"/>
  <c r="P44" i="37" s="1"/>
  <c r="O32" i="37"/>
  <c r="O44" i="37" s="1"/>
  <c r="N32" i="37"/>
  <c r="N44" i="37" s="1"/>
  <c r="C32" i="37"/>
  <c r="C44" i="37" s="1"/>
  <c r="B32" i="37"/>
  <c r="B44" i="37" s="1"/>
  <c r="P31" i="37"/>
  <c r="P43" i="37" s="1"/>
  <c r="O31" i="37"/>
  <c r="O43" i="37" s="1"/>
  <c r="N31" i="37"/>
  <c r="N43" i="37" s="1"/>
  <c r="M31" i="37"/>
  <c r="M43" i="37" s="1"/>
  <c r="L31" i="37"/>
  <c r="L43" i="37" s="1"/>
  <c r="K31" i="37"/>
  <c r="K43" i="37" s="1"/>
  <c r="J31" i="37"/>
  <c r="J43" i="37" s="1"/>
  <c r="I31" i="37"/>
  <c r="I43" i="37" s="1"/>
  <c r="H31" i="37"/>
  <c r="G31" i="37"/>
  <c r="G43" i="37" s="1"/>
  <c r="F31" i="37"/>
  <c r="F43" i="37" s="1"/>
  <c r="E31" i="37"/>
  <c r="E43" i="37" s="1"/>
  <c r="D31" i="37"/>
  <c r="D43" i="37" s="1"/>
  <c r="C31" i="37"/>
  <c r="C43" i="37" s="1"/>
  <c r="B31" i="37"/>
  <c r="B43" i="37" s="1"/>
  <c r="AA30" i="37"/>
  <c r="AA42" i="37" s="1"/>
  <c r="AA41" i="37" s="1"/>
  <c r="Z30" i="37"/>
  <c r="Z42" i="37" s="1"/>
  <c r="Z41" i="37" s="1"/>
  <c r="Y30" i="37"/>
  <c r="Y42" i="37" s="1"/>
  <c r="Y41" i="37" s="1"/>
  <c r="X30" i="37"/>
  <c r="X42" i="37" s="1"/>
  <c r="X41" i="37" s="1"/>
  <c r="W30" i="37"/>
  <c r="W42" i="37" s="1"/>
  <c r="W41" i="37" s="1"/>
  <c r="V30" i="37"/>
  <c r="V42" i="37" s="1"/>
  <c r="V41" i="37" s="1"/>
  <c r="U30" i="37"/>
  <c r="U42" i="37" s="1"/>
  <c r="U41" i="37" s="1"/>
  <c r="T30" i="37"/>
  <c r="T42" i="37" s="1"/>
  <c r="T41" i="37" s="1"/>
  <c r="S30" i="37"/>
  <c r="S42" i="37" s="1"/>
  <c r="S41" i="37" s="1"/>
  <c r="R30" i="37"/>
  <c r="Q30" i="37"/>
  <c r="Q42" i="37" s="1"/>
  <c r="Q41" i="37" s="1"/>
  <c r="P30" i="37"/>
  <c r="P42" i="37" s="1"/>
  <c r="P41" i="37" s="1"/>
  <c r="O30" i="37"/>
  <c r="O42" i="37" s="1"/>
  <c r="O41" i="37" s="1"/>
  <c r="N30" i="37"/>
  <c r="N42" i="37" s="1"/>
  <c r="M30" i="37"/>
  <c r="L30" i="37"/>
  <c r="L42" i="37" s="1"/>
  <c r="L41" i="37" s="1"/>
  <c r="K30" i="37"/>
  <c r="K42" i="37" s="1"/>
  <c r="K41" i="37" s="1"/>
  <c r="J30" i="37"/>
  <c r="J42" i="37" s="1"/>
  <c r="I30" i="37"/>
  <c r="I42" i="37" s="1"/>
  <c r="H30" i="37"/>
  <c r="H42" i="37" s="1"/>
  <c r="G30" i="37"/>
  <c r="G42" i="37" s="1"/>
  <c r="F30" i="37"/>
  <c r="F42" i="37" s="1"/>
  <c r="E30" i="37"/>
  <c r="E42" i="37" s="1"/>
  <c r="D30" i="37"/>
  <c r="D42" i="37" s="1"/>
  <c r="D41" i="37" s="1"/>
  <c r="C30" i="37"/>
  <c r="C42" i="37" s="1"/>
  <c r="B30" i="37"/>
  <c r="B42" i="37" s="1"/>
  <c r="AA29" i="37"/>
  <c r="Z29" i="37"/>
  <c r="Z40" i="37" s="1"/>
  <c r="Y29" i="37"/>
  <c r="Y40" i="37" s="1"/>
  <c r="X29" i="37"/>
  <c r="X40" i="37" s="1"/>
  <c r="W29" i="37"/>
  <c r="W40" i="37" s="1"/>
  <c r="V29" i="37"/>
  <c r="V40" i="37" s="1"/>
  <c r="U29" i="37"/>
  <c r="U40" i="37" s="1"/>
  <c r="T29" i="37"/>
  <c r="T40" i="37" s="1"/>
  <c r="S29" i="37"/>
  <c r="S40" i="37" s="1"/>
  <c r="R29" i="37"/>
  <c r="R40" i="37" s="1"/>
  <c r="Q29" i="37"/>
  <c r="Q40" i="37" s="1"/>
  <c r="P29" i="37"/>
  <c r="P40" i="37" s="1"/>
  <c r="O29" i="37"/>
  <c r="O40" i="37" s="1"/>
  <c r="N29" i="37"/>
  <c r="N40" i="37" s="1"/>
  <c r="M29" i="37"/>
  <c r="M40" i="37" s="1"/>
  <c r="L29" i="37"/>
  <c r="L40" i="37" s="1"/>
  <c r="K29" i="37"/>
  <c r="K40" i="37" s="1"/>
  <c r="J29" i="37"/>
  <c r="J40" i="37" s="1"/>
  <c r="I29" i="37"/>
  <c r="I40" i="37" s="1"/>
  <c r="H29" i="37"/>
  <c r="H40" i="37" s="1"/>
  <c r="G29" i="37"/>
  <c r="G40" i="37" s="1"/>
  <c r="F29" i="37"/>
  <c r="F40" i="37" s="1"/>
  <c r="E29" i="37"/>
  <c r="E40" i="37" s="1"/>
  <c r="D29" i="37"/>
  <c r="D40" i="37" s="1"/>
  <c r="C29" i="37"/>
  <c r="C40" i="37" s="1"/>
  <c r="B29" i="37"/>
  <c r="B40" i="37" s="1"/>
  <c r="AA28" i="37"/>
  <c r="AA39" i="37" s="1"/>
  <c r="Z28" i="37"/>
  <c r="Z39" i="37" s="1"/>
  <c r="Y28" i="37"/>
  <c r="Y39" i="37" s="1"/>
  <c r="X28" i="37"/>
  <c r="X39" i="37" s="1"/>
  <c r="W28" i="37"/>
  <c r="W39" i="37" s="1"/>
  <c r="V28" i="37"/>
  <c r="V39" i="37" s="1"/>
  <c r="R28" i="37"/>
  <c r="R39" i="37" s="1"/>
  <c r="Q28" i="37"/>
  <c r="Q39" i="37" s="1"/>
  <c r="P28" i="37"/>
  <c r="P39" i="37" s="1"/>
  <c r="O28" i="37"/>
  <c r="O39" i="37" s="1"/>
  <c r="N28" i="37"/>
  <c r="N39" i="37" s="1"/>
  <c r="M28" i="37"/>
  <c r="M39" i="37" s="1"/>
  <c r="L28" i="37"/>
  <c r="L39" i="37" s="1"/>
  <c r="K28" i="37"/>
  <c r="K39" i="37" s="1"/>
  <c r="J28" i="37"/>
  <c r="J39" i="37" s="1"/>
  <c r="I28" i="37"/>
  <c r="I39" i="37" s="1"/>
  <c r="H28" i="37"/>
  <c r="H39" i="37" s="1"/>
  <c r="G28" i="37"/>
  <c r="F28" i="37"/>
  <c r="F39" i="37" s="1"/>
  <c r="E28" i="37"/>
  <c r="E39" i="37" s="1"/>
  <c r="D28" i="37"/>
  <c r="D39" i="37" s="1"/>
  <c r="C28" i="37"/>
  <c r="B28" i="37"/>
  <c r="B39" i="37" s="1"/>
  <c r="AA27" i="37"/>
  <c r="AA38" i="37" s="1"/>
  <c r="Z27" i="37"/>
  <c r="Z38" i="37" s="1"/>
  <c r="Y27" i="37"/>
  <c r="Y38" i="37" s="1"/>
  <c r="X27" i="37"/>
  <c r="X38" i="37" s="1"/>
  <c r="W27" i="37"/>
  <c r="W38" i="37" s="1"/>
  <c r="V27" i="37"/>
  <c r="V38" i="37" s="1"/>
  <c r="U27" i="37"/>
  <c r="U38" i="37" s="1"/>
  <c r="T27" i="37"/>
  <c r="T38" i="37" s="1"/>
  <c r="S27" i="37"/>
  <c r="S38" i="37" s="1"/>
  <c r="R27" i="37"/>
  <c r="R38" i="37" s="1"/>
  <c r="Q27" i="37"/>
  <c r="P27" i="37"/>
  <c r="P38" i="37" s="1"/>
  <c r="O27" i="37"/>
  <c r="O38" i="37" s="1"/>
  <c r="N27" i="37"/>
  <c r="N38" i="37" s="1"/>
  <c r="M27" i="37"/>
  <c r="L27" i="37"/>
  <c r="L38" i="37" s="1"/>
  <c r="K27" i="37"/>
  <c r="K38" i="37" s="1"/>
  <c r="J27" i="37"/>
  <c r="J38" i="37" s="1"/>
  <c r="I27" i="37"/>
  <c r="I38" i="37" s="1"/>
  <c r="H27" i="37"/>
  <c r="H38" i="37" s="1"/>
  <c r="G27" i="37"/>
  <c r="G38" i="37" s="1"/>
  <c r="F27" i="37"/>
  <c r="F38" i="37" s="1"/>
  <c r="E27" i="37"/>
  <c r="E38" i="37" s="1"/>
  <c r="D27" i="37"/>
  <c r="D38" i="37" s="1"/>
  <c r="C27" i="37"/>
  <c r="C38" i="37" s="1"/>
  <c r="B27" i="37"/>
  <c r="B38" i="37" s="1"/>
  <c r="AA26" i="37"/>
  <c r="Z26" i="37"/>
  <c r="Z37" i="37" s="1"/>
  <c r="Y26" i="37"/>
  <c r="Y37" i="37" s="1"/>
  <c r="X26" i="37"/>
  <c r="W26" i="37"/>
  <c r="V26" i="37"/>
  <c r="V37" i="37" s="1"/>
  <c r="U26" i="37"/>
  <c r="U37" i="37" s="1"/>
  <c r="T26" i="37"/>
  <c r="S26" i="37"/>
  <c r="S37" i="37" s="1"/>
  <c r="R26" i="37"/>
  <c r="R37" i="37" s="1"/>
  <c r="Q26" i="37"/>
  <c r="Q37" i="37" s="1"/>
  <c r="P26" i="37"/>
  <c r="O26" i="37"/>
  <c r="O37" i="37" s="1"/>
  <c r="N26" i="37"/>
  <c r="N37" i="37" s="1"/>
  <c r="M26" i="37"/>
  <c r="M37" i="37" s="1"/>
  <c r="L26" i="37"/>
  <c r="K26" i="37"/>
  <c r="J26" i="37"/>
  <c r="J37" i="37" s="1"/>
  <c r="I26" i="37"/>
  <c r="I37" i="37" s="1"/>
  <c r="H26" i="37"/>
  <c r="G26" i="37"/>
  <c r="F26" i="37"/>
  <c r="F37" i="37" s="1"/>
  <c r="E26" i="37"/>
  <c r="E37" i="37" s="1"/>
  <c r="D26" i="37"/>
  <c r="C26" i="37"/>
  <c r="C37" i="37" s="1"/>
  <c r="B26" i="37"/>
  <c r="B37" i="37" s="1"/>
  <c r="L22" i="37"/>
  <c r="K22" i="37"/>
  <c r="J22" i="37"/>
  <c r="I22" i="37"/>
  <c r="H22" i="37"/>
  <c r="G22" i="37"/>
  <c r="F22" i="37"/>
  <c r="E22" i="37"/>
  <c r="D22" i="37"/>
  <c r="C22" i="37"/>
  <c r="B22" i="37"/>
  <c r="P15" i="37"/>
  <c r="O15" i="37"/>
  <c r="N15" i="37"/>
  <c r="K15" i="37"/>
  <c r="J15" i="37"/>
  <c r="I15" i="37"/>
  <c r="H15" i="37"/>
  <c r="G15" i="37"/>
  <c r="F15" i="37"/>
  <c r="E15" i="37"/>
  <c r="D15" i="37"/>
  <c r="C15" i="37"/>
  <c r="B15" i="37"/>
  <c r="N14" i="37"/>
  <c r="M14" i="37"/>
  <c r="M15" i="37" s="1"/>
  <c r="L14" i="37"/>
  <c r="L15" i="37" s="1"/>
  <c r="AA13" i="37"/>
  <c r="Z13" i="37"/>
  <c r="Y13" i="37"/>
  <c r="X13" i="37"/>
  <c r="R13" i="37"/>
  <c r="Q13" i="37"/>
  <c r="P13" i="37"/>
  <c r="O13" i="37"/>
  <c r="N13" i="37"/>
  <c r="K13" i="37"/>
  <c r="C13" i="37"/>
  <c r="B13" i="37"/>
  <c r="W11" i="37"/>
  <c r="F56" i="37" s="1"/>
  <c r="V11" i="37"/>
  <c r="T11" i="37"/>
  <c r="T32" i="37" s="1"/>
  <c r="T44" i="37" s="1"/>
  <c r="S11" i="37"/>
  <c r="S32" i="37" s="1"/>
  <c r="S44" i="37" s="1"/>
  <c r="M11" i="37"/>
  <c r="M32" i="37" s="1"/>
  <c r="M44" i="37" s="1"/>
  <c r="L11" i="37"/>
  <c r="L32" i="37" s="1"/>
  <c r="L44" i="37" s="1"/>
  <c r="K11" i="37"/>
  <c r="K32" i="37" s="1"/>
  <c r="K44" i="37" s="1"/>
  <c r="J11" i="37"/>
  <c r="I11" i="37"/>
  <c r="I32" i="37" s="1"/>
  <c r="H11" i="37"/>
  <c r="H32" i="37" s="1"/>
  <c r="H44" i="37" s="1"/>
  <c r="G11" i="37"/>
  <c r="F11" i="37"/>
  <c r="F32" i="37" s="1"/>
  <c r="F44" i="37" s="1"/>
  <c r="E11" i="37"/>
  <c r="E32" i="37" s="1"/>
  <c r="E44" i="37" s="1"/>
  <c r="D11" i="37"/>
  <c r="D32" i="37" s="1"/>
  <c r="D44" i="37" s="1"/>
  <c r="U7" i="37"/>
  <c r="T7" i="37"/>
  <c r="T28" i="37" s="1"/>
  <c r="T39" i="37" s="1"/>
  <c r="S7" i="37"/>
  <c r="S28" i="37" s="1"/>
  <c r="S39" i="37" s="1"/>
  <c r="G88" i="35"/>
  <c r="C88" i="35"/>
  <c r="D87" i="35"/>
  <c r="C84" i="35"/>
  <c r="G79" i="35"/>
  <c r="F79" i="35"/>
  <c r="F88" i="35" s="1"/>
  <c r="E79" i="35"/>
  <c r="E88" i="35" s="1"/>
  <c r="D79" i="35"/>
  <c r="D88" i="35" s="1"/>
  <c r="C79" i="35"/>
  <c r="G78" i="35"/>
  <c r="G87" i="35" s="1"/>
  <c r="F78" i="35"/>
  <c r="F87" i="35" s="1"/>
  <c r="E78" i="35"/>
  <c r="E87" i="35" s="1"/>
  <c r="D78" i="35"/>
  <c r="C78" i="35"/>
  <c r="C87" i="35" s="1"/>
  <c r="K77" i="35"/>
  <c r="K86" i="35" s="1"/>
  <c r="G77" i="35"/>
  <c r="G86" i="35" s="1"/>
  <c r="F77" i="35"/>
  <c r="F86" i="35" s="1"/>
  <c r="E77" i="35"/>
  <c r="E86" i="35" s="1"/>
  <c r="D77" i="35"/>
  <c r="D86" i="35" s="1"/>
  <c r="C77" i="35"/>
  <c r="C86" i="35" s="1"/>
  <c r="G75" i="35"/>
  <c r="G84" i="35" s="1"/>
  <c r="G89" i="35" s="1"/>
  <c r="F75" i="35"/>
  <c r="F84" i="35" s="1"/>
  <c r="F89" i="35" s="1"/>
  <c r="E75" i="35"/>
  <c r="D75" i="35"/>
  <c r="D84" i="35" s="1"/>
  <c r="C75" i="35"/>
  <c r="E68" i="35"/>
  <c r="G61" i="35"/>
  <c r="G70" i="35" s="1"/>
  <c r="F61" i="35"/>
  <c r="F70" i="35" s="1"/>
  <c r="E61" i="35"/>
  <c r="E70" i="35" s="1"/>
  <c r="D61" i="35"/>
  <c r="D70" i="35" s="1"/>
  <c r="C61" i="35"/>
  <c r="C70" i="35" s="1"/>
  <c r="I60" i="35"/>
  <c r="H60" i="35"/>
  <c r="L59" i="35"/>
  <c r="I59" i="35"/>
  <c r="H59" i="35"/>
  <c r="I58" i="35"/>
  <c r="H58" i="35"/>
  <c r="H61" i="35" s="1"/>
  <c r="H70" i="35" s="1"/>
  <c r="G54" i="35"/>
  <c r="F54" i="35"/>
  <c r="E54" i="35"/>
  <c r="D54" i="35"/>
  <c r="C54" i="35"/>
  <c r="O53" i="35"/>
  <c r="O68" i="35" s="1"/>
  <c r="L53" i="35"/>
  <c r="L68" i="35" s="1"/>
  <c r="G53" i="35"/>
  <c r="G68" i="35" s="1"/>
  <c r="F53" i="35"/>
  <c r="F68" i="35" s="1"/>
  <c r="E53" i="35"/>
  <c r="D53" i="35"/>
  <c r="D68" i="35" s="1"/>
  <c r="C53" i="35"/>
  <c r="C68" i="35" s="1"/>
  <c r="L52" i="35"/>
  <c r="L67" i="35" s="1"/>
  <c r="G52" i="35"/>
  <c r="G67" i="35" s="1"/>
  <c r="F52" i="35"/>
  <c r="F67" i="35" s="1"/>
  <c r="E52" i="35"/>
  <c r="E67" i="35" s="1"/>
  <c r="D52" i="35"/>
  <c r="D67" i="35" s="1"/>
  <c r="C52" i="35"/>
  <c r="C67" i="35" s="1"/>
  <c r="G51" i="35"/>
  <c r="G66" i="35" s="1"/>
  <c r="G69" i="35" s="1"/>
  <c r="F51" i="35"/>
  <c r="F66" i="35" s="1"/>
  <c r="E51" i="35"/>
  <c r="E66" i="35" s="1"/>
  <c r="D51" i="35"/>
  <c r="D66" i="35" s="1"/>
  <c r="D69" i="35" s="1"/>
  <c r="C51" i="35"/>
  <c r="C66" i="35" s="1"/>
  <c r="C69" i="35" s="1"/>
  <c r="N50" i="35"/>
  <c r="K49" i="35"/>
  <c r="G49" i="35"/>
  <c r="F49" i="35"/>
  <c r="E49" i="35"/>
  <c r="D49" i="35"/>
  <c r="C49" i="35"/>
  <c r="D46" i="35"/>
  <c r="O45" i="35"/>
  <c r="O54" i="35" s="1"/>
  <c r="N45" i="35"/>
  <c r="N54" i="35" s="1"/>
  <c r="M45" i="35"/>
  <c r="M54" i="35" s="1"/>
  <c r="L45" i="35"/>
  <c r="L54" i="35" s="1"/>
  <c r="K45" i="35"/>
  <c r="K54" i="35" s="1"/>
  <c r="J45" i="35"/>
  <c r="J54" i="35" s="1"/>
  <c r="O44" i="35"/>
  <c r="O79" i="35" s="1"/>
  <c r="O88" i="35" s="1"/>
  <c r="N44" i="35"/>
  <c r="N79" i="35" s="1"/>
  <c r="N88" i="35" s="1"/>
  <c r="M44" i="35"/>
  <c r="M79" i="35" s="1"/>
  <c r="M88" i="35" s="1"/>
  <c r="L44" i="35"/>
  <c r="L79" i="35" s="1"/>
  <c r="L88" i="35" s="1"/>
  <c r="K44" i="35"/>
  <c r="K79" i="35" s="1"/>
  <c r="K88" i="35" s="1"/>
  <c r="J44" i="35"/>
  <c r="J79" i="35" s="1"/>
  <c r="J88" i="35" s="1"/>
  <c r="I44" i="35"/>
  <c r="I79" i="35" s="1"/>
  <c r="I88" i="35" s="1"/>
  <c r="H44" i="35"/>
  <c r="H79" i="35" s="1"/>
  <c r="H88" i="35" s="1"/>
  <c r="O43" i="35"/>
  <c r="O78" i="35" s="1"/>
  <c r="O87" i="35" s="1"/>
  <c r="N43" i="35"/>
  <c r="N52" i="35" s="1"/>
  <c r="N67" i="35" s="1"/>
  <c r="M43" i="35"/>
  <c r="M78" i="35" s="1"/>
  <c r="M87" i="35" s="1"/>
  <c r="L43" i="35"/>
  <c r="L78" i="35" s="1"/>
  <c r="L87" i="35" s="1"/>
  <c r="K43" i="35"/>
  <c r="K78" i="35" s="1"/>
  <c r="K87" i="35" s="1"/>
  <c r="J43" i="35"/>
  <c r="J78" i="35" s="1"/>
  <c r="J87" i="35" s="1"/>
  <c r="I43" i="35"/>
  <c r="I78" i="35" s="1"/>
  <c r="I87" i="35" s="1"/>
  <c r="H43" i="35"/>
  <c r="H78" i="35" s="1"/>
  <c r="H87" i="35" s="1"/>
  <c r="O42" i="35"/>
  <c r="O51" i="35" s="1"/>
  <c r="O66" i="35" s="1"/>
  <c r="N42" i="35"/>
  <c r="N77" i="35" s="1"/>
  <c r="N86" i="35" s="1"/>
  <c r="M42" i="35"/>
  <c r="M77" i="35" s="1"/>
  <c r="M86" i="35" s="1"/>
  <c r="L42" i="35"/>
  <c r="L77" i="35" s="1"/>
  <c r="L86" i="35" s="1"/>
  <c r="K42" i="35"/>
  <c r="K51" i="35" s="1"/>
  <c r="K66" i="35" s="1"/>
  <c r="J42" i="35"/>
  <c r="J77" i="35" s="1"/>
  <c r="J86" i="35" s="1"/>
  <c r="I42" i="35"/>
  <c r="I77" i="35" s="1"/>
  <c r="I86" i="35" s="1"/>
  <c r="H42" i="35"/>
  <c r="H77" i="35" s="1"/>
  <c r="H86" i="35" s="1"/>
  <c r="O41" i="35"/>
  <c r="O76" i="35" s="1"/>
  <c r="O85" i="35" s="1"/>
  <c r="N41" i="35"/>
  <c r="N76" i="35" s="1"/>
  <c r="N85" i="35" s="1"/>
  <c r="M41" i="35"/>
  <c r="M76" i="35" s="1"/>
  <c r="M85" i="35" s="1"/>
  <c r="L41" i="35"/>
  <c r="L76" i="35" s="1"/>
  <c r="L85" i="35" s="1"/>
  <c r="K41" i="35"/>
  <c r="K76" i="35" s="1"/>
  <c r="K85" i="35" s="1"/>
  <c r="J41" i="35"/>
  <c r="J76" i="35" s="1"/>
  <c r="J85" i="35" s="1"/>
  <c r="I41" i="35"/>
  <c r="I76" i="35" s="1"/>
  <c r="I85" i="35" s="1"/>
  <c r="H41" i="35"/>
  <c r="H50" i="35" s="1"/>
  <c r="G41" i="35"/>
  <c r="G76" i="35" s="1"/>
  <c r="G85" i="35" s="1"/>
  <c r="F41" i="35"/>
  <c r="F76" i="35" s="1"/>
  <c r="F85" i="35" s="1"/>
  <c r="E41" i="35"/>
  <c r="E76" i="35" s="1"/>
  <c r="E85" i="35" s="1"/>
  <c r="D41" i="35"/>
  <c r="D50" i="35" s="1"/>
  <c r="C41" i="35"/>
  <c r="C76" i="35" s="1"/>
  <c r="C85" i="35" s="1"/>
  <c r="O40" i="35"/>
  <c r="O75" i="35" s="1"/>
  <c r="N40" i="35"/>
  <c r="N75" i="35" s="1"/>
  <c r="M40" i="35"/>
  <c r="M75" i="35" s="1"/>
  <c r="L40" i="35"/>
  <c r="L75" i="35" s="1"/>
  <c r="L84" i="35" s="1"/>
  <c r="K40" i="35"/>
  <c r="K75" i="35" s="1"/>
  <c r="J40" i="35"/>
  <c r="J75" i="35" s="1"/>
  <c r="I40" i="35"/>
  <c r="I75" i="35" s="1"/>
  <c r="H40" i="35"/>
  <c r="H75" i="35" s="1"/>
  <c r="H84" i="35" s="1"/>
  <c r="AB26" i="35"/>
  <c r="AB35" i="35" s="1"/>
  <c r="AA26" i="35"/>
  <c r="AA35" i="35" s="1"/>
  <c r="Z26" i="35"/>
  <c r="Z35" i="35" s="1"/>
  <c r="Y26" i="35"/>
  <c r="Y35" i="35" s="1"/>
  <c r="X26" i="35"/>
  <c r="X35" i="35" s="1"/>
  <c r="W26" i="35"/>
  <c r="W35" i="35" s="1"/>
  <c r="V26" i="35"/>
  <c r="V35" i="35" s="1"/>
  <c r="U26" i="35"/>
  <c r="U35" i="35" s="1"/>
  <c r="T26" i="35"/>
  <c r="T35" i="35" s="1"/>
  <c r="S26" i="35"/>
  <c r="S35" i="35" s="1"/>
  <c r="R26" i="35"/>
  <c r="R35" i="35" s="1"/>
  <c r="Q26" i="35"/>
  <c r="Q35" i="35" s="1"/>
  <c r="P26" i="35"/>
  <c r="P35" i="35" s="1"/>
  <c r="O26" i="35"/>
  <c r="O35" i="35" s="1"/>
  <c r="N26" i="35"/>
  <c r="N35" i="35" s="1"/>
  <c r="M26" i="35"/>
  <c r="M35" i="35" s="1"/>
  <c r="L26" i="35"/>
  <c r="L35" i="35" s="1"/>
  <c r="K26" i="35"/>
  <c r="K35" i="35" s="1"/>
  <c r="J26" i="35"/>
  <c r="J35" i="35" s="1"/>
  <c r="I26" i="35"/>
  <c r="I35" i="35" s="1"/>
  <c r="H26" i="35"/>
  <c r="H35" i="35" s="1"/>
  <c r="G26" i="35"/>
  <c r="G35" i="35" s="1"/>
  <c r="F26" i="35"/>
  <c r="F35" i="35" s="1"/>
  <c r="E26" i="35"/>
  <c r="E35" i="35" s="1"/>
  <c r="D26" i="35"/>
  <c r="D35" i="35" s="1"/>
  <c r="C26" i="35"/>
  <c r="C35" i="35" s="1"/>
  <c r="AB25" i="35"/>
  <c r="AB34" i="35" s="1"/>
  <c r="AA25" i="35"/>
  <c r="AA34" i="35" s="1"/>
  <c r="Z25" i="35"/>
  <c r="Z34" i="35" s="1"/>
  <c r="Y25" i="35"/>
  <c r="Y34" i="35" s="1"/>
  <c r="X25" i="35"/>
  <c r="X34" i="35" s="1"/>
  <c r="W25" i="35"/>
  <c r="W34" i="35" s="1"/>
  <c r="V25" i="35"/>
  <c r="V34" i="35" s="1"/>
  <c r="U25" i="35"/>
  <c r="U34" i="35" s="1"/>
  <c r="T25" i="35"/>
  <c r="T34" i="35" s="1"/>
  <c r="S25" i="35"/>
  <c r="S34" i="35" s="1"/>
  <c r="R25" i="35"/>
  <c r="R34" i="35" s="1"/>
  <c r="Q25" i="35"/>
  <c r="Q34" i="35" s="1"/>
  <c r="P25" i="35"/>
  <c r="P34" i="35" s="1"/>
  <c r="O25" i="35"/>
  <c r="O34" i="35" s="1"/>
  <c r="N25" i="35"/>
  <c r="N34" i="35" s="1"/>
  <c r="M25" i="35"/>
  <c r="M34" i="35" s="1"/>
  <c r="L25" i="35"/>
  <c r="L34" i="35" s="1"/>
  <c r="K25" i="35"/>
  <c r="K34" i="35" s="1"/>
  <c r="J25" i="35"/>
  <c r="J34" i="35" s="1"/>
  <c r="I25" i="35"/>
  <c r="I34" i="35" s="1"/>
  <c r="H25" i="35"/>
  <c r="H34" i="35" s="1"/>
  <c r="G25" i="35"/>
  <c r="G34" i="35" s="1"/>
  <c r="F25" i="35"/>
  <c r="F34" i="35" s="1"/>
  <c r="E25" i="35"/>
  <c r="E34" i="35" s="1"/>
  <c r="D25" i="35"/>
  <c r="D34" i="35" s="1"/>
  <c r="C25" i="35"/>
  <c r="C34" i="35" s="1"/>
  <c r="AB24" i="35"/>
  <c r="AB33" i="35" s="1"/>
  <c r="AA24" i="35"/>
  <c r="AA33" i="35" s="1"/>
  <c r="Z24" i="35"/>
  <c r="Z33" i="35" s="1"/>
  <c r="Y24" i="35"/>
  <c r="Y33" i="35" s="1"/>
  <c r="X24" i="35"/>
  <c r="X33" i="35" s="1"/>
  <c r="W24" i="35"/>
  <c r="W33" i="35" s="1"/>
  <c r="V24" i="35"/>
  <c r="V33" i="35" s="1"/>
  <c r="U24" i="35"/>
  <c r="U33" i="35" s="1"/>
  <c r="T24" i="35"/>
  <c r="T33" i="35" s="1"/>
  <c r="S24" i="35"/>
  <c r="S33" i="35" s="1"/>
  <c r="R24" i="35"/>
  <c r="R33" i="35" s="1"/>
  <c r="Q24" i="35"/>
  <c r="Q33" i="35" s="1"/>
  <c r="P24" i="35"/>
  <c r="P33" i="35" s="1"/>
  <c r="O24" i="35"/>
  <c r="O33" i="35" s="1"/>
  <c r="N24" i="35"/>
  <c r="N33" i="35" s="1"/>
  <c r="M24" i="35"/>
  <c r="M33" i="35" s="1"/>
  <c r="L24" i="35"/>
  <c r="L33" i="35" s="1"/>
  <c r="K24" i="35"/>
  <c r="K33" i="35" s="1"/>
  <c r="J24" i="35"/>
  <c r="J33" i="35" s="1"/>
  <c r="I24" i="35"/>
  <c r="I33" i="35" s="1"/>
  <c r="H24" i="35"/>
  <c r="H33" i="35" s="1"/>
  <c r="G24" i="35"/>
  <c r="G33" i="35" s="1"/>
  <c r="F24" i="35"/>
  <c r="F33" i="35" s="1"/>
  <c r="E24" i="35"/>
  <c r="E33" i="35" s="1"/>
  <c r="D24" i="35"/>
  <c r="D33" i="35" s="1"/>
  <c r="C24" i="35"/>
  <c r="C33" i="35" s="1"/>
  <c r="AB23" i="35"/>
  <c r="AB32" i="35" s="1"/>
  <c r="AA23" i="35"/>
  <c r="AA32" i="35" s="1"/>
  <c r="Z23" i="35"/>
  <c r="Z32" i="35" s="1"/>
  <c r="Y23" i="35"/>
  <c r="Y32" i="35" s="1"/>
  <c r="X23" i="35"/>
  <c r="X32" i="35" s="1"/>
  <c r="W23" i="35"/>
  <c r="W32" i="35" s="1"/>
  <c r="V23" i="35"/>
  <c r="V32" i="35" s="1"/>
  <c r="U23" i="35"/>
  <c r="U32" i="35" s="1"/>
  <c r="T23" i="35"/>
  <c r="T32" i="35" s="1"/>
  <c r="S23" i="35"/>
  <c r="R23" i="35"/>
  <c r="R32" i="35" s="1"/>
  <c r="Q23" i="35"/>
  <c r="Q32" i="35" s="1"/>
  <c r="P23" i="35"/>
  <c r="P32" i="35" s="1"/>
  <c r="O23" i="35"/>
  <c r="O32" i="35" s="1"/>
  <c r="N23" i="35"/>
  <c r="N32" i="35" s="1"/>
  <c r="M23" i="35"/>
  <c r="M32" i="35" s="1"/>
  <c r="H23" i="35"/>
  <c r="H32" i="35" s="1"/>
  <c r="G23" i="35"/>
  <c r="G32" i="35" s="1"/>
  <c r="AB22" i="35"/>
  <c r="AB31" i="35" s="1"/>
  <c r="AB36" i="35" s="1"/>
  <c r="AA22" i="35"/>
  <c r="AA31" i="35" s="1"/>
  <c r="AA36" i="35" s="1"/>
  <c r="Z22" i="35"/>
  <c r="Y22" i="35"/>
  <c r="X22" i="35"/>
  <c r="X31" i="35" s="1"/>
  <c r="X36" i="35" s="1"/>
  <c r="W22" i="35"/>
  <c r="W31" i="35" s="1"/>
  <c r="W36" i="35" s="1"/>
  <c r="V22" i="35"/>
  <c r="U22" i="35"/>
  <c r="T22" i="35"/>
  <c r="T31" i="35" s="1"/>
  <c r="T36" i="35" s="1"/>
  <c r="S22" i="35"/>
  <c r="S31" i="35" s="1"/>
  <c r="R22" i="35"/>
  <c r="Q22" i="35"/>
  <c r="Q31" i="35" s="1"/>
  <c r="P22" i="35"/>
  <c r="P31" i="35" s="1"/>
  <c r="P36" i="35" s="1"/>
  <c r="O22" i="35"/>
  <c r="O31" i="35" s="1"/>
  <c r="O36" i="35" s="1"/>
  <c r="N22" i="35"/>
  <c r="M22" i="35"/>
  <c r="L22" i="35"/>
  <c r="L31" i="35" s="1"/>
  <c r="K22" i="35"/>
  <c r="K31" i="35" s="1"/>
  <c r="J22" i="35"/>
  <c r="I22" i="35"/>
  <c r="H22" i="35"/>
  <c r="H31" i="35" s="1"/>
  <c r="H36" i="35" s="1"/>
  <c r="G22" i="35"/>
  <c r="G31" i="35" s="1"/>
  <c r="G36" i="35" s="1"/>
  <c r="F22" i="35"/>
  <c r="E22" i="35"/>
  <c r="E31" i="35" s="1"/>
  <c r="D22" i="35"/>
  <c r="D31" i="35" s="1"/>
  <c r="C22" i="35"/>
  <c r="C31" i="35" s="1"/>
  <c r="O18" i="35"/>
  <c r="N18" i="35"/>
  <c r="M18" i="35"/>
  <c r="L18" i="35"/>
  <c r="K18" i="35"/>
  <c r="J18" i="35"/>
  <c r="I18" i="35"/>
  <c r="H18" i="35"/>
  <c r="G18" i="35"/>
  <c r="F18" i="35"/>
  <c r="E18" i="35"/>
  <c r="D18" i="35"/>
  <c r="C18" i="35"/>
  <c r="AB17" i="35"/>
  <c r="O60" i="35" s="1"/>
  <c r="AA17" i="35"/>
  <c r="N60" i="35" s="1"/>
  <c r="Z17" i="35"/>
  <c r="M60" i="35" s="1"/>
  <c r="Y17" i="35"/>
  <c r="L60" i="35" s="1"/>
  <c r="X17" i="35"/>
  <c r="K60" i="35" s="1"/>
  <c r="W17" i="35"/>
  <c r="J60" i="35" s="1"/>
  <c r="V17" i="35"/>
  <c r="U17" i="35"/>
  <c r="T17" i="35"/>
  <c r="S17" i="35"/>
  <c r="R17" i="35"/>
  <c r="Q17" i="35"/>
  <c r="P17" i="35"/>
  <c r="AB16" i="35"/>
  <c r="O59" i="35" s="1"/>
  <c r="AA16" i="35"/>
  <c r="N59" i="35" s="1"/>
  <c r="Z16" i="35"/>
  <c r="M59" i="35" s="1"/>
  <c r="Y16" i="35"/>
  <c r="X16" i="35"/>
  <c r="K59" i="35" s="1"/>
  <c r="W16" i="35"/>
  <c r="J59" i="35" s="1"/>
  <c r="V16" i="35"/>
  <c r="U16" i="35"/>
  <c r="T16" i="35"/>
  <c r="S16" i="35"/>
  <c r="R16" i="35"/>
  <c r="Q16" i="35"/>
  <c r="P16" i="35"/>
  <c r="AB15" i="35"/>
  <c r="O58" i="35" s="1"/>
  <c r="O61" i="35" s="1"/>
  <c r="O70" i="35" s="1"/>
  <c r="AA15" i="35"/>
  <c r="N58" i="35" s="1"/>
  <c r="Z15" i="35"/>
  <c r="Y15" i="35"/>
  <c r="Y18" i="35" s="1"/>
  <c r="X15" i="35"/>
  <c r="K58" i="35" s="1"/>
  <c r="K61" i="35" s="1"/>
  <c r="K70" i="35" s="1"/>
  <c r="W15" i="35"/>
  <c r="J58" i="35" s="1"/>
  <c r="V15" i="35"/>
  <c r="U15" i="35"/>
  <c r="U18" i="35" s="1"/>
  <c r="T15" i="35"/>
  <c r="T18" i="35" s="1"/>
  <c r="S15" i="35"/>
  <c r="R15" i="35"/>
  <c r="Q15" i="35"/>
  <c r="Q18" i="35" s="1"/>
  <c r="P15" i="35"/>
  <c r="P18" i="35" s="1"/>
  <c r="AB11" i="35"/>
  <c r="AA11" i="35"/>
  <c r="Z11" i="35"/>
  <c r="Y11" i="35"/>
  <c r="X11" i="35"/>
  <c r="W11" i="35"/>
  <c r="V11" i="35"/>
  <c r="U11" i="35"/>
  <c r="T11" i="35"/>
  <c r="S11" i="35"/>
  <c r="R11" i="35"/>
  <c r="Q11" i="35"/>
  <c r="P11" i="35"/>
  <c r="O11" i="35"/>
  <c r="N11" i="35"/>
  <c r="M11" i="35"/>
  <c r="I11" i="35"/>
  <c r="H11" i="35"/>
  <c r="E11" i="35"/>
  <c r="L6" i="35"/>
  <c r="L23" i="35" s="1"/>
  <c r="L32" i="35" s="1"/>
  <c r="K6" i="35"/>
  <c r="K11" i="35" s="1"/>
  <c r="J6" i="35"/>
  <c r="J23" i="35" s="1"/>
  <c r="J32" i="35" s="1"/>
  <c r="I6" i="35"/>
  <c r="I23" i="35" s="1"/>
  <c r="I32" i="35" s="1"/>
  <c r="H6" i="35"/>
  <c r="G6" i="35"/>
  <c r="G11" i="35" s="1"/>
  <c r="F6" i="35"/>
  <c r="F23" i="35" s="1"/>
  <c r="F32" i="35" s="1"/>
  <c r="E6" i="35"/>
  <c r="E23" i="35" s="1"/>
  <c r="E32" i="35" s="1"/>
  <c r="D6" i="35"/>
  <c r="D23" i="35" s="1"/>
  <c r="D32" i="35" s="1"/>
  <c r="C6" i="35"/>
  <c r="C11" i="35" s="1"/>
  <c r="C41" i="37" l="1"/>
  <c r="M33" i="37"/>
  <c r="C71" i="35"/>
  <c r="I61" i="35"/>
  <c r="I70" i="35" s="1"/>
  <c r="H84" i="37"/>
  <c r="H95" i="37" s="1"/>
  <c r="R18" i="35"/>
  <c r="V18" i="35"/>
  <c r="Z18" i="35"/>
  <c r="M27" i="35"/>
  <c r="U27" i="35"/>
  <c r="Y27" i="35"/>
  <c r="C23" i="35"/>
  <c r="C32" i="35" s="1"/>
  <c r="C36" i="35" s="1"/>
  <c r="K23" i="35"/>
  <c r="K32" i="35" s="1"/>
  <c r="S27" i="35"/>
  <c r="L46" i="35"/>
  <c r="F50" i="35"/>
  <c r="D71" i="35"/>
  <c r="H53" i="35"/>
  <c r="H68" i="35" s="1"/>
  <c r="L58" i="35"/>
  <c r="D76" i="35"/>
  <c r="D85" i="35" s="1"/>
  <c r="N78" i="35"/>
  <c r="N87" i="35" s="1"/>
  <c r="F13" i="37"/>
  <c r="S13" i="37"/>
  <c r="E41" i="37"/>
  <c r="E45" i="37" s="1"/>
  <c r="I41" i="37"/>
  <c r="Q45" i="37"/>
  <c r="G41" i="37"/>
  <c r="Y33" i="37"/>
  <c r="I64" i="37"/>
  <c r="I69" i="37"/>
  <c r="H79" i="37"/>
  <c r="B101" i="37"/>
  <c r="K36" i="35"/>
  <c r="D36" i="35"/>
  <c r="L36" i="35"/>
  <c r="O49" i="35"/>
  <c r="G71" i="35"/>
  <c r="H41" i="37"/>
  <c r="Q33" i="37"/>
  <c r="H87" i="37"/>
  <c r="H98" i="37" s="1"/>
  <c r="I83" i="37"/>
  <c r="H85" i="37"/>
  <c r="H96" i="37" s="1"/>
  <c r="H86" i="37"/>
  <c r="H97" i="37" s="1"/>
  <c r="D11" i="35"/>
  <c r="L11" i="35"/>
  <c r="S18" i="35"/>
  <c r="J61" i="35"/>
  <c r="J70" i="35" s="1"/>
  <c r="N61" i="35"/>
  <c r="N70" i="35" s="1"/>
  <c r="N27" i="35"/>
  <c r="R27" i="35"/>
  <c r="V27" i="35"/>
  <c r="Z27" i="35"/>
  <c r="J50" i="35"/>
  <c r="E69" i="35"/>
  <c r="E71" i="35" s="1"/>
  <c r="H52" i="35"/>
  <c r="H67" i="35" s="1"/>
  <c r="K53" i="35"/>
  <c r="K68" i="35" s="1"/>
  <c r="I33" i="37"/>
  <c r="H13" i="37"/>
  <c r="AA33" i="37"/>
  <c r="O45" i="37"/>
  <c r="I86" i="37"/>
  <c r="I97" i="37" s="1"/>
  <c r="G67" i="37"/>
  <c r="O7" i="38"/>
  <c r="E36" i="35"/>
  <c r="I27" i="35"/>
  <c r="Q36" i="35"/>
  <c r="L61" i="35"/>
  <c r="L70" i="35" s="1"/>
  <c r="F27" i="35"/>
  <c r="J27" i="35"/>
  <c r="I84" i="35"/>
  <c r="I89" i="35" s="1"/>
  <c r="I80" i="35"/>
  <c r="M84" i="35"/>
  <c r="M89" i="35" s="1"/>
  <c r="M80" i="35"/>
  <c r="O27" i="35"/>
  <c r="AA27" i="35"/>
  <c r="M31" i="35"/>
  <c r="M36" i="35" s="1"/>
  <c r="Y31" i="35"/>
  <c r="Y36" i="35" s="1"/>
  <c r="S32" i="35"/>
  <c r="S36" i="35" s="1"/>
  <c r="D80" i="35"/>
  <c r="X18" i="35"/>
  <c r="D27" i="35"/>
  <c r="H27" i="35"/>
  <c r="L27" i="35"/>
  <c r="P27" i="35"/>
  <c r="T27" i="35"/>
  <c r="X27" i="35"/>
  <c r="AB27" i="35"/>
  <c r="F31" i="35"/>
  <c r="F36" i="35" s="1"/>
  <c r="J31" i="35"/>
  <c r="J36" i="35" s="1"/>
  <c r="N31" i="35"/>
  <c r="N36" i="35" s="1"/>
  <c r="R31" i="35"/>
  <c r="R36" i="35" s="1"/>
  <c r="V31" i="35"/>
  <c r="V36" i="35" s="1"/>
  <c r="Z31" i="35"/>
  <c r="Z36" i="35" s="1"/>
  <c r="K80" i="35"/>
  <c r="O80" i="35"/>
  <c r="E46" i="35"/>
  <c r="M46" i="35"/>
  <c r="H49" i="35"/>
  <c r="L49" i="35"/>
  <c r="C50" i="35"/>
  <c r="G50" i="35"/>
  <c r="K50" i="35"/>
  <c r="O50" i="35"/>
  <c r="F69" i="35"/>
  <c r="F71" i="35" s="1"/>
  <c r="J51" i="35"/>
  <c r="J66" i="35" s="1"/>
  <c r="N51" i="35"/>
  <c r="N66" i="35" s="1"/>
  <c r="I52" i="35"/>
  <c r="I67" i="35" s="1"/>
  <c r="M52" i="35"/>
  <c r="M67" i="35" s="1"/>
  <c r="M58" i="35"/>
  <c r="M61" i="35" s="1"/>
  <c r="M70" i="35" s="1"/>
  <c r="C80" i="35"/>
  <c r="G80" i="35"/>
  <c r="H76" i="35"/>
  <c r="H85" i="35" s="1"/>
  <c r="H89" i="35" s="1"/>
  <c r="O77" i="35"/>
  <c r="O86" i="35" s="1"/>
  <c r="K84" i="35"/>
  <c r="K89" i="35" s="1"/>
  <c r="U28" i="37"/>
  <c r="U13" i="37"/>
  <c r="U11" i="37"/>
  <c r="U32" i="37" s="1"/>
  <c r="U44" i="37" s="1"/>
  <c r="G32" i="37"/>
  <c r="G44" i="37" s="1"/>
  <c r="G13" i="37"/>
  <c r="AA18" i="35"/>
  <c r="G27" i="35"/>
  <c r="W27" i="35"/>
  <c r="I31" i="35"/>
  <c r="I36" i="35" s="1"/>
  <c r="U31" i="35"/>
  <c r="U36" i="35" s="1"/>
  <c r="J84" i="35"/>
  <c r="J89" i="35" s="1"/>
  <c r="J80" i="35"/>
  <c r="I45" i="35"/>
  <c r="H69" i="37"/>
  <c r="H89" i="37"/>
  <c r="H100" i="37" s="1"/>
  <c r="J89" i="37"/>
  <c r="J100" i="37" s="1"/>
  <c r="J70" i="37"/>
  <c r="J83" i="37"/>
  <c r="AB18" i="35"/>
  <c r="F11" i="35"/>
  <c r="E27" i="35"/>
  <c r="Q27" i="35"/>
  <c r="L89" i="35"/>
  <c r="F46" i="35"/>
  <c r="J46" i="35"/>
  <c r="N46" i="35"/>
  <c r="I49" i="35"/>
  <c r="M49" i="35"/>
  <c r="L50" i="35"/>
  <c r="J52" i="35"/>
  <c r="J67" i="35" s="1"/>
  <c r="I53" i="35"/>
  <c r="I68" i="35" s="1"/>
  <c r="M53" i="35"/>
  <c r="M68" i="35" s="1"/>
  <c r="D89" i="35"/>
  <c r="L80" i="35"/>
  <c r="O84" i="35"/>
  <c r="O89" i="35" s="1"/>
  <c r="G45" i="37"/>
  <c r="R45" i="37"/>
  <c r="D95" i="37"/>
  <c r="D101" i="37" s="1"/>
  <c r="D90" i="37"/>
  <c r="W18" i="35"/>
  <c r="C27" i="35"/>
  <c r="K27" i="35"/>
  <c r="N84" i="35"/>
  <c r="N89" i="35" s="1"/>
  <c r="N80" i="35"/>
  <c r="I51" i="35"/>
  <c r="I66" i="35" s="1"/>
  <c r="I69" i="35" s="1"/>
  <c r="I71" i="35" s="1"/>
  <c r="M51" i="35"/>
  <c r="M66" i="35" s="1"/>
  <c r="F70" i="37"/>
  <c r="F86" i="37"/>
  <c r="F97" i="37" s="1"/>
  <c r="F58" i="37"/>
  <c r="J11" i="35"/>
  <c r="H45" i="35"/>
  <c r="C46" i="35"/>
  <c r="G46" i="35"/>
  <c r="K46" i="35"/>
  <c r="O46" i="35"/>
  <c r="J49" i="35"/>
  <c r="N49" i="35"/>
  <c r="E50" i="35"/>
  <c r="I50" i="35"/>
  <c r="M50" i="35"/>
  <c r="H51" i="35"/>
  <c r="H66" i="35" s="1"/>
  <c r="H69" i="35" s="1"/>
  <c r="H71" i="35" s="1"/>
  <c r="L51" i="35"/>
  <c r="L66" i="35" s="1"/>
  <c r="L69" i="35" s="1"/>
  <c r="K52" i="35"/>
  <c r="K67" i="35" s="1"/>
  <c r="K69" i="35" s="1"/>
  <c r="K71" i="35" s="1"/>
  <c r="O52" i="35"/>
  <c r="O67" i="35" s="1"/>
  <c r="O69" i="35" s="1"/>
  <c r="O71" i="35" s="1"/>
  <c r="J53" i="35"/>
  <c r="J68" i="35" s="1"/>
  <c r="N53" i="35"/>
  <c r="N68" i="35" s="1"/>
  <c r="E84" i="35"/>
  <c r="E89" i="35" s="1"/>
  <c r="E80" i="35"/>
  <c r="C89" i="35"/>
  <c r="Z45" i="37"/>
  <c r="L13" i="37"/>
  <c r="T13" i="37"/>
  <c r="C33" i="37"/>
  <c r="G33" i="37"/>
  <c r="K33" i="37"/>
  <c r="O33" i="37"/>
  <c r="S33" i="37"/>
  <c r="Y45" i="37"/>
  <c r="W32" i="37"/>
  <c r="W44" i="37" s="1"/>
  <c r="W45" i="37" s="1"/>
  <c r="B41" i="37"/>
  <c r="B45" i="37" s="1"/>
  <c r="G83" i="37"/>
  <c r="F83" i="37"/>
  <c r="E63" i="37"/>
  <c r="E84" i="37"/>
  <c r="E95" i="37" s="1"/>
  <c r="I63" i="37"/>
  <c r="G71" i="37" s="1"/>
  <c r="I84" i="37"/>
  <c r="I95" i="37" s="1"/>
  <c r="G85" i="37"/>
  <c r="G96" i="37" s="1"/>
  <c r="G64" i="37"/>
  <c r="E86" i="37"/>
  <c r="E97" i="37" s="1"/>
  <c r="E65" i="37"/>
  <c r="D66" i="37"/>
  <c r="D71" i="37" s="1"/>
  <c r="D58" i="37"/>
  <c r="H66" i="37"/>
  <c r="H58" i="37"/>
  <c r="J87" i="37"/>
  <c r="J98" i="37" s="1"/>
  <c r="J67" i="37"/>
  <c r="G62" i="37"/>
  <c r="I94" i="37"/>
  <c r="F80" i="35"/>
  <c r="V32" i="37"/>
  <c r="V44" i="37" s="1"/>
  <c r="V13" i="37"/>
  <c r="E56" i="37"/>
  <c r="D13" i="37"/>
  <c r="M13" i="37"/>
  <c r="D33" i="37"/>
  <c r="D37" i="37"/>
  <c r="D45" i="37" s="1"/>
  <c r="H33" i="37"/>
  <c r="H37" i="37"/>
  <c r="H45" i="37" s="1"/>
  <c r="L33" i="37"/>
  <c r="L37" i="37"/>
  <c r="L45" i="37" s="1"/>
  <c r="P33" i="37"/>
  <c r="P37" i="37"/>
  <c r="P45" i="37" s="1"/>
  <c r="T33" i="37"/>
  <c r="T37" i="37"/>
  <c r="T45" i="37" s="1"/>
  <c r="X33" i="37"/>
  <c r="X37" i="37"/>
  <c r="X45" i="37" s="1"/>
  <c r="F41" i="37"/>
  <c r="F45" i="37" s="1"/>
  <c r="J41" i="37"/>
  <c r="N41" i="37"/>
  <c r="N45" i="37" s="1"/>
  <c r="V45" i="37"/>
  <c r="E33" i="37"/>
  <c r="I44" i="37"/>
  <c r="I45" i="37" s="1"/>
  <c r="J86" i="37"/>
  <c r="J97" i="37" s="1"/>
  <c r="E58" i="37"/>
  <c r="F87" i="37"/>
  <c r="F98" i="37" s="1"/>
  <c r="J32" i="37"/>
  <c r="J44" i="37" s="1"/>
  <c r="J13" i="37"/>
  <c r="F89" i="37"/>
  <c r="F100" i="37" s="1"/>
  <c r="F69" i="37"/>
  <c r="E13" i="37"/>
  <c r="I13" i="37"/>
  <c r="W13" i="37"/>
  <c r="C45" i="37"/>
  <c r="K45" i="37"/>
  <c r="S45" i="37"/>
  <c r="AA45" i="37"/>
  <c r="M41" i="37"/>
  <c r="M45" i="37" s="1"/>
  <c r="H71" i="37"/>
  <c r="B33" i="37"/>
  <c r="F33" i="37"/>
  <c r="N33" i="37"/>
  <c r="R33" i="37"/>
  <c r="Z33" i="37"/>
  <c r="F84" i="37"/>
  <c r="F95" i="37" s="1"/>
  <c r="J84" i="37"/>
  <c r="J95" i="37" s="1"/>
  <c r="B58" i="37"/>
  <c r="H62" i="37"/>
  <c r="J63" i="37"/>
  <c r="E64" i="37"/>
  <c r="J65" i="37"/>
  <c r="H67" i="37"/>
  <c r="E70" i="37"/>
  <c r="F79" i="37"/>
  <c r="E79" i="37"/>
  <c r="G86" i="37"/>
  <c r="G97" i="37" s="1"/>
  <c r="I87" i="37"/>
  <c r="I98" i="37" s="1"/>
  <c r="C90" i="37"/>
  <c r="I58" i="37"/>
  <c r="F63" i="37"/>
  <c r="E68" i="37"/>
  <c r="B71" i="37"/>
  <c r="C79" i="37"/>
  <c r="G79" i="37"/>
  <c r="E83" i="37"/>
  <c r="C101" i="37"/>
  <c r="F85" i="37"/>
  <c r="F96" i="37" s="1"/>
  <c r="J85" i="37"/>
  <c r="J96" i="37" s="1"/>
  <c r="G58" i="37"/>
  <c r="G89" i="37"/>
  <c r="G100" i="37" s="1"/>
  <c r="G69" i="37"/>
  <c r="J58" i="37"/>
  <c r="G63" i="37"/>
  <c r="B90" i="37"/>
  <c r="J33" i="37" l="1"/>
  <c r="L71" i="35"/>
  <c r="H101" i="37"/>
  <c r="G90" i="37"/>
  <c r="G94" i="37"/>
  <c r="G101" i="37" s="1"/>
  <c r="V33" i="37"/>
  <c r="H90" i="37"/>
  <c r="J90" i="37"/>
  <c r="J94" i="37"/>
  <c r="J101" i="37" s="1"/>
  <c r="E71" i="37"/>
  <c r="J45" i="37"/>
  <c r="E89" i="37"/>
  <c r="E100" i="37" s="1"/>
  <c r="E69" i="37"/>
  <c r="I90" i="37"/>
  <c r="H46" i="35"/>
  <c r="H54" i="35"/>
  <c r="F71" i="37"/>
  <c r="I71" i="37"/>
  <c r="I54" i="35"/>
  <c r="I46" i="35"/>
  <c r="H80" i="35"/>
  <c r="N69" i="35"/>
  <c r="N71" i="35" s="1"/>
  <c r="U39" i="37"/>
  <c r="U45" i="37" s="1"/>
  <c r="U33" i="37"/>
  <c r="E94" i="37"/>
  <c r="E101" i="37" s="1"/>
  <c r="E90" i="37"/>
  <c r="I101" i="37"/>
  <c r="F90" i="37"/>
  <c r="F94" i="37"/>
  <c r="F101" i="37" s="1"/>
  <c r="W33" i="37"/>
  <c r="M69" i="35"/>
  <c r="M71" i="35" s="1"/>
  <c r="J69" i="35"/>
  <c r="J71" i="35" s="1"/>
  <c r="G65" i="33" l="1"/>
  <c r="F65" i="33"/>
  <c r="E65" i="33"/>
  <c r="D65" i="33"/>
  <c r="C65" i="33"/>
  <c r="H64" i="33"/>
  <c r="H65" i="33" s="1"/>
  <c r="G63" i="33"/>
  <c r="F63" i="33"/>
  <c r="E63" i="33"/>
  <c r="D63" i="33"/>
  <c r="C63" i="33"/>
  <c r="H62" i="33"/>
  <c r="H63" i="33" s="1"/>
  <c r="G61" i="33"/>
  <c r="F61" i="33"/>
  <c r="E61" i="33"/>
  <c r="D61" i="33"/>
  <c r="C61" i="33"/>
  <c r="H60" i="33"/>
  <c r="H61" i="33" s="1"/>
  <c r="G59" i="33"/>
  <c r="F59" i="33"/>
  <c r="E59" i="33"/>
  <c r="D59" i="33"/>
  <c r="C59" i="33"/>
  <c r="H58" i="33"/>
  <c r="H59" i="33" s="1"/>
  <c r="I56" i="33"/>
  <c r="F57" i="33" s="1"/>
  <c r="C56" i="33"/>
  <c r="I54" i="33"/>
  <c r="E55" i="33" s="1"/>
  <c r="C54" i="33"/>
  <c r="C55" i="33" s="1"/>
  <c r="I52" i="33"/>
  <c r="F53" i="33" s="1"/>
  <c r="D52" i="33"/>
  <c r="C52" i="33"/>
  <c r="I50" i="33"/>
  <c r="F51" i="33" s="1"/>
  <c r="E50" i="33"/>
  <c r="D50" i="33"/>
  <c r="C50" i="33"/>
  <c r="I48" i="33"/>
  <c r="F48" i="33"/>
  <c r="E48" i="33"/>
  <c r="D48" i="33"/>
  <c r="C48" i="33"/>
  <c r="I46" i="33"/>
  <c r="G46" i="33"/>
  <c r="F46" i="33"/>
  <c r="E46" i="33"/>
  <c r="D46" i="33"/>
  <c r="C46" i="33"/>
  <c r="I44" i="33"/>
  <c r="G44" i="33"/>
  <c r="F44" i="33"/>
  <c r="E44" i="33"/>
  <c r="D44" i="33"/>
  <c r="C44" i="33"/>
  <c r="I42" i="33"/>
  <c r="J54" i="33" s="1"/>
  <c r="G42" i="33"/>
  <c r="F42" i="33"/>
  <c r="E42" i="33"/>
  <c r="D42" i="33"/>
  <c r="D43" i="33" s="1"/>
  <c r="C42" i="33"/>
  <c r="D41" i="33"/>
  <c r="C41" i="33"/>
  <c r="J40" i="33"/>
  <c r="G40" i="33"/>
  <c r="G41" i="33" s="1"/>
  <c r="F40" i="33"/>
  <c r="F41" i="33" s="1"/>
  <c r="E40" i="33"/>
  <c r="E39" i="33"/>
  <c r="D39" i="33"/>
  <c r="C39" i="33"/>
  <c r="J38" i="33"/>
  <c r="G38" i="33"/>
  <c r="G39" i="33" s="1"/>
  <c r="F38" i="33"/>
  <c r="F39" i="33" s="1"/>
  <c r="F37" i="33"/>
  <c r="E37" i="33"/>
  <c r="D37" i="33"/>
  <c r="C37" i="33"/>
  <c r="J36" i="33"/>
  <c r="G36" i="33"/>
  <c r="G37" i="33" s="1"/>
  <c r="H35" i="33"/>
  <c r="G35" i="33"/>
  <c r="F35" i="33"/>
  <c r="E35" i="33"/>
  <c r="D35" i="33"/>
  <c r="C35" i="33"/>
  <c r="J34" i="33"/>
  <c r="H34" i="33"/>
  <c r="H33" i="33"/>
  <c r="G33" i="33"/>
  <c r="F33" i="33"/>
  <c r="E33" i="33"/>
  <c r="D33" i="33"/>
  <c r="C33" i="33"/>
  <c r="J32" i="33"/>
  <c r="H32" i="33"/>
  <c r="H31" i="33"/>
  <c r="G31" i="33"/>
  <c r="F31" i="33"/>
  <c r="E31" i="33"/>
  <c r="D31" i="33"/>
  <c r="C31" i="33"/>
  <c r="J30" i="33"/>
  <c r="H30" i="33"/>
  <c r="H29" i="33"/>
  <c r="G29" i="33"/>
  <c r="F29" i="33"/>
  <c r="E29" i="33"/>
  <c r="D29" i="33"/>
  <c r="C29" i="33"/>
  <c r="J28" i="33"/>
  <c r="H28" i="33"/>
  <c r="H27" i="33"/>
  <c r="G27" i="33"/>
  <c r="F27" i="33"/>
  <c r="E27" i="33"/>
  <c r="D27" i="33"/>
  <c r="C27" i="33"/>
  <c r="J26" i="33"/>
  <c r="H26" i="33"/>
  <c r="H25" i="33"/>
  <c r="G25" i="33"/>
  <c r="F25" i="33"/>
  <c r="E25" i="33"/>
  <c r="D25" i="33"/>
  <c r="C25" i="33"/>
  <c r="J24" i="33"/>
  <c r="H24" i="33"/>
  <c r="G23" i="33"/>
  <c r="F23" i="33"/>
  <c r="E23" i="33"/>
  <c r="D23" i="33"/>
  <c r="J22" i="33"/>
  <c r="H22" i="33"/>
  <c r="H23" i="33" s="1"/>
  <c r="J20" i="33"/>
  <c r="H20" i="33"/>
  <c r="H21" i="33" s="1"/>
  <c r="J18" i="33"/>
  <c r="H18" i="33"/>
  <c r="H19" i="33" s="1"/>
  <c r="H17" i="33"/>
  <c r="J16" i="33"/>
  <c r="H16" i="33"/>
  <c r="J14" i="33"/>
  <c r="H14" i="33"/>
  <c r="H15" i="33" s="1"/>
  <c r="J12" i="33"/>
  <c r="H12" i="33"/>
  <c r="H13" i="33" s="1"/>
  <c r="J10" i="33"/>
  <c r="H10" i="33"/>
  <c r="H11" i="33" s="1"/>
  <c r="J8" i="33"/>
  <c r="H8" i="33"/>
  <c r="H9" i="33" s="1"/>
  <c r="H7" i="33"/>
  <c r="G7" i="33"/>
  <c r="J6" i="33"/>
  <c r="H6" i="33"/>
  <c r="L44" i="29"/>
  <c r="I44" i="29"/>
  <c r="I43" i="29"/>
  <c r="L43" i="29" s="1"/>
  <c r="I42" i="29"/>
  <c r="L42" i="29" s="1"/>
  <c r="I41" i="29"/>
  <c r="L41" i="29" s="1"/>
  <c r="L40" i="29"/>
  <c r="I40" i="29"/>
  <c r="I39" i="29"/>
  <c r="L39" i="29" s="1"/>
  <c r="I38" i="29"/>
  <c r="L38" i="29" s="1"/>
  <c r="I37" i="29"/>
  <c r="L37" i="29" s="1"/>
  <c r="L36" i="29"/>
  <c r="I36" i="29"/>
  <c r="I34" i="29"/>
  <c r="L34" i="29" s="1"/>
  <c r="I33" i="29"/>
  <c r="L33" i="29" s="1"/>
  <c r="I32" i="29"/>
  <c r="L32" i="29" s="1"/>
  <c r="H36" i="33" l="1"/>
  <c r="H37" i="33" s="1"/>
  <c r="H38" i="33"/>
  <c r="H39" i="33" s="1"/>
  <c r="G57" i="33"/>
  <c r="C57" i="33"/>
  <c r="C53" i="33"/>
  <c r="D53" i="33"/>
  <c r="C45" i="33"/>
  <c r="G45" i="33"/>
  <c r="C51" i="33"/>
  <c r="E45" i="33"/>
  <c r="D51" i="33"/>
  <c r="F47" i="33"/>
  <c r="H48" i="33"/>
  <c r="H49" i="33" s="1"/>
  <c r="H54" i="33"/>
  <c r="H55" i="33" s="1"/>
  <c r="E43" i="33"/>
  <c r="J42" i="33"/>
  <c r="J66" i="33" s="1"/>
  <c r="F2" i="33" s="1"/>
  <c r="F45" i="33"/>
  <c r="D55" i="33"/>
  <c r="H56" i="33"/>
  <c r="H57" i="33" s="1"/>
  <c r="F43" i="33"/>
  <c r="H52" i="33"/>
  <c r="H53" i="33" s="1"/>
  <c r="F55" i="33"/>
  <c r="C43" i="33"/>
  <c r="G43" i="33"/>
  <c r="H46" i="33"/>
  <c r="H47" i="33" s="1"/>
  <c r="E51" i="33"/>
  <c r="G51" i="33"/>
  <c r="G55" i="33"/>
  <c r="E41" i="33"/>
  <c r="H40" i="33"/>
  <c r="H41" i="33" s="1"/>
  <c r="H42" i="33"/>
  <c r="H43" i="33" s="1"/>
  <c r="E49" i="33"/>
  <c r="G49" i="33"/>
  <c r="C47" i="33"/>
  <c r="G47" i="33"/>
  <c r="D49" i="33"/>
  <c r="E53" i="33"/>
  <c r="G53" i="33"/>
  <c r="H44" i="33"/>
  <c r="H45" i="33" s="1"/>
  <c r="H50" i="33"/>
  <c r="H51" i="33" s="1"/>
  <c r="E47" i="33"/>
  <c r="D45" i="33"/>
  <c r="C49" i="33"/>
  <c r="D57" i="33"/>
  <c r="D47" i="33"/>
  <c r="E57" i="33"/>
  <c r="P5" i="3" l="1"/>
  <c r="O5" i="3"/>
</calcChain>
</file>

<file path=xl/sharedStrings.xml><?xml version="1.0" encoding="utf-8"?>
<sst xmlns="http://schemas.openxmlformats.org/spreadsheetml/2006/main" count="1041" uniqueCount="508">
  <si>
    <t>　</t>
  </si>
  <si>
    <t>地方債残高</t>
    <rPh sb="0" eb="3">
      <t>チホウサイ</t>
    </rPh>
    <rPh sb="3" eb="5">
      <t>ザンダカ</t>
    </rPh>
    <phoneticPr fontId="6"/>
  </si>
  <si>
    <t>（参考）</t>
    <rPh sb="1" eb="3">
      <t>サンコウ</t>
    </rPh>
    <phoneticPr fontId="6"/>
  </si>
  <si>
    <t>・普通会計とは</t>
    <rPh sb="1" eb="3">
      <t>フツウ</t>
    </rPh>
    <rPh sb="3" eb="5">
      <t>カイケイ</t>
    </rPh>
    <phoneticPr fontId="6"/>
  </si>
  <si>
    <t>（注）公営事業会計とは</t>
    <rPh sb="1" eb="2">
      <t>チュウ</t>
    </rPh>
    <rPh sb="3" eb="5">
      <t>コウエイ</t>
    </rPh>
    <rPh sb="5" eb="7">
      <t>ジギョウ</t>
    </rPh>
    <rPh sb="7" eb="9">
      <t>カイケイ</t>
    </rPh>
    <phoneticPr fontId="6"/>
  </si>
  <si>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6"/>
  </si>
  <si>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6"/>
  </si>
  <si>
    <t>　適用している事業にかかる会計</t>
    <rPh sb="1" eb="3">
      <t>テキヨウ</t>
    </rPh>
    <rPh sb="7" eb="9">
      <t>ジギョウ</t>
    </rPh>
    <rPh sb="13" eb="15">
      <t>カイケイ</t>
    </rPh>
    <phoneticPr fontId="6"/>
  </si>
  <si>
    <t>＊大阪市の場合の普通会計</t>
    <rPh sb="1" eb="4">
      <t>オオサカシ</t>
    </rPh>
    <rPh sb="5" eb="7">
      <t>バアイ</t>
    </rPh>
    <rPh sb="8" eb="10">
      <t>フツウ</t>
    </rPh>
    <rPh sb="10" eb="12">
      <t>カイケイ</t>
    </rPh>
    <phoneticPr fontId="6"/>
  </si>
  <si>
    <t>・経常収支比率とは</t>
    <rPh sb="1" eb="3">
      <t>ケイジョウ</t>
    </rPh>
    <rPh sb="3" eb="5">
      <t>シュウシ</t>
    </rPh>
    <rPh sb="5" eb="7">
      <t>ヒリツ</t>
    </rPh>
    <phoneticPr fontId="6"/>
  </si>
  <si>
    <t>地方交付税</t>
    <rPh sb="0" eb="2">
      <t>チホウ</t>
    </rPh>
    <rPh sb="2" eb="5">
      <t>コウフゼイ</t>
    </rPh>
    <phoneticPr fontId="6"/>
  </si>
  <si>
    <t>地方債</t>
    <rPh sb="0" eb="3">
      <t>チホウサイ</t>
    </rPh>
    <phoneticPr fontId="6"/>
  </si>
  <si>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</si>
  <si>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</si>
  <si>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</si>
  <si>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</si>
  <si>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</si>
  <si>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</si>
  <si>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</si>
  <si>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</si>
  <si>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</si>
  <si>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</si>
  <si>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</si>
  <si>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</si>
  <si>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</si>
  <si>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</si>
  <si>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（単位：百万円、％）</t>
    <phoneticPr fontId="6"/>
  </si>
  <si>
    <t>歳入額</t>
    <phoneticPr fontId="6"/>
  </si>
  <si>
    <t>歳出額</t>
    <phoneticPr fontId="6"/>
  </si>
  <si>
    <t>うち地方税</t>
    <rPh sb="2" eb="5">
      <t>チホウゼイ</t>
    </rPh>
    <phoneticPr fontId="6"/>
  </si>
  <si>
    <t>構成比</t>
    <rPh sb="0" eb="3">
      <t>コウセイヒ</t>
    </rPh>
    <phoneticPr fontId="6"/>
  </si>
  <si>
    <t>△</t>
    <phoneticPr fontId="6"/>
  </si>
  <si>
    <t>Ｈ８年度</t>
    <rPh sb="2" eb="4">
      <t>ネンド</t>
    </rPh>
    <phoneticPr fontId="6"/>
  </si>
  <si>
    <t>Ｈ１０年度</t>
    <rPh sb="3" eb="5">
      <t>ネンド</t>
    </rPh>
    <phoneticPr fontId="6"/>
  </si>
  <si>
    <t>Ｈ１２年度</t>
    <rPh sb="3" eb="5">
      <t>ネンド</t>
    </rPh>
    <phoneticPr fontId="6"/>
  </si>
  <si>
    <t>Ｈ１４年度</t>
    <rPh sb="3" eb="5">
      <t>ネンド</t>
    </rPh>
    <phoneticPr fontId="6"/>
  </si>
  <si>
    <t>Ｈ１６年度</t>
    <rPh sb="3" eb="5">
      <t>ネンド</t>
    </rPh>
    <phoneticPr fontId="6"/>
  </si>
  <si>
    <t>地方税</t>
    <rPh sb="0" eb="3">
      <t>チホウゼイ</t>
    </rPh>
    <phoneticPr fontId="6"/>
  </si>
  <si>
    <t>人件費</t>
    <rPh sb="0" eb="3">
      <t>ジンケンヒ</t>
    </rPh>
    <phoneticPr fontId="6"/>
  </si>
  <si>
    <t>扶助費</t>
    <rPh sb="0" eb="3">
      <t>フジョヒ</t>
    </rPh>
    <phoneticPr fontId="6"/>
  </si>
  <si>
    <t>投資的経費</t>
    <rPh sb="0" eb="3">
      <t>トウシテキ</t>
    </rPh>
    <rPh sb="3" eb="5">
      <t>ケイヒ</t>
    </rPh>
    <phoneticPr fontId="6"/>
  </si>
  <si>
    <t>Ｈ８を100とした場合</t>
    <rPh sb="9" eb="11">
      <t>バアイ</t>
    </rPh>
    <phoneticPr fontId="6"/>
  </si>
  <si>
    <t>公債費</t>
    <rPh sb="0" eb="2">
      <t>コウサイ</t>
    </rPh>
    <rPh sb="2" eb="3">
      <t>ヒ</t>
    </rPh>
    <phoneticPr fontId="6"/>
  </si>
  <si>
    <t>固定資産税（土地）・都市計画税（土地）</t>
    <rPh sb="0" eb="2">
      <t>コテイ</t>
    </rPh>
    <rPh sb="2" eb="5">
      <t>シサンゼイ</t>
    </rPh>
    <rPh sb="6" eb="8">
      <t>トチ</t>
    </rPh>
    <rPh sb="10" eb="12">
      <t>トシ</t>
    </rPh>
    <rPh sb="12" eb="14">
      <t>ケイカク</t>
    </rPh>
    <rPh sb="14" eb="15">
      <t>ゼイ</t>
    </rPh>
    <rPh sb="16" eb="18">
      <t>トチ</t>
    </rPh>
    <phoneticPr fontId="6"/>
  </si>
  <si>
    <t>Ｈ１７年度</t>
    <rPh sb="3" eb="5">
      <t>ネンド</t>
    </rPh>
    <phoneticPr fontId="6"/>
  </si>
  <si>
    <t>Ｈ１８年度</t>
    <rPh sb="3" eb="5">
      <t>ネンド</t>
    </rPh>
    <phoneticPr fontId="6"/>
  </si>
  <si>
    <t>＜一般財源の推移＞</t>
    <rPh sb="1" eb="3">
      <t>イッパン</t>
    </rPh>
    <rPh sb="3" eb="5">
      <t>ザイゲン</t>
    </rPh>
    <rPh sb="6" eb="8">
      <t>スイイ</t>
    </rPh>
    <phoneticPr fontId="13"/>
  </si>
  <si>
    <t>8決算</t>
    <rPh sb="1" eb="3">
      <t>ケッサン</t>
    </rPh>
    <phoneticPr fontId="13"/>
  </si>
  <si>
    <t>10決算</t>
    <rPh sb="2" eb="4">
      <t>ケッサン</t>
    </rPh>
    <phoneticPr fontId="13"/>
  </si>
  <si>
    <t>12決算</t>
    <rPh sb="2" eb="4">
      <t>ケッサン</t>
    </rPh>
    <phoneticPr fontId="13"/>
  </si>
  <si>
    <t>14決算</t>
    <rPh sb="2" eb="4">
      <t>ケッサン</t>
    </rPh>
    <phoneticPr fontId="13"/>
  </si>
  <si>
    <t>16決算</t>
    <rPh sb="2" eb="4">
      <t>ケッサン</t>
    </rPh>
    <phoneticPr fontId="13"/>
  </si>
  <si>
    <t>17決算</t>
    <rPh sb="2" eb="4">
      <t>ケッサン</t>
    </rPh>
    <phoneticPr fontId="13"/>
  </si>
  <si>
    <t>18決算</t>
    <rPh sb="2" eb="4">
      <t>ケッサン</t>
    </rPh>
    <phoneticPr fontId="13"/>
  </si>
  <si>
    <t>地方税・地方交付税
・臨時財政対策債</t>
    <rPh sb="4" eb="6">
      <t>チホウ</t>
    </rPh>
    <rPh sb="6" eb="9">
      <t>コウフゼイ</t>
    </rPh>
    <rPh sb="11" eb="13">
      <t>リンジ</t>
    </rPh>
    <rPh sb="13" eb="15">
      <t>ザイセイ</t>
    </rPh>
    <rPh sb="15" eb="17">
      <t>タイサク</t>
    </rPh>
    <rPh sb="17" eb="18">
      <t>サイ</t>
    </rPh>
    <phoneticPr fontId="13"/>
  </si>
  <si>
    <t>地方譲与税等</t>
    <rPh sb="0" eb="2">
      <t>チホウ</t>
    </rPh>
    <rPh sb="2" eb="4">
      <t>ジョウヨ</t>
    </rPh>
    <rPh sb="4" eb="5">
      <t>ゼイ</t>
    </rPh>
    <rPh sb="5" eb="6">
      <t>トウ</t>
    </rPh>
    <phoneticPr fontId="13"/>
  </si>
  <si>
    <t>一般財源計</t>
    <rPh sb="0" eb="2">
      <t>イッパン</t>
    </rPh>
    <rPh sb="2" eb="4">
      <t>ザイゲン</t>
    </rPh>
    <rPh sb="4" eb="5">
      <t>ケイ</t>
    </rPh>
    <phoneticPr fontId="13"/>
  </si>
  <si>
    <t>8決算との増減額</t>
    <rPh sb="1" eb="3">
      <t>ケッサン</t>
    </rPh>
    <rPh sb="5" eb="6">
      <t>ゾウ</t>
    </rPh>
    <rPh sb="6" eb="7">
      <t>ゲン</t>
    </rPh>
    <rPh sb="7" eb="8">
      <t>ガク</t>
    </rPh>
    <phoneticPr fontId="13"/>
  </si>
  <si>
    <t>-</t>
    <phoneticPr fontId="13"/>
  </si>
  <si>
    <t>歳入内訳の推移</t>
    <rPh sb="0" eb="2">
      <t>サイニュウ</t>
    </rPh>
    <rPh sb="2" eb="4">
      <t>ウチワケ</t>
    </rPh>
    <rPh sb="5" eb="7">
      <t>スイイ</t>
    </rPh>
    <phoneticPr fontId="13"/>
  </si>
  <si>
    <t>＜グラフ元ねた（百万単位）＞</t>
    <rPh sb="4" eb="5">
      <t>モト</t>
    </rPh>
    <rPh sb="8" eb="10">
      <t>ヒャクマン</t>
    </rPh>
    <rPh sb="10" eb="12">
      <t>タンイ</t>
    </rPh>
    <phoneticPr fontId="13"/>
  </si>
  <si>
    <t>9決算</t>
    <rPh sb="1" eb="3">
      <t>ケッサン</t>
    </rPh>
    <phoneticPr fontId="13"/>
  </si>
  <si>
    <t>11決算</t>
    <rPh sb="2" eb="4">
      <t>ケッサン</t>
    </rPh>
    <phoneticPr fontId="13"/>
  </si>
  <si>
    <t>13決算</t>
    <rPh sb="2" eb="4">
      <t>ケッサン</t>
    </rPh>
    <phoneticPr fontId="13"/>
  </si>
  <si>
    <t>15決算</t>
    <rPh sb="2" eb="4">
      <t>ケッサン</t>
    </rPh>
    <phoneticPr fontId="13"/>
  </si>
  <si>
    <t>18決算</t>
    <phoneticPr fontId="13"/>
  </si>
  <si>
    <t>地方税</t>
    <phoneticPr fontId="13"/>
  </si>
  <si>
    <t>地方交付税</t>
    <rPh sb="0" eb="1">
      <t>チ</t>
    </rPh>
    <rPh sb="1" eb="2">
      <t>ホウ</t>
    </rPh>
    <rPh sb="2" eb="5">
      <t>コウフゼイ</t>
    </rPh>
    <phoneticPr fontId="13"/>
  </si>
  <si>
    <t>譲与税・交付金</t>
    <rPh sb="0" eb="2">
      <t>ジョウヨ</t>
    </rPh>
    <rPh sb="2" eb="3">
      <t>ゼイ</t>
    </rPh>
    <rPh sb="4" eb="7">
      <t>コウフキン</t>
    </rPh>
    <phoneticPr fontId="13"/>
  </si>
  <si>
    <t>国庫支出金</t>
    <rPh sb="0" eb="2">
      <t>コッコ</t>
    </rPh>
    <rPh sb="2" eb="5">
      <t>シシュツキン</t>
    </rPh>
    <phoneticPr fontId="13"/>
  </si>
  <si>
    <t>一般債</t>
    <rPh sb="0" eb="2">
      <t>イッパン</t>
    </rPh>
    <rPh sb="2" eb="3">
      <t>サイ</t>
    </rPh>
    <phoneticPr fontId="13"/>
  </si>
  <si>
    <t>特別債</t>
    <rPh sb="0" eb="2">
      <t>トクベツ</t>
    </rPh>
    <rPh sb="2" eb="3">
      <t>サイ</t>
    </rPh>
    <phoneticPr fontId="13"/>
  </si>
  <si>
    <t>その他</t>
    <rPh sb="2" eb="3">
      <t>タ</t>
    </rPh>
    <phoneticPr fontId="13"/>
  </si>
  <si>
    <t>計</t>
    <rPh sb="0" eb="1">
      <t>ケイ</t>
    </rPh>
    <phoneticPr fontId="13"/>
  </si>
  <si>
    <t>（一般債＋特別債）</t>
    <rPh sb="1" eb="3">
      <t>イッパン</t>
    </rPh>
    <rPh sb="3" eb="4">
      <t>サイ</t>
    </rPh>
    <rPh sb="5" eb="7">
      <t>トクベツ</t>
    </rPh>
    <rPh sb="7" eb="8">
      <t>サイ</t>
    </rPh>
    <phoneticPr fontId="13"/>
  </si>
  <si>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13"/>
  </si>
  <si>
    <t>臨時財政対策債</t>
    <rPh sb="0" eb="2">
      <t>リンジ</t>
    </rPh>
    <rPh sb="2" eb="4">
      <t>ザイセイ</t>
    </rPh>
    <rPh sb="4" eb="6">
      <t>タイサク</t>
    </rPh>
    <rPh sb="6" eb="7">
      <t>サイ</t>
    </rPh>
    <phoneticPr fontId="13"/>
  </si>
  <si>
    <t>＜構成比（単純計算）＞</t>
    <rPh sb="1" eb="4">
      <t>コウセイヒ</t>
    </rPh>
    <rPh sb="5" eb="7">
      <t>タンジュン</t>
    </rPh>
    <rPh sb="7" eb="9">
      <t>ケイサン</t>
    </rPh>
    <phoneticPr fontId="13"/>
  </si>
  <si>
    <t>＜構成比（検収調書に合わせる）＞</t>
    <rPh sb="1" eb="4">
      <t>コウセイヒ</t>
    </rPh>
    <rPh sb="5" eb="7">
      <t>ケンシュウ</t>
    </rPh>
    <rPh sb="7" eb="9">
      <t>チョウショ</t>
    </rPh>
    <rPh sb="10" eb="11">
      <t>ア</t>
    </rPh>
    <phoneticPr fontId="13"/>
  </si>
  <si>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13"/>
  </si>
  <si>
    <t>歳出の性質別内訳の推移</t>
    <rPh sb="0" eb="2">
      <t>サイシュツ</t>
    </rPh>
    <rPh sb="3" eb="5">
      <t>セイシツ</t>
    </rPh>
    <rPh sb="5" eb="6">
      <t>ベツ</t>
    </rPh>
    <rPh sb="6" eb="8">
      <t>ウチワケ</t>
    </rPh>
    <rPh sb="9" eb="11">
      <t>スイイ</t>
    </rPh>
    <phoneticPr fontId="13"/>
  </si>
  <si>
    <t>投資的経費</t>
    <rPh sb="0" eb="3">
      <t>トウシテキ</t>
    </rPh>
    <rPh sb="3" eb="5">
      <t>ケイヒ</t>
    </rPh>
    <phoneticPr fontId="13"/>
  </si>
  <si>
    <t>公債費</t>
    <rPh sb="0" eb="2">
      <t>コウサイ</t>
    </rPh>
    <rPh sb="2" eb="3">
      <t>ヒ</t>
    </rPh>
    <phoneticPr fontId="13"/>
  </si>
  <si>
    <t>扶助費</t>
    <rPh sb="0" eb="3">
      <t>フジョヒ</t>
    </rPh>
    <phoneticPr fontId="13"/>
  </si>
  <si>
    <t>人件費</t>
    <rPh sb="0" eb="3">
      <t>ジンケンヒ</t>
    </rPh>
    <phoneticPr fontId="13"/>
  </si>
  <si>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13"/>
  </si>
  <si>
    <t>合計（義務的経費）</t>
    <rPh sb="0" eb="2">
      <t>ゴウケイ</t>
    </rPh>
    <rPh sb="3" eb="6">
      <t>ギムテキ</t>
    </rPh>
    <rPh sb="6" eb="8">
      <t>ケイヒ</t>
    </rPh>
    <phoneticPr fontId="13"/>
  </si>
  <si>
    <t>Ｈ１９年度</t>
    <rPh sb="3" eb="5">
      <t>ネンド</t>
    </rPh>
    <phoneticPr fontId="6"/>
  </si>
  <si>
    <t>19決算</t>
    <rPh sb="2" eb="4">
      <t>ケッサン</t>
    </rPh>
    <phoneticPr fontId="13"/>
  </si>
  <si>
    <t>Ｈ９年度</t>
    <rPh sb="2" eb="4">
      <t>ネンド</t>
    </rPh>
    <phoneticPr fontId="6"/>
  </si>
  <si>
    <t>Ｈ１１年度</t>
    <rPh sb="3" eb="5">
      <t>ネンド</t>
    </rPh>
    <phoneticPr fontId="6"/>
  </si>
  <si>
    <t>Ｈ１３年度</t>
    <rPh sb="3" eb="5">
      <t>ネンド</t>
    </rPh>
    <phoneticPr fontId="6"/>
  </si>
  <si>
    <t>Ｈ１５年度</t>
    <rPh sb="3" eb="5">
      <t>ネンド</t>
    </rPh>
    <phoneticPr fontId="6"/>
  </si>
  <si>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6"/>
  </si>
  <si>
    <t>・形式収支とは</t>
    <rPh sb="1" eb="3">
      <t>ケイシキ</t>
    </rPh>
    <rPh sb="3" eb="5">
      <t>シュウシ</t>
    </rPh>
    <phoneticPr fontId="6"/>
  </si>
  <si>
    <t>・実質収支とは</t>
    <rPh sb="1" eb="3">
      <t>ジッシツ</t>
    </rPh>
    <rPh sb="3" eb="5">
      <t>シュウシ</t>
    </rPh>
    <phoneticPr fontId="6"/>
  </si>
  <si>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6"/>
  </si>
  <si>
    <t xml:space="preserve"> 　　　　区  分
　年　度</t>
    <rPh sb="13" eb="14">
      <t>トシ</t>
    </rPh>
    <rPh sb="15" eb="16">
      <t>ド</t>
    </rPh>
    <phoneticPr fontId="6"/>
  </si>
  <si>
    <t>経常</t>
    <phoneticPr fontId="6"/>
  </si>
  <si>
    <t>収支比率</t>
    <rPh sb="0" eb="2">
      <t>シュウシ</t>
    </rPh>
    <phoneticPr fontId="6"/>
  </si>
  <si>
    <t>歳入歳出</t>
    <phoneticPr fontId="6"/>
  </si>
  <si>
    <t>差引形式</t>
    <phoneticPr fontId="6"/>
  </si>
  <si>
    <t>Ｈ２０年度</t>
    <rPh sb="3" eb="5">
      <t>ネンド</t>
    </rPh>
    <phoneticPr fontId="6"/>
  </si>
  <si>
    <t>20決算</t>
    <rPh sb="2" eb="4">
      <t>ケッサン</t>
    </rPh>
    <phoneticPr fontId="13"/>
  </si>
  <si>
    <t>20決算</t>
    <phoneticPr fontId="13"/>
  </si>
  <si>
    <t>Ｈ２１年度</t>
    <rPh sb="3" eb="5">
      <t>ネンド</t>
    </rPh>
    <phoneticPr fontId="6"/>
  </si>
  <si>
    <t>21決算</t>
    <phoneticPr fontId="13"/>
  </si>
  <si>
    <t>21決算</t>
  </si>
  <si>
    <t>21決算</t>
    <rPh sb="2" eb="4">
      <t>ケッサン</t>
    </rPh>
    <phoneticPr fontId="13"/>
  </si>
  <si>
    <t>Ｈ２２年度</t>
    <rPh sb="3" eb="5">
      <t>ネンド</t>
    </rPh>
    <phoneticPr fontId="6"/>
  </si>
  <si>
    <t>増減額</t>
    <rPh sb="0" eb="3">
      <t>ゾウゲンガク</t>
    </rPh>
    <phoneticPr fontId="6"/>
  </si>
  <si>
    <t>22決算</t>
    <rPh sb="2" eb="4">
      <t>ケッサン</t>
    </rPh>
    <phoneticPr fontId="13"/>
  </si>
  <si>
    <t>22決算</t>
  </si>
  <si>
    <t>＜グラフラベルネタ（億円単位）＞</t>
    <rPh sb="10" eb="11">
      <t>オク</t>
    </rPh>
    <rPh sb="11" eb="12">
      <t>エン</t>
    </rPh>
    <rPh sb="12" eb="14">
      <t>タンイ</t>
    </rPh>
    <phoneticPr fontId="13"/>
  </si>
  <si>
    <t>＜グラフラベルネタ（億円単位）＞</t>
    <rPh sb="10" eb="12">
      <t>オクエン</t>
    </rPh>
    <rPh sb="12" eb="14">
      <t>タンイ</t>
    </rPh>
    <phoneticPr fontId="13"/>
  </si>
  <si>
    <t>↑カメラ</t>
    <phoneticPr fontId="13"/>
  </si>
  <si>
    <t>地方債</t>
    <rPh sb="0" eb="3">
      <t>チホウサイ</t>
    </rPh>
    <phoneticPr fontId="13"/>
  </si>
  <si>
    <t>うち一般債</t>
    <rPh sb="2" eb="4">
      <t>イッパン</t>
    </rPh>
    <rPh sb="4" eb="5">
      <t>サイ</t>
    </rPh>
    <phoneticPr fontId="13"/>
  </si>
  <si>
    <t>うち特別債</t>
    <rPh sb="2" eb="4">
      <t>トクベツ</t>
    </rPh>
    <rPh sb="4" eb="5">
      <t>サイ</t>
    </rPh>
    <phoneticPr fontId="13"/>
  </si>
  <si>
    <t>増減額</t>
    <rPh sb="0" eb="2">
      <t>ゾウゲン</t>
    </rPh>
    <rPh sb="2" eb="3">
      <t>ガク</t>
    </rPh>
    <phoneticPr fontId="6"/>
  </si>
  <si>
    <t>普通会計決算見込について</t>
    <rPh sb="0" eb="1">
      <t>ススム</t>
    </rPh>
    <rPh sb="1" eb="2">
      <t>ツウ</t>
    </rPh>
    <rPh sb="2" eb="3">
      <t>カイ</t>
    </rPh>
    <rPh sb="3" eb="4">
      <t>ケイ</t>
    </rPh>
    <rPh sb="4" eb="5">
      <t>ケツ</t>
    </rPh>
    <rPh sb="5" eb="6">
      <t>ザン</t>
    </rPh>
    <rPh sb="6" eb="7">
      <t>ミ</t>
    </rPh>
    <rPh sb="7" eb="8">
      <t>コミ</t>
    </rPh>
    <phoneticPr fontId="13"/>
  </si>
  <si>
    <t>大　　阪　　市</t>
    <rPh sb="0" eb="1">
      <t>ダイ</t>
    </rPh>
    <rPh sb="3" eb="4">
      <t>サカ</t>
    </rPh>
    <rPh sb="6" eb="7">
      <t>シ</t>
    </rPh>
    <phoneticPr fontId="13"/>
  </si>
  <si>
    <t>【特徴】</t>
    <rPh sb="1" eb="3">
      <t>トクチョウ</t>
    </rPh>
    <phoneticPr fontId="13"/>
  </si>
  <si>
    <t>　○義務的経費（人件費・扶助費・公債費）</t>
    <rPh sb="2" eb="5">
      <t>ギムテキ</t>
    </rPh>
    <rPh sb="5" eb="7">
      <t>ケイヒ</t>
    </rPh>
    <rPh sb="8" eb="11">
      <t>ジンケンヒ</t>
    </rPh>
    <rPh sb="12" eb="15">
      <t>フジョヒ</t>
    </rPh>
    <rPh sb="16" eb="19">
      <t>コウサイヒ</t>
    </rPh>
    <phoneticPr fontId="13"/>
  </si>
  <si>
    <t>　○投資的経費</t>
    <rPh sb="2" eb="5">
      <t>トウシテキ</t>
    </rPh>
    <rPh sb="5" eb="7">
      <t>ケイヒ</t>
    </rPh>
    <phoneticPr fontId="13"/>
  </si>
  <si>
    <t>　○その他経費</t>
    <rPh sb="4" eb="5">
      <t>タ</t>
    </rPh>
    <rPh sb="5" eb="7">
      <t>ケイヒ</t>
    </rPh>
    <phoneticPr fontId="13"/>
  </si>
  <si>
    <t>　○地方税</t>
    <rPh sb="2" eb="5">
      <t>チホウゼイ</t>
    </rPh>
    <phoneticPr fontId="13"/>
  </si>
  <si>
    <t>　○地方交付税</t>
    <rPh sb="2" eb="4">
      <t>チホウ</t>
    </rPh>
    <rPh sb="4" eb="7">
      <t>コウフゼイ</t>
    </rPh>
    <phoneticPr fontId="13"/>
  </si>
  <si>
    <t>　○国庫支出金</t>
    <rPh sb="2" eb="4">
      <t>コッコ</t>
    </rPh>
    <rPh sb="4" eb="7">
      <t>シシュツキン</t>
    </rPh>
    <phoneticPr fontId="13"/>
  </si>
  <si>
    <t>　○地方債</t>
    <rPh sb="2" eb="5">
      <t>チホウサイ</t>
    </rPh>
    <phoneticPr fontId="13"/>
  </si>
  <si>
    <t>　○その他</t>
    <rPh sb="4" eb="5">
      <t>タ</t>
    </rPh>
    <phoneticPr fontId="13"/>
  </si>
  <si>
    <t>3　実質収支</t>
    <rPh sb="2" eb="4">
      <t>ジッシツ</t>
    </rPh>
    <rPh sb="4" eb="6">
      <t>シュウシ</t>
    </rPh>
    <phoneticPr fontId="13"/>
  </si>
  <si>
    <t>＜決算規模及び実質収支の推移＞</t>
    <rPh sb="1" eb="3">
      <t>ケッサン</t>
    </rPh>
    <rPh sb="3" eb="5">
      <t>キボ</t>
    </rPh>
    <rPh sb="5" eb="6">
      <t>オヨ</t>
    </rPh>
    <rPh sb="7" eb="9">
      <t>ジッシツ</t>
    </rPh>
    <rPh sb="9" eb="11">
      <t>シュウシ</t>
    </rPh>
    <rPh sb="12" eb="14">
      <t>スイイ</t>
    </rPh>
    <phoneticPr fontId="13"/>
  </si>
  <si>
    <r>
      <t>2</t>
    </r>
    <r>
      <rPr>
        <sz val="11"/>
        <rFont val="ＭＳ Ｐゴシック"/>
        <family val="3"/>
        <charset val="128"/>
      </rPr>
      <t>3</t>
    </r>
    <r>
      <rPr>
        <sz val="11"/>
        <rFont val="ＭＳ Ｐゴシック"/>
        <family val="3"/>
        <charset val="128"/>
      </rPr>
      <t>決算</t>
    </r>
    <phoneticPr fontId="13"/>
  </si>
  <si>
    <r>
      <t>2</t>
    </r>
    <r>
      <rPr>
        <sz val="11"/>
        <rFont val="ＭＳ Ｐゴシック"/>
        <family val="3"/>
        <charset val="128"/>
      </rPr>
      <t>3</t>
    </r>
    <r>
      <rPr>
        <sz val="11"/>
        <rFont val="ＭＳ Ｐゴシック"/>
        <family val="3"/>
        <charset val="128"/>
      </rPr>
      <t>決算</t>
    </r>
    <rPh sb="2" eb="4">
      <t>ケッサン</t>
    </rPh>
    <phoneticPr fontId="13"/>
  </si>
  <si>
    <t>Ｈ２３年度</t>
    <rPh sb="3" eb="5">
      <t>ネンド</t>
    </rPh>
    <phoneticPr fontId="6"/>
  </si>
  <si>
    <t>地方交付税
・臨時財政対策債</t>
    <rPh sb="0" eb="2">
      <t>チホウ</t>
    </rPh>
    <rPh sb="2" eb="5">
      <t>コウフゼイ</t>
    </rPh>
    <rPh sb="7" eb="9">
      <t>リンジ</t>
    </rPh>
    <rPh sb="9" eb="11">
      <t>ザイセイ</t>
    </rPh>
    <rPh sb="11" eb="13">
      <t>タイサク</t>
    </rPh>
    <rPh sb="13" eb="14">
      <t>サイ</t>
    </rPh>
    <phoneticPr fontId="13"/>
  </si>
  <si>
    <t>5　地方債残高</t>
    <rPh sb="2" eb="5">
      <t>チホウサイ</t>
    </rPh>
    <rPh sb="5" eb="7">
      <t>ザンダカ</t>
    </rPh>
    <phoneticPr fontId="13"/>
  </si>
  <si>
    <t>残高</t>
    <rPh sb="0" eb="2">
      <t>ザンダカ</t>
    </rPh>
    <phoneticPr fontId="6"/>
  </si>
  <si>
    <t>　○譲与税・交付金</t>
    <rPh sb="2" eb="4">
      <t>ジョウヨ</t>
    </rPh>
    <rPh sb="4" eb="5">
      <t>ゼイ</t>
    </rPh>
    <rPh sb="6" eb="9">
      <t>コウフキン</t>
    </rPh>
    <phoneticPr fontId="13"/>
  </si>
  <si>
    <r>
      <t>24</t>
    </r>
    <r>
      <rPr>
        <sz val="11"/>
        <rFont val="ＭＳ Ｐゴシック"/>
        <family val="3"/>
        <charset val="128"/>
      </rPr>
      <t>決算</t>
    </r>
    <phoneticPr fontId="13"/>
  </si>
  <si>
    <r>
      <t>24</t>
    </r>
    <r>
      <rPr>
        <sz val="11"/>
        <rFont val="ＭＳ Ｐゴシック"/>
        <family val="3"/>
        <charset val="128"/>
      </rPr>
      <t>決算</t>
    </r>
    <rPh sb="2" eb="4">
      <t>ケッサン</t>
    </rPh>
    <phoneticPr fontId="13"/>
  </si>
  <si>
    <t>(△</t>
    <phoneticPr fontId="6"/>
  </si>
  <si>
    <t>4.2)</t>
    <phoneticPr fontId="6"/>
  </si>
  <si>
    <t>Ｈ２４年度</t>
    <rPh sb="3" eb="5">
      <t>ネンド</t>
    </rPh>
    <phoneticPr fontId="6"/>
  </si>
  <si>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6"/>
  </si>
  <si>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6"/>
  </si>
  <si>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6"/>
  </si>
  <si>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6"/>
  </si>
  <si>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6"/>
  </si>
  <si>
    <t>わらない見込みのものを、予算の定めるところにより翌年度に繰り越すこと。）等の財源を控除</t>
    <rPh sb="4" eb="6">
      <t>ミコ</t>
    </rPh>
    <rPh sb="12" eb="14">
      <t>ヨサン</t>
    </rPh>
    <rPh sb="15" eb="16">
      <t>サダ</t>
    </rPh>
    <phoneticPr fontId="6"/>
  </si>
  <si>
    <t>した額。</t>
    <phoneticPr fontId="6"/>
  </si>
  <si>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6"/>
  </si>
  <si>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6"/>
  </si>
  <si>
    <t>＝　一般会計　＋</t>
    <rPh sb="2" eb="4">
      <t>イッパン</t>
    </rPh>
    <rPh sb="4" eb="6">
      <t>カイケイ</t>
    </rPh>
    <phoneticPr fontId="6"/>
  </si>
  <si>
    <t>　　心身障害者扶養共済事業会計</t>
    <rPh sb="2" eb="4">
      <t>シンシン</t>
    </rPh>
    <rPh sb="4" eb="7">
      <t>ショウガイシャ</t>
    </rPh>
    <rPh sb="7" eb="9">
      <t>フヨウ</t>
    </rPh>
    <rPh sb="9" eb="11">
      <t>キョウサイ</t>
    </rPh>
    <rPh sb="11" eb="13">
      <t>ジギョウ</t>
    </rPh>
    <rPh sb="13" eb="15">
      <t>カイケイ</t>
    </rPh>
    <phoneticPr fontId="6"/>
  </si>
  <si>
    <r>
      <t>25決算</t>
    </r>
    <r>
      <rPr>
        <sz val="11"/>
        <rFont val="ＭＳ Ｐゴシック"/>
        <family val="3"/>
        <charset val="128"/>
      </rPr>
      <t/>
    </r>
  </si>
  <si>
    <r>
      <t>2</t>
    </r>
    <r>
      <rPr>
        <sz val="11"/>
        <rFont val="ＭＳ Ｐゴシック"/>
        <family val="3"/>
        <charset val="128"/>
      </rPr>
      <t>5決算</t>
    </r>
    <rPh sb="2" eb="4">
      <t>ケッサン</t>
    </rPh>
    <phoneticPr fontId="13"/>
  </si>
  <si>
    <t>19決算</t>
    <phoneticPr fontId="13"/>
  </si>
  <si>
    <t>25決算</t>
    <rPh sb="2" eb="4">
      <t>ケッサン</t>
    </rPh>
    <phoneticPr fontId="13"/>
  </si>
  <si>
    <t>Ｈ２５年度</t>
    <rPh sb="3" eb="5">
      <t>ネンド</t>
    </rPh>
    <phoneticPr fontId="6"/>
  </si>
  <si>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6"/>
  </si>
  <si>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6"/>
  </si>
  <si>
    <r>
      <t>26</t>
    </r>
    <r>
      <rPr>
        <sz val="11"/>
        <rFont val="ＭＳ Ｐゴシック"/>
        <family val="3"/>
        <charset val="128"/>
      </rPr>
      <t>決算</t>
    </r>
    <rPh sb="2" eb="4">
      <t>ケッサン</t>
    </rPh>
    <phoneticPr fontId="13"/>
  </si>
  <si>
    <t>26決算</t>
    <rPh sb="2" eb="4">
      <t>ケッサン</t>
    </rPh>
    <phoneticPr fontId="13"/>
  </si>
  <si>
    <t>Ｈ２６年度</t>
    <rPh sb="3" eb="5">
      <t>ネンド</t>
    </rPh>
    <phoneticPr fontId="6"/>
  </si>
  <si>
    <t>　　母子父子寡婦福祉貸付資金会計</t>
    <rPh sb="2" eb="4">
      <t>ボシ</t>
    </rPh>
    <rPh sb="4" eb="6">
      <t>フシ</t>
    </rPh>
    <rPh sb="6" eb="8">
      <t>カフ</t>
    </rPh>
    <rPh sb="8" eb="10">
      <t>フクシ</t>
    </rPh>
    <rPh sb="10" eb="12">
      <t>カシツケ</t>
    </rPh>
    <rPh sb="12" eb="14">
      <t>シキン</t>
    </rPh>
    <rPh sb="14" eb="16">
      <t>カイケイ</t>
    </rPh>
    <phoneticPr fontId="6"/>
  </si>
  <si>
    <t>（単位：百万円・％）</t>
    <phoneticPr fontId="6"/>
  </si>
  <si>
    <r>
      <t>2</t>
    </r>
    <r>
      <rPr>
        <sz val="11"/>
        <rFont val="ＭＳ Ｐゴシック"/>
        <family val="3"/>
        <charset val="128"/>
      </rPr>
      <t>7決算</t>
    </r>
    <phoneticPr fontId="6"/>
  </si>
  <si>
    <r>
      <t>27</t>
    </r>
    <r>
      <rPr>
        <sz val="11"/>
        <rFont val="ＭＳ Ｐゴシック"/>
        <family val="3"/>
        <charset val="128"/>
      </rPr>
      <t>決算</t>
    </r>
    <rPh sb="2" eb="4">
      <t>ケッサン</t>
    </rPh>
    <phoneticPr fontId="13"/>
  </si>
  <si>
    <r>
      <t>2</t>
    </r>
    <r>
      <rPr>
        <sz val="11"/>
        <rFont val="ＭＳ Ｐゴシック"/>
        <family val="3"/>
        <charset val="128"/>
      </rPr>
      <t>7</t>
    </r>
    <r>
      <rPr>
        <sz val="11"/>
        <rFont val="ＭＳ Ｐゴシック"/>
        <family val="3"/>
        <charset val="128"/>
      </rPr>
      <t>決算</t>
    </r>
    <rPh sb="2" eb="4">
      <t>ケッサン</t>
    </rPh>
    <phoneticPr fontId="13"/>
  </si>
  <si>
    <t>Ｈ２７年度</t>
    <rPh sb="3" eb="5">
      <t>ネンド</t>
    </rPh>
    <phoneticPr fontId="6"/>
  </si>
  <si>
    <t>（単位：百万円・％）</t>
    <rPh sb="1" eb="3">
      <t>タンイ</t>
    </rPh>
    <rPh sb="4" eb="7">
      <t>ヒャクマンエン</t>
    </rPh>
    <phoneticPr fontId="13"/>
  </si>
  <si>
    <t>区分</t>
    <rPh sb="0" eb="2">
      <t>クブン</t>
    </rPh>
    <phoneticPr fontId="13"/>
  </si>
  <si>
    <t>差引増△減</t>
    <rPh sb="0" eb="2">
      <t>サシヒキ</t>
    </rPh>
    <rPh sb="2" eb="3">
      <t>ゾウ</t>
    </rPh>
    <rPh sb="4" eb="5">
      <t>ゲン</t>
    </rPh>
    <phoneticPr fontId="13"/>
  </si>
  <si>
    <t>伸び率</t>
    <rPh sb="0" eb="1">
      <t>ノ</t>
    </rPh>
    <rPh sb="2" eb="3">
      <t>リツ</t>
    </rPh>
    <phoneticPr fontId="13"/>
  </si>
  <si>
    <t>市税総計</t>
    <rPh sb="0" eb="2">
      <t>シゼイ</t>
    </rPh>
    <rPh sb="2" eb="4">
      <t>ソウケイ</t>
    </rPh>
    <phoneticPr fontId="13"/>
  </si>
  <si>
    <t>市民税</t>
    <rPh sb="0" eb="3">
      <t>シミンゼイ</t>
    </rPh>
    <phoneticPr fontId="13"/>
  </si>
  <si>
    <t>個人市民税</t>
    <rPh sb="0" eb="2">
      <t>コジン</t>
    </rPh>
    <rPh sb="2" eb="5">
      <t>シミンゼイ</t>
    </rPh>
    <phoneticPr fontId="13"/>
  </si>
  <si>
    <t>法人市民税</t>
    <rPh sb="0" eb="2">
      <t>ホウジン</t>
    </rPh>
    <rPh sb="2" eb="5">
      <t>シミンゼイ</t>
    </rPh>
    <phoneticPr fontId="13"/>
  </si>
  <si>
    <t>固定資産税</t>
    <rPh sb="0" eb="5">
      <t>コ</t>
    </rPh>
    <phoneticPr fontId="13"/>
  </si>
  <si>
    <t>土地</t>
    <rPh sb="0" eb="2">
      <t>トチ</t>
    </rPh>
    <phoneticPr fontId="13"/>
  </si>
  <si>
    <t>家屋</t>
    <rPh sb="0" eb="2">
      <t>カオク</t>
    </rPh>
    <phoneticPr fontId="13"/>
  </si>
  <si>
    <t>償却資産</t>
    <rPh sb="0" eb="2">
      <t>ショウキャク</t>
    </rPh>
    <rPh sb="2" eb="4">
      <t>シサン</t>
    </rPh>
    <phoneticPr fontId="13"/>
  </si>
  <si>
    <t>交付金</t>
    <rPh sb="0" eb="3">
      <t>コウフキン</t>
    </rPh>
    <phoneticPr fontId="13"/>
  </si>
  <si>
    <t>都市計画税</t>
    <rPh sb="0" eb="5">
      <t>ト</t>
    </rPh>
    <phoneticPr fontId="13"/>
  </si>
  <si>
    <t>軽自動車税</t>
    <rPh sb="0" eb="5">
      <t>ケ</t>
    </rPh>
    <phoneticPr fontId="13"/>
  </si>
  <si>
    <t>市たばこ税</t>
    <rPh sb="0" eb="5">
      <t>シ</t>
    </rPh>
    <phoneticPr fontId="13"/>
  </si>
  <si>
    <t>事業所税</t>
    <rPh sb="0" eb="4">
      <t>ジ</t>
    </rPh>
    <phoneticPr fontId="13"/>
  </si>
  <si>
    <t>＜主な税目の増△減＞</t>
    <rPh sb="1" eb="2">
      <t>オモ</t>
    </rPh>
    <rPh sb="3" eb="5">
      <t>ゼイモク</t>
    </rPh>
    <rPh sb="6" eb="7">
      <t>ゾウ</t>
    </rPh>
    <rPh sb="8" eb="9">
      <t>ゲン</t>
    </rPh>
    <phoneticPr fontId="13"/>
  </si>
  <si>
    <t>法人市民税</t>
    <rPh sb="0" eb="5">
      <t>ホ</t>
    </rPh>
    <phoneticPr fontId="13"/>
  </si>
  <si>
    <t>（参考）市税収入の推移</t>
    <rPh sb="1" eb="3">
      <t>サンコウ</t>
    </rPh>
    <rPh sb="4" eb="6">
      <t>シゼイ</t>
    </rPh>
    <rPh sb="6" eb="8">
      <t>シュウニュウ</t>
    </rPh>
    <rPh sb="9" eb="11">
      <t>スイイ</t>
    </rPh>
    <phoneticPr fontId="13"/>
  </si>
  <si>
    <r>
      <t>28</t>
    </r>
    <r>
      <rPr>
        <sz val="11"/>
        <rFont val="ＭＳ Ｐゴシック"/>
        <family val="3"/>
        <charset val="128"/>
      </rPr>
      <t>決算</t>
    </r>
    <phoneticPr fontId="6"/>
  </si>
  <si>
    <r>
      <t>28</t>
    </r>
    <r>
      <rPr>
        <sz val="11"/>
        <rFont val="ＭＳ Ｐゴシック"/>
        <family val="3"/>
        <charset val="128"/>
      </rPr>
      <t>決算</t>
    </r>
    <rPh sb="2" eb="4">
      <t>ケッサン</t>
    </rPh>
    <phoneticPr fontId="13"/>
  </si>
  <si>
    <t>Ｈ２８年度</t>
    <rPh sb="3" eb="5">
      <t>ネンド</t>
    </rPh>
    <phoneticPr fontId="6"/>
  </si>
  <si>
    <t>29決算</t>
  </si>
  <si>
    <r>
      <t>2</t>
    </r>
    <r>
      <rPr>
        <sz val="11"/>
        <rFont val="ＭＳ Ｐゴシック"/>
        <family val="3"/>
        <charset val="128"/>
      </rPr>
      <t>9決算</t>
    </r>
    <phoneticPr fontId="6"/>
  </si>
  <si>
    <t>29決算</t>
    <rPh sb="2" eb="4">
      <t>ケッサン</t>
    </rPh>
    <phoneticPr fontId="13"/>
  </si>
  <si>
    <t>Ｈ２９年度</t>
    <rPh sb="3" eb="5">
      <t>ネンド</t>
    </rPh>
    <phoneticPr fontId="6"/>
  </si>
  <si>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6"/>
  </si>
  <si>
    <t>（百万円）</t>
    <rPh sb="1" eb="4">
      <t>ヒャクマンエン</t>
    </rPh>
    <phoneticPr fontId="6"/>
  </si>
  <si>
    <t>決算見込額</t>
    <phoneticPr fontId="6"/>
  </si>
  <si>
    <t>（伸び率）</t>
    <phoneticPr fontId="6"/>
  </si>
  <si>
    <t>増減額</t>
    <phoneticPr fontId="6"/>
  </si>
  <si>
    <t>歳入総額</t>
    <phoneticPr fontId="6"/>
  </si>
  <si>
    <t>歳出総額</t>
    <phoneticPr fontId="6"/>
  </si>
  <si>
    <t>地方税</t>
    <phoneticPr fontId="6"/>
  </si>
  <si>
    <t>義務的経費</t>
    <phoneticPr fontId="6"/>
  </si>
  <si>
    <t>人件費</t>
    <phoneticPr fontId="6"/>
  </si>
  <si>
    <t>譲与税・交付金</t>
    <phoneticPr fontId="6"/>
  </si>
  <si>
    <t>扶助費</t>
    <phoneticPr fontId="6"/>
  </si>
  <si>
    <t>その他</t>
    <phoneticPr fontId="6"/>
  </si>
  <si>
    <t>30決算</t>
    <phoneticPr fontId="6"/>
  </si>
  <si>
    <r>
      <t>30</t>
    </r>
    <r>
      <rPr>
        <sz val="11"/>
        <rFont val="ＭＳ Ｐゴシック"/>
        <family val="3"/>
        <charset val="128"/>
      </rPr>
      <t>決算</t>
    </r>
    <phoneticPr fontId="6"/>
  </si>
  <si>
    <t>Ｈ３０年度</t>
    <rPh sb="3" eb="5">
      <t>ネンド</t>
    </rPh>
    <phoneticPr fontId="6"/>
  </si>
  <si>
    <t>千円</t>
    <rPh sb="0" eb="1">
      <t>セン</t>
    </rPh>
    <rPh sb="1" eb="2">
      <t>エン</t>
    </rPh>
    <phoneticPr fontId="13"/>
  </si>
  <si>
    <t>30決算</t>
    <rPh sb="2" eb="4">
      <t>ケッサン</t>
    </rPh>
    <phoneticPr fontId="13"/>
  </si>
  <si>
    <t>入湯税</t>
    <rPh sb="0" eb="2">
      <t>ニュウトウ</t>
    </rPh>
    <rPh sb="2" eb="3">
      <t>ゼイ</t>
    </rPh>
    <phoneticPr fontId="13"/>
  </si>
  <si>
    <t>形　式　収　支</t>
    <phoneticPr fontId="6"/>
  </si>
  <si>
    <t>実　質　収　支</t>
    <phoneticPr fontId="6"/>
  </si>
  <si>
    <t>経 常 収 支 比 率</t>
    <phoneticPr fontId="6"/>
  </si>
  <si>
    <t>地  方  債  残  高</t>
    <phoneticPr fontId="6"/>
  </si>
  <si>
    <t>◆</t>
    <phoneticPr fontId="13"/>
  </si>
  <si>
    <r>
      <t>○　</t>
    </r>
    <r>
      <rPr>
        <b/>
        <sz val="12"/>
        <rFont val="ＭＳ 明朝"/>
        <family val="1"/>
        <charset val="128"/>
      </rPr>
      <t/>
    </r>
    <phoneticPr fontId="13"/>
  </si>
  <si>
    <t>元決算</t>
    <rPh sb="0" eb="1">
      <t>ガン</t>
    </rPh>
    <phoneticPr fontId="6"/>
  </si>
  <si>
    <t>元決算</t>
    <rPh sb="0" eb="1">
      <t>ガン</t>
    </rPh>
    <rPh sb="1" eb="3">
      <t>ケッサン</t>
    </rPh>
    <phoneticPr fontId="13"/>
  </si>
  <si>
    <t>差</t>
    <rPh sb="0" eb="1">
      <t>サ</t>
    </rPh>
    <phoneticPr fontId="13"/>
  </si>
  <si>
    <t>府費負担教職員制度</t>
    <rPh sb="0" eb="9">
      <t>フヒフタンキョウショクインセイド</t>
    </rPh>
    <phoneticPr fontId="13"/>
  </si>
  <si>
    <t>H7収入額</t>
    <rPh sb="2" eb="4">
      <t>シュウニュウ</t>
    </rPh>
    <rPh sb="4" eb="5">
      <t>ガク</t>
    </rPh>
    <phoneticPr fontId="13"/>
  </si>
  <si>
    <t>差し引き</t>
    <rPh sb="0" eb="1">
      <t>サ</t>
    </rPh>
    <rPh sb="2" eb="3">
      <t>ヒ</t>
    </rPh>
    <phoneticPr fontId="13"/>
  </si>
  <si>
    <t>Ｒ元年度</t>
    <rPh sb="1" eb="2">
      <t>ガン</t>
    </rPh>
    <rPh sb="2" eb="4">
      <t>ネンド</t>
    </rPh>
    <phoneticPr fontId="6"/>
  </si>
  <si>
    <t>平成元年度</t>
    <rPh sb="0" eb="2">
      <t>ヘイセイ</t>
    </rPh>
    <phoneticPr fontId="6"/>
  </si>
  <si>
    <t xml:space="preserve"> 　　 ２ 年度</t>
    <phoneticPr fontId="6"/>
  </si>
  <si>
    <t xml:space="preserve"> 　　 ３ 年度</t>
    <phoneticPr fontId="6"/>
  </si>
  <si>
    <t xml:space="preserve"> 　　 ４ 年度</t>
  </si>
  <si>
    <t xml:space="preserve"> 　　 ５ 年度</t>
  </si>
  <si>
    <t xml:space="preserve"> 　　 ６ 年度</t>
  </si>
  <si>
    <t xml:space="preserve"> 　　 ７ 年度</t>
  </si>
  <si>
    <t xml:space="preserve"> 　　 ８ 年度</t>
  </si>
  <si>
    <t xml:space="preserve"> 　　 ９ 年度</t>
  </si>
  <si>
    <t xml:space="preserve"> 　　10年度</t>
    <phoneticPr fontId="6"/>
  </si>
  <si>
    <t xml:space="preserve"> 　　11年度</t>
    <phoneticPr fontId="6"/>
  </si>
  <si>
    <t xml:space="preserve"> 　　12年度</t>
  </si>
  <si>
    <t xml:space="preserve"> 　　13年度</t>
  </si>
  <si>
    <t xml:space="preserve"> 　　14年度</t>
  </si>
  <si>
    <t xml:space="preserve"> 　　15年度</t>
  </si>
  <si>
    <t xml:space="preserve"> 　　16年度</t>
  </si>
  <si>
    <t xml:space="preserve"> 　　17年度</t>
  </si>
  <si>
    <t xml:space="preserve"> 　　18年度</t>
  </si>
  <si>
    <t xml:space="preserve"> 　　19年度</t>
  </si>
  <si>
    <t xml:space="preserve"> 　　20年度</t>
  </si>
  <si>
    <t xml:space="preserve"> 　　21年度</t>
  </si>
  <si>
    <t xml:space="preserve"> 　　22年度</t>
  </si>
  <si>
    <t xml:space="preserve"> 　　23年度</t>
  </si>
  <si>
    <t xml:space="preserve"> 　　24年度</t>
    <rPh sb="5" eb="7">
      <t>ネンド</t>
    </rPh>
    <phoneticPr fontId="6"/>
  </si>
  <si>
    <t xml:space="preserve"> 　　25年度</t>
    <rPh sb="5" eb="7">
      <t>ネンド</t>
    </rPh>
    <phoneticPr fontId="6"/>
  </si>
  <si>
    <t xml:space="preserve"> 　　26年度</t>
    <rPh sb="5" eb="7">
      <t>ネンド</t>
    </rPh>
    <phoneticPr fontId="6"/>
  </si>
  <si>
    <t xml:space="preserve"> 　　27年度</t>
    <rPh sb="5" eb="7">
      <t>ネンド</t>
    </rPh>
    <phoneticPr fontId="6"/>
  </si>
  <si>
    <t xml:space="preserve"> 　　28年度</t>
    <rPh sb="5" eb="7">
      <t>ネンド</t>
    </rPh>
    <phoneticPr fontId="6"/>
  </si>
  <si>
    <t xml:space="preserve"> 　　29年度</t>
    <rPh sb="5" eb="7">
      <t>ネンド</t>
    </rPh>
    <phoneticPr fontId="6"/>
  </si>
  <si>
    <t xml:space="preserve"> 　　30年度</t>
    <rPh sb="5" eb="7">
      <t>ネンド</t>
    </rPh>
    <phoneticPr fontId="6"/>
  </si>
  <si>
    <t>令和元年度</t>
    <rPh sb="0" eb="2">
      <t>レイワ</t>
    </rPh>
    <rPh sb="2" eb="3">
      <t>ガン</t>
    </rPh>
    <rPh sb="3" eb="5">
      <t>ネンド</t>
    </rPh>
    <phoneticPr fontId="6"/>
  </si>
  <si>
    <t>－　会計相互間の重複</t>
    <phoneticPr fontId="6"/>
  </si>
  <si>
    <t>H8決算</t>
    <rPh sb="2" eb="4">
      <t>ケッサン</t>
    </rPh>
    <phoneticPr fontId="13"/>
  </si>
  <si>
    <t>H10決算</t>
    <rPh sb="3" eb="5">
      <t>ケッサン</t>
    </rPh>
    <phoneticPr fontId="13"/>
  </si>
  <si>
    <t>H15決算</t>
    <rPh sb="3" eb="5">
      <t>ケッサン</t>
    </rPh>
    <phoneticPr fontId="13"/>
  </si>
  <si>
    <t>H20決算</t>
    <rPh sb="3" eb="5">
      <t>ケッサン</t>
    </rPh>
    <phoneticPr fontId="13"/>
  </si>
  <si>
    <t>H29決算</t>
    <phoneticPr fontId="6"/>
  </si>
  <si>
    <t>H30決算</t>
    <phoneticPr fontId="6"/>
  </si>
  <si>
    <t>R元決算</t>
    <rPh sb="1" eb="2">
      <t>ガン</t>
    </rPh>
    <phoneticPr fontId="6"/>
  </si>
  <si>
    <t>H29決算</t>
    <rPh sb="3" eb="5">
      <t>ケッサン</t>
    </rPh>
    <phoneticPr fontId="13"/>
  </si>
  <si>
    <t>H30決算</t>
    <rPh sb="3" eb="5">
      <t>ケッサン</t>
    </rPh>
    <phoneticPr fontId="13"/>
  </si>
  <si>
    <t>R元決算</t>
    <rPh sb="1" eb="2">
      <t>ガン</t>
    </rPh>
    <rPh sb="2" eb="4">
      <t>ケッサン</t>
    </rPh>
    <phoneticPr fontId="13"/>
  </si>
  <si>
    <t>※計数はそれぞれ四捨五入によっているので、端数において合計とは一致しないものがある</t>
    <phoneticPr fontId="13"/>
  </si>
  <si>
    <t>※「伸び率」は千円単位の金額により算出</t>
    <phoneticPr fontId="13"/>
  </si>
  <si>
    <t>令和２年度</t>
    <rPh sb="0" eb="2">
      <t>レイワ</t>
    </rPh>
    <rPh sb="3" eb="5">
      <t>ネンド</t>
    </rPh>
    <phoneticPr fontId="6"/>
  </si>
  <si>
    <t>Ｒ２年度</t>
    <rPh sb="2" eb="4">
      <t>ネンド</t>
    </rPh>
    <phoneticPr fontId="6"/>
  </si>
  <si>
    <t>２決算</t>
    <phoneticPr fontId="6"/>
  </si>
  <si>
    <t>R２決算</t>
    <phoneticPr fontId="6"/>
  </si>
  <si>
    <t>２決算</t>
    <rPh sb="1" eb="3">
      <t>ケッサン</t>
    </rPh>
    <phoneticPr fontId="13"/>
  </si>
  <si>
    <t>R２決算</t>
    <rPh sb="2" eb="4">
      <t>ケッサン</t>
    </rPh>
    <phoneticPr fontId="13"/>
  </si>
  <si>
    <t>R２年度</t>
    <phoneticPr fontId="6"/>
  </si>
  <si>
    <t>うち
法人事業税
交付金</t>
    <rPh sb="3" eb="5">
      <t>ホウジン</t>
    </rPh>
    <rPh sb="5" eb="8">
      <t>ジギョウゼイ</t>
    </rPh>
    <rPh sb="9" eb="12">
      <t>コウフキン</t>
    </rPh>
    <phoneticPr fontId="6"/>
  </si>
  <si>
    <t>うち
障がい者自立支援給付費</t>
    <phoneticPr fontId="6"/>
  </si>
  <si>
    <t>公債費</t>
    <phoneticPr fontId="6"/>
  </si>
  <si>
    <t>H28決算</t>
    <rPh sb="3" eb="5">
      <t>ケッサン</t>
    </rPh>
    <phoneticPr fontId="13"/>
  </si>
  <si>
    <t>28決算</t>
    <rPh sb="2" eb="4">
      <t>ケッサン</t>
    </rPh>
    <phoneticPr fontId="13"/>
  </si>
  <si>
    <t>H８決算</t>
    <rPh sb="2" eb="4">
      <t>ケッサン</t>
    </rPh>
    <phoneticPr fontId="13"/>
  </si>
  <si>
    <t xml:space="preserve"> 収入歩合</t>
  </si>
  <si>
    <t xml:space="preserve">  収入額</t>
  </si>
  <si>
    <t>元</t>
    <rPh sb="0" eb="1">
      <t>ガン</t>
    </rPh>
    <phoneticPr fontId="6"/>
  </si>
  <si>
    <t xml:space="preserve">  収入額</t>
    <phoneticPr fontId="6"/>
  </si>
  <si>
    <t>現課分</t>
    <phoneticPr fontId="6"/>
  </si>
  <si>
    <t>合  計</t>
    <phoneticPr fontId="6"/>
  </si>
  <si>
    <t xml:space="preserve"> 繰越４年目</t>
  </si>
  <si>
    <t xml:space="preserve"> 繰越３年目</t>
  </si>
  <si>
    <t xml:space="preserve"> 繰越２年目</t>
  </si>
  <si>
    <t xml:space="preserve"> 繰越１年目</t>
  </si>
  <si>
    <t>課税年</t>
    <phoneticPr fontId="6"/>
  </si>
  <si>
    <t>度</t>
    <rPh sb="0" eb="1">
      <t>ド</t>
    </rPh>
    <phoneticPr fontId="6"/>
  </si>
  <si>
    <t>判定</t>
    <rPh sb="0" eb="2">
      <t>ハンテイ</t>
    </rPh>
    <phoneticPr fontId="6"/>
  </si>
  <si>
    <t>当初調定</t>
    <phoneticPr fontId="6"/>
  </si>
  <si>
    <t>収入額</t>
    <phoneticPr fontId="6"/>
  </si>
  <si>
    <t>年</t>
    <rPh sb="0" eb="1">
      <t>トシ</t>
    </rPh>
    <phoneticPr fontId="6"/>
  </si>
  <si>
    <t>(単位：百万円・％）</t>
    <rPh sb="1" eb="3">
      <t>タンイ</t>
    </rPh>
    <rPh sb="4" eb="7">
      <t>ヒャクマンエン</t>
    </rPh>
    <phoneticPr fontId="6"/>
  </si>
  <si>
    <t>　　課税年度別市税収入状況表(令和</t>
    <rPh sb="2" eb="4">
      <t>カゼイ</t>
    </rPh>
    <rPh sb="4" eb="6">
      <t>ネンド</t>
    </rPh>
    <rPh sb="6" eb="7">
      <t>ベツ</t>
    </rPh>
    <rPh sb="7" eb="8">
      <t>シ</t>
    </rPh>
    <rPh sb="8" eb="9">
      <t>ゼイ</t>
    </rPh>
    <rPh sb="9" eb="11">
      <t>シュウニュウ</t>
    </rPh>
    <rPh sb="11" eb="13">
      <t>ジョウキョウ</t>
    </rPh>
    <rPh sb="13" eb="14">
      <t>ヒョウ</t>
    </rPh>
    <rPh sb="15" eb="17">
      <t>レイワ</t>
    </rPh>
    <phoneticPr fontId="6"/>
  </si>
  <si>
    <t>うち
臨時財政対策債</t>
    <rPh sb="3" eb="5">
      <t>リンジ</t>
    </rPh>
    <rPh sb="5" eb="7">
      <t>ザイセイ</t>
    </rPh>
    <rPh sb="7" eb="9">
      <t>タイサク</t>
    </rPh>
    <rPh sb="9" eb="10">
      <t>サイ</t>
    </rPh>
    <phoneticPr fontId="6"/>
  </si>
  <si>
    <t>フォント：メイリオ</t>
    <phoneticPr fontId="6"/>
  </si>
  <si>
    <t>4　経常収支比率（財政構造の弾力性）</t>
    <phoneticPr fontId="13"/>
  </si>
  <si>
    <t xml:space="preserve"> ×100</t>
    <phoneticPr fontId="6"/>
  </si>
  <si>
    <t xml:space="preserve">経常収支比率 ＝ </t>
    <rPh sb="0" eb="2">
      <t>ケイジョウ</t>
    </rPh>
    <rPh sb="2" eb="4">
      <t>シュウシ</t>
    </rPh>
    <rPh sb="4" eb="6">
      <t>ヒリツ</t>
    </rPh>
    <phoneticPr fontId="6"/>
  </si>
  <si>
    <t>R元</t>
    <rPh sb="1" eb="2">
      <t>ガン</t>
    </rPh>
    <phoneticPr fontId="6"/>
  </si>
  <si>
    <t>R２</t>
    <phoneticPr fontId="6"/>
  </si>
  <si>
    <t>Ｈ８</t>
  </si>
  <si>
    <t>Ｈ９</t>
  </si>
  <si>
    <t>Ｈ10</t>
    <phoneticPr fontId="6"/>
  </si>
  <si>
    <t>Ｈ11</t>
  </si>
  <si>
    <t>Ｈ12</t>
  </si>
  <si>
    <t>Ｈ13</t>
  </si>
  <si>
    <t>Ｈ14</t>
  </si>
  <si>
    <t>Ｈ15</t>
  </si>
  <si>
    <t>Ｈ16</t>
  </si>
  <si>
    <t>Ｈ17</t>
  </si>
  <si>
    <t>Ｈ18</t>
  </si>
  <si>
    <t>Ｈ19</t>
  </si>
  <si>
    <t>Ｈ20</t>
  </si>
  <si>
    <t>Ｈ21</t>
  </si>
  <si>
    <t>Ｈ22</t>
  </si>
  <si>
    <t>Ｈ23</t>
  </si>
  <si>
    <t>Ｈ24</t>
  </si>
  <si>
    <t>Ｈ25</t>
  </si>
  <si>
    <t>Ｈ26</t>
  </si>
  <si>
    <t>Ｈ27</t>
  </si>
  <si>
    <t>Ｈ28</t>
  </si>
  <si>
    <t>Ｈ29</t>
  </si>
  <si>
    <t>Ｈ30</t>
  </si>
  <si>
    <t>令　和　3　年　度</t>
    <rPh sb="0" eb="1">
      <t>レイ</t>
    </rPh>
    <rPh sb="2" eb="3">
      <t>ワ</t>
    </rPh>
    <rPh sb="6" eb="7">
      <t>トシ</t>
    </rPh>
    <rPh sb="8" eb="9">
      <t>ド</t>
    </rPh>
    <phoneticPr fontId="13"/>
  </si>
  <si>
    <t>令和３年度　大阪市普通会計決算見込額</t>
    <rPh sb="0" eb="2">
      <t>レイワ</t>
    </rPh>
    <phoneticPr fontId="6"/>
  </si>
  <si>
    <t>R３年度</t>
    <phoneticPr fontId="6"/>
  </si>
  <si>
    <r>
      <rPr>
        <sz val="18"/>
        <rFont val="メイリオ"/>
        <family val="3"/>
        <charset val="128"/>
      </rPr>
      <t>　　　</t>
    </r>
    <r>
      <rPr>
        <u/>
        <sz val="18"/>
        <rFont val="メイリオ"/>
        <family val="3"/>
        <charset val="128"/>
      </rPr>
      <t>R２年度</t>
    </r>
    <rPh sb="5" eb="7">
      <t>ネンド</t>
    </rPh>
    <phoneticPr fontId="6"/>
  </si>
  <si>
    <r>
      <rPr>
        <sz val="18"/>
        <rFont val="メイリオ"/>
        <family val="3"/>
        <charset val="128"/>
      </rPr>
      <t xml:space="preserve">  　　　</t>
    </r>
    <r>
      <rPr>
        <u/>
        <sz val="18"/>
        <rFont val="メイリオ"/>
        <family val="3"/>
        <charset val="128"/>
      </rPr>
      <t>R３年度</t>
    </r>
    <rPh sb="7" eb="9">
      <t>ネンド</t>
    </rPh>
    <phoneticPr fontId="6"/>
  </si>
  <si>
    <t>　　　２８，０３２百万円</t>
    <phoneticPr fontId="6"/>
  </si>
  <si>
    <t xml:space="preserve">     　 １３，０４１百万円</t>
    <phoneticPr fontId="6"/>
  </si>
  <si>
    <t xml:space="preserve">        ９４．３％</t>
    <phoneticPr fontId="6"/>
  </si>
  <si>
    <t>８５．１％</t>
    <phoneticPr fontId="6"/>
  </si>
  <si>
    <t>　　　１兆７，３４６億円</t>
    <phoneticPr fontId="6"/>
  </si>
  <si>
    <t>４１，５２５百万円</t>
    <rPh sb="6" eb="9">
      <t>ヒャクマンエン</t>
    </rPh>
    <phoneticPr fontId="6"/>
  </si>
  <si>
    <t>３０，７９６百万円</t>
    <rPh sb="5" eb="7">
      <t>ヒャクマンエン</t>
    </rPh>
    <phoneticPr fontId="6"/>
  </si>
  <si>
    <t>１兆７，０２６億円</t>
    <phoneticPr fontId="6"/>
  </si>
  <si>
    <t>△９．２％</t>
    <phoneticPr fontId="6"/>
  </si>
  <si>
    <t>うち
子育て世帯臨時特別給付事業</t>
    <rPh sb="3" eb="5">
      <t>コソダ</t>
    </rPh>
    <rPh sb="6" eb="8">
      <t>セタイ</t>
    </rPh>
    <rPh sb="8" eb="10">
      <t>リンジ</t>
    </rPh>
    <rPh sb="10" eb="12">
      <t>トクベツ</t>
    </rPh>
    <rPh sb="12" eb="14">
      <t>キュウフ</t>
    </rPh>
    <rPh sb="14" eb="16">
      <t>ジギョウ</t>
    </rPh>
    <phoneticPr fontId="6"/>
  </si>
  <si>
    <t>うち
住民税非課税世帯等臨時特別給付金支給事業</t>
    <phoneticPr fontId="6"/>
  </si>
  <si>
    <t>(皆増)</t>
    <phoneticPr fontId="6"/>
  </si>
  <si>
    <t>うち
子育て世帯生活支援特別給付金支給事業</t>
    <phoneticPr fontId="6"/>
  </si>
  <si>
    <t>うち
補助費等</t>
    <rPh sb="3" eb="7">
      <t>ホジョヒトウ</t>
    </rPh>
    <phoneticPr fontId="6"/>
  </si>
  <si>
    <t>国庫支出金</t>
    <rPh sb="0" eb="2">
      <t>コッコ</t>
    </rPh>
    <rPh sb="2" eb="4">
      <t>シシュツ</t>
    </rPh>
    <rPh sb="4" eb="5">
      <t>キン</t>
    </rPh>
    <phoneticPr fontId="6"/>
  </si>
  <si>
    <t>投資的経費</t>
    <phoneticPr fontId="6"/>
  </si>
  <si>
    <t>うち
新型コロナウイルス感染症対策地方税減収補塡特別交付金</t>
    <rPh sb="3" eb="5">
      <t>シンガタ</t>
    </rPh>
    <rPh sb="12" eb="15">
      <t>カンセンショウ</t>
    </rPh>
    <rPh sb="15" eb="17">
      <t>タイサク</t>
    </rPh>
    <rPh sb="17" eb="19">
      <t>チホウ</t>
    </rPh>
    <rPh sb="19" eb="20">
      <t>ゼイ</t>
    </rPh>
    <rPh sb="20" eb="22">
      <t>ゲンシュウ</t>
    </rPh>
    <rPh sb="22" eb="24">
      <t>ホテン</t>
    </rPh>
    <rPh sb="24" eb="29">
      <t>トクベツコウフキン</t>
    </rPh>
    <phoneticPr fontId="6"/>
  </si>
  <si>
    <t>(皆増)</t>
    <rPh sb="1" eb="3">
      <t>ミナゾウ</t>
    </rPh>
    <phoneticPr fontId="6"/>
  </si>
  <si>
    <t>令和４年９月</t>
    <rPh sb="0" eb="2">
      <t>レイワ</t>
    </rPh>
    <rPh sb="3" eb="4">
      <t>ネン</t>
    </rPh>
    <rPh sb="5" eb="6">
      <t>ガツ</t>
    </rPh>
    <phoneticPr fontId="0"/>
  </si>
  <si>
    <t>うち
特別定額給付金支給事業</t>
    <phoneticPr fontId="6"/>
  </si>
  <si>
    <t>(皆減)</t>
    <rPh sb="2" eb="3">
      <t>ゲン</t>
    </rPh>
    <phoneticPr fontId="6"/>
  </si>
  <si>
    <t>(皆増)</t>
    <rPh sb="2" eb="3">
      <t>ゾウ</t>
    </rPh>
    <phoneticPr fontId="6"/>
  </si>
  <si>
    <t>その他経費</t>
    <phoneticPr fontId="6"/>
  </si>
  <si>
    <t>うち
諸収入</t>
    <rPh sb="3" eb="4">
      <t>ショ</t>
    </rPh>
    <rPh sb="4" eb="6">
      <t>シュウニュウ</t>
    </rPh>
    <phoneticPr fontId="6"/>
  </si>
  <si>
    <t>(皆増)</t>
    <phoneticPr fontId="6"/>
  </si>
  <si>
    <r>
      <t>　・総額１兆9,622億円（前年度比△525億円、△2.6％）となっている。</t>
    </r>
    <r>
      <rPr>
        <sz val="11"/>
        <color theme="1"/>
        <rFont val="ＭＳ Ｐゴシック"/>
        <family val="2"/>
        <charset val="128"/>
        <scheme val="minor"/>
      </rPr>
      <t/>
    </r>
    <phoneticPr fontId="33"/>
  </si>
  <si>
    <t>　・総額２兆37億円（前年度比△390億円、△1.9％）となっている。</t>
    <phoneticPr fontId="33"/>
  </si>
  <si>
    <t>　　（＋356億円、＋20.0％）となっている。</t>
    <phoneticPr fontId="6"/>
  </si>
  <si>
    <r>
      <t>　・</t>
    </r>
    <r>
      <rPr>
        <b/>
        <sz val="13"/>
        <rFont val="メイリオ"/>
        <family val="3"/>
        <charset val="128"/>
      </rPr>
      <t>令和３年度末で１兆7,026億円</t>
    </r>
    <r>
      <rPr>
        <sz val="13"/>
        <rFont val="メイリオ"/>
        <family val="3"/>
        <charset val="128"/>
      </rPr>
      <t>となっている。</t>
    </r>
  </si>
  <si>
    <t>　　　特別定額給付金の減などによる補助費等の減（△2,461億円、△56.2％）などにより、</t>
    <rPh sb="3" eb="10">
      <t>トクベツテイガクキュウフキン</t>
    </rPh>
    <rPh sb="11" eb="12">
      <t>ゲン</t>
    </rPh>
    <rPh sb="17" eb="20">
      <t>ホジョヒ</t>
    </rPh>
    <rPh sb="20" eb="21">
      <t>トウ</t>
    </rPh>
    <rPh sb="22" eb="23">
      <t>ゲン</t>
    </rPh>
    <phoneticPr fontId="0"/>
  </si>
  <si>
    <t>　　全体で△1,846億円、△24.7％の減となっている。</t>
    <rPh sb="2" eb="4">
      <t>ゼンタイ</t>
    </rPh>
    <rPh sb="11" eb="13">
      <t>オクエン</t>
    </rPh>
    <rPh sb="21" eb="22">
      <t>ゲン</t>
    </rPh>
    <phoneticPr fontId="0"/>
  </si>
  <si>
    <r>
      <t>　・</t>
    </r>
    <r>
      <rPr>
        <b/>
        <sz val="13"/>
        <rFont val="メイリオ"/>
        <family val="3"/>
        <charset val="128"/>
      </rPr>
      <t>16年連続で減少</t>
    </r>
    <r>
      <rPr>
        <sz val="13"/>
        <rFont val="メイリオ"/>
        <family val="3"/>
        <charset val="128"/>
      </rPr>
      <t>（△320億円、△1.８％）し、</t>
    </r>
    <rPh sb="4" eb="5">
      <t>ネン</t>
    </rPh>
    <rPh sb="5" eb="7">
      <t>レンゾク</t>
    </rPh>
    <rPh sb="8" eb="10">
      <t>ゲンショウ</t>
    </rPh>
    <rPh sb="15" eb="16">
      <t>オク</t>
    </rPh>
    <rPh sb="16" eb="17">
      <t>エン</t>
    </rPh>
    <phoneticPr fontId="62"/>
  </si>
  <si>
    <t>　令和３年度末で１兆7,026億円となっている。</t>
    <rPh sb="1" eb="3">
      <t>レイワ</t>
    </rPh>
    <phoneticPr fontId="13"/>
  </si>
  <si>
    <t>　　歳入総額は２兆37億円で、前年度決算と比較すると、△390億円、△1.9％の減となっている。</t>
    <rPh sb="2" eb="4">
      <t>サイニュウ</t>
    </rPh>
    <rPh sb="4" eb="6">
      <t>ソウガク</t>
    </rPh>
    <rPh sb="15" eb="18">
      <t>ゼンネンド</t>
    </rPh>
    <rPh sb="18" eb="20">
      <t>ケッサン</t>
    </rPh>
    <rPh sb="21" eb="23">
      <t>ヒカク</t>
    </rPh>
    <rPh sb="40" eb="41">
      <t>ゲン</t>
    </rPh>
    <phoneticPr fontId="0"/>
  </si>
  <si>
    <r>
      <t>　・特別定額給付金の減に伴い</t>
    </r>
    <r>
      <rPr>
        <b/>
        <sz val="13"/>
        <rFont val="メイリオ"/>
        <family val="3"/>
        <charset val="128"/>
      </rPr>
      <t>国庫支出金が減</t>
    </r>
    <r>
      <rPr>
        <sz val="13"/>
        <rFont val="メイリオ"/>
        <family val="3"/>
        <charset val="128"/>
      </rPr>
      <t>となったことなどにより、</t>
    </r>
    <rPh sb="2" eb="4">
      <t>トクベツ</t>
    </rPh>
    <rPh sb="4" eb="6">
      <t>テイガク</t>
    </rPh>
    <rPh sb="6" eb="9">
      <t>キュウフキン</t>
    </rPh>
    <rPh sb="10" eb="11">
      <t>ゲン</t>
    </rPh>
    <rPh sb="12" eb="13">
      <t>トモナ</t>
    </rPh>
    <rPh sb="14" eb="19">
      <t>コッコシシュツキン</t>
    </rPh>
    <rPh sb="20" eb="21">
      <t>ゲン</t>
    </rPh>
    <phoneticPr fontId="33"/>
  </si>
  <si>
    <t>　地方交付税・臨時財政対策債などの経常一般財源が大幅に増となったことなどにより、</t>
    <phoneticPr fontId="13"/>
  </si>
  <si>
    <r>
      <t>　前年度決算と比較して</t>
    </r>
    <r>
      <rPr>
        <b/>
        <sz val="12"/>
        <rFont val="メイリオ"/>
        <family val="3"/>
        <charset val="128"/>
      </rPr>
      <t>△9.2ポイント好転し、85.1％</t>
    </r>
    <r>
      <rPr>
        <sz val="12"/>
        <rFont val="メイリオ"/>
        <family val="3"/>
        <charset val="128"/>
      </rPr>
      <t>となっている。</t>
    </r>
    <phoneticPr fontId="6"/>
  </si>
  <si>
    <t>３決算</t>
    <phoneticPr fontId="6"/>
  </si>
  <si>
    <t>R３決算</t>
    <phoneticPr fontId="6"/>
  </si>
  <si>
    <t>３決算</t>
    <rPh sb="1" eb="3">
      <t>ケッサン</t>
    </rPh>
    <phoneticPr fontId="13"/>
  </si>
  <si>
    <t>R３決算</t>
    <rPh sb="2" eb="4">
      <t>ケッサン</t>
    </rPh>
    <phoneticPr fontId="13"/>
  </si>
  <si>
    <t>令和３年度</t>
    <rPh sb="0" eb="2">
      <t>レイワ</t>
    </rPh>
    <rPh sb="3" eb="5">
      <t>ネンド</t>
    </rPh>
    <phoneticPr fontId="6"/>
  </si>
  <si>
    <t>Ｒ３年度</t>
    <rPh sb="2" eb="4">
      <t>ネンド</t>
    </rPh>
    <phoneticPr fontId="6"/>
  </si>
  <si>
    <t>R３</t>
    <phoneticPr fontId="6"/>
  </si>
  <si>
    <t>　　＋5.8％の増となっている。</t>
    <rPh sb="8" eb="9">
      <t>ゾウ</t>
    </rPh>
    <phoneticPr fontId="13"/>
  </si>
  <si>
    <r>
      <t>　・その結果、実質収支は</t>
    </r>
    <r>
      <rPr>
        <b/>
        <sz val="13"/>
        <rFont val="メイリオ"/>
        <family val="3"/>
        <charset val="128"/>
      </rPr>
      <t>308億円の黒字</t>
    </r>
    <r>
      <rPr>
        <sz val="13"/>
        <rFont val="メイリオ"/>
        <family val="3"/>
        <charset val="128"/>
      </rPr>
      <t>となり、</t>
    </r>
    <r>
      <rPr>
        <b/>
        <sz val="13"/>
        <rFont val="メイリオ"/>
        <family val="3"/>
        <charset val="128"/>
      </rPr>
      <t>平成元年度決算から</t>
    </r>
    <r>
      <rPr>
        <sz val="13"/>
        <rFont val="メイリオ"/>
        <family val="3"/>
        <charset val="128"/>
      </rPr>
      <t/>
    </r>
    <rPh sb="4" eb="6">
      <t>ケッカ</t>
    </rPh>
    <rPh sb="7" eb="9">
      <t>ジッシツ</t>
    </rPh>
    <rPh sb="9" eb="11">
      <t>シュウシ</t>
    </rPh>
    <rPh sb="15" eb="16">
      <t>オク</t>
    </rPh>
    <rPh sb="16" eb="17">
      <t>エン</t>
    </rPh>
    <rPh sb="18" eb="20">
      <t>クロジ</t>
    </rPh>
    <rPh sb="24" eb="26">
      <t>ヘイセイ</t>
    </rPh>
    <rPh sb="26" eb="28">
      <t>ガンネン</t>
    </rPh>
    <rPh sb="28" eb="29">
      <t>ド</t>
    </rPh>
    <rPh sb="29" eb="31">
      <t>ケッサン</t>
    </rPh>
    <phoneticPr fontId="33"/>
  </si>
  <si>
    <r>
      <t>　・前年度決算と比較して</t>
    </r>
    <r>
      <rPr>
        <b/>
        <sz val="13"/>
        <rFont val="メイリオ"/>
        <family val="3"/>
        <charset val="128"/>
      </rPr>
      <t>△9.2ポイント好転</t>
    </r>
    <r>
      <rPr>
        <sz val="13"/>
        <rFont val="メイリオ"/>
        <family val="3"/>
        <charset val="128"/>
      </rPr>
      <t>し、</t>
    </r>
    <r>
      <rPr>
        <b/>
        <sz val="13"/>
        <rFont val="メイリオ"/>
        <family val="3"/>
        <charset val="128"/>
      </rPr>
      <t>85.1％</t>
    </r>
    <r>
      <rPr>
        <sz val="13"/>
        <rFont val="メイリオ"/>
        <family val="3"/>
        <charset val="128"/>
      </rPr>
      <t>となっている。</t>
    </r>
    <rPh sb="20" eb="22">
      <t>コウテン</t>
    </rPh>
    <phoneticPr fontId="62"/>
  </si>
  <si>
    <t>　　歳出総額は１兆9,622億円で、前年度決算と比較すると、△525億円、△2.6％の減となっている。</t>
    <rPh sb="2" eb="4">
      <t>サイシュツ</t>
    </rPh>
    <rPh sb="4" eb="6">
      <t>ソウガク</t>
    </rPh>
    <rPh sb="14" eb="15">
      <t>オク</t>
    </rPh>
    <rPh sb="15" eb="16">
      <t>エン</t>
    </rPh>
    <rPh sb="18" eb="21">
      <t>ゼンネンド</t>
    </rPh>
    <rPh sb="21" eb="23">
      <t>ケッサン</t>
    </rPh>
    <rPh sb="24" eb="26">
      <t>ヒカク</t>
    </rPh>
    <rPh sb="43" eb="44">
      <t>ゲン</t>
    </rPh>
    <phoneticPr fontId="13"/>
  </si>
  <si>
    <t>　　　臨時財政対策債の増（＋281億円、＋71.8％）などにより、２年連続の増</t>
    <rPh sb="3" eb="5">
      <t>リンジ</t>
    </rPh>
    <rPh sb="5" eb="7">
      <t>ザイセイ</t>
    </rPh>
    <rPh sb="7" eb="9">
      <t>タイサク</t>
    </rPh>
    <rPh sb="9" eb="10">
      <t>サイ</t>
    </rPh>
    <rPh sb="11" eb="12">
      <t>ゾウ</t>
    </rPh>
    <rPh sb="17" eb="18">
      <t>オク</t>
    </rPh>
    <rPh sb="18" eb="19">
      <t>エン</t>
    </rPh>
    <rPh sb="34" eb="35">
      <t>ネン</t>
    </rPh>
    <rPh sb="35" eb="37">
      <t>レンゾク</t>
    </rPh>
    <rPh sb="38" eb="39">
      <t>ゾウ</t>
    </rPh>
    <phoneticPr fontId="0"/>
  </si>
  <si>
    <t>　　　（＋475億円、＋43.7％）となっている。</t>
    <phoneticPr fontId="6"/>
  </si>
  <si>
    <t>　　　大阪市高速電気軌道株式会社からの配当金収入の減（△65億円、皆減）などがあるものの、</t>
    <rPh sb="3" eb="6">
      <t>オオサカシ</t>
    </rPh>
    <rPh sb="6" eb="8">
      <t>コウソク</t>
    </rPh>
    <rPh sb="8" eb="10">
      <t>デンキ</t>
    </rPh>
    <rPh sb="10" eb="12">
      <t>キドウ</t>
    </rPh>
    <rPh sb="12" eb="16">
      <t>カブシキガイシャ</t>
    </rPh>
    <rPh sb="19" eb="22">
      <t>ハイトウキン</t>
    </rPh>
    <rPh sb="22" eb="24">
      <t>シュウニュウ</t>
    </rPh>
    <rPh sb="25" eb="26">
      <t>ゲン</t>
    </rPh>
    <rPh sb="30" eb="32">
      <t>オクエン</t>
    </rPh>
    <rPh sb="33" eb="34">
      <t>ミナ</t>
    </rPh>
    <rPh sb="34" eb="35">
      <t>ゲン</t>
    </rPh>
    <phoneticPr fontId="13"/>
  </si>
  <si>
    <t>　　（＋414億円、皆増）などが増となっているものの、特別定額給付金の減（△2,750億円、皆減）</t>
    <rPh sb="11" eb="12">
      <t>ゾウ</t>
    </rPh>
    <rPh sb="16" eb="17">
      <t>ゾウ</t>
    </rPh>
    <rPh sb="27" eb="34">
      <t>トクベツテイガクキュウフキン</t>
    </rPh>
    <rPh sb="35" eb="36">
      <t>ゲン</t>
    </rPh>
    <rPh sb="46" eb="48">
      <t>ミナゲン</t>
    </rPh>
    <phoneticPr fontId="6"/>
  </si>
  <si>
    <t>　　により減（△1,726億円、△22.4％）となっている。</t>
    <rPh sb="13" eb="15">
      <t>オクエン</t>
    </rPh>
    <phoneticPr fontId="6"/>
  </si>
  <si>
    <t>　　決算剰余金の増などによる繰越金の増（＋206億円、著増）などにより、全体で163億円、</t>
    <rPh sb="2" eb="4">
      <t>ケッサン</t>
    </rPh>
    <rPh sb="4" eb="7">
      <t>ジョウヨキン</t>
    </rPh>
    <rPh sb="8" eb="9">
      <t>ゾウ</t>
    </rPh>
    <rPh sb="14" eb="17">
      <t>クリコシキン</t>
    </rPh>
    <rPh sb="18" eb="19">
      <t>ゾウ</t>
    </rPh>
    <rPh sb="24" eb="26">
      <t>オクエン</t>
    </rPh>
    <rPh sb="27" eb="29">
      <t>チョゾウ</t>
    </rPh>
    <rPh sb="36" eb="38">
      <t>ゼンタイ</t>
    </rPh>
    <rPh sb="42" eb="44">
      <t>オクエン</t>
    </rPh>
    <phoneticPr fontId="6"/>
  </si>
  <si>
    <t>　・令和２年度に国の新型コロナウイルス感染症緊急経済対策として創設</t>
    <rPh sb="2" eb="4">
      <t>レイワ</t>
    </rPh>
    <rPh sb="5" eb="7">
      <t>ネンド</t>
    </rPh>
    <rPh sb="8" eb="9">
      <t>クニ</t>
    </rPh>
    <rPh sb="10" eb="12">
      <t>シンガタ</t>
    </rPh>
    <rPh sb="19" eb="22">
      <t>カンセンショウ</t>
    </rPh>
    <rPh sb="22" eb="24">
      <t>キンキュウ</t>
    </rPh>
    <rPh sb="24" eb="26">
      <t>ケイザイ</t>
    </rPh>
    <rPh sb="26" eb="28">
      <t>タイサク</t>
    </rPh>
    <phoneticPr fontId="33"/>
  </si>
  <si>
    <t>　　ものの、</t>
    <phoneticPr fontId="6"/>
  </si>
  <si>
    <r>
      <t>　・特別定額給付金の減に伴い</t>
    </r>
    <r>
      <rPr>
        <b/>
        <sz val="13"/>
        <rFont val="メイリオ"/>
        <family val="3"/>
        <charset val="128"/>
      </rPr>
      <t>補助費等が減</t>
    </r>
    <r>
      <rPr>
        <sz val="13"/>
        <rFont val="メイリオ"/>
        <family val="3"/>
        <charset val="128"/>
      </rPr>
      <t>となったことなどにより、</t>
    </r>
    <rPh sb="2" eb="6">
      <t>トクベツテイガク</t>
    </rPh>
    <rPh sb="6" eb="9">
      <t>キュウフキン</t>
    </rPh>
    <rPh sb="10" eb="11">
      <t>ゲン</t>
    </rPh>
    <rPh sb="12" eb="13">
      <t>トモナ</t>
    </rPh>
    <rPh sb="14" eb="18">
      <t>ホジョヒトウ</t>
    </rPh>
    <rPh sb="19" eb="20">
      <t>ゲン</t>
    </rPh>
    <phoneticPr fontId="6"/>
  </si>
  <si>
    <r>
      <t>　　</t>
    </r>
    <r>
      <rPr>
        <b/>
        <sz val="13"/>
        <rFont val="メイリオ"/>
        <family val="3"/>
        <charset val="128"/>
      </rPr>
      <t>33年連続で黒字</t>
    </r>
    <r>
      <rPr>
        <sz val="13"/>
        <rFont val="メイリオ"/>
        <family val="3"/>
        <charset val="128"/>
      </rPr>
      <t>を維持している。</t>
    </r>
    <rPh sb="4" eb="5">
      <t>ネン</t>
    </rPh>
    <rPh sb="5" eb="7">
      <t>レンゾク</t>
    </rPh>
    <rPh sb="8" eb="10">
      <t>クロジ</t>
    </rPh>
    <rPh sb="11" eb="13">
      <t>イジ</t>
    </rPh>
    <phoneticPr fontId="33"/>
  </si>
  <si>
    <t>　・地方税や地方交付税・臨時財政対策債などの経常一般財源が大幅に増</t>
    <rPh sb="2" eb="5">
      <t>チホウゼイ</t>
    </rPh>
    <rPh sb="6" eb="8">
      <t>チホウ</t>
    </rPh>
    <rPh sb="8" eb="11">
      <t>コウフゼイ</t>
    </rPh>
    <rPh sb="12" eb="19">
      <t>リンジザイセイタイサクサイ</t>
    </rPh>
    <rPh sb="22" eb="28">
      <t>ケイジョウイッパンザイゲン</t>
    </rPh>
    <phoneticPr fontId="0"/>
  </si>
  <si>
    <t>1　歳入</t>
    <rPh sb="2" eb="4">
      <t>サイニュウ</t>
    </rPh>
    <phoneticPr fontId="13"/>
  </si>
  <si>
    <t>2　歳出</t>
    <rPh sb="2" eb="4">
      <t>サイシュツ</t>
    </rPh>
    <phoneticPr fontId="13"/>
  </si>
  <si>
    <t>　　（＋859億円、＋14.6％）に加え、元金償還額の増等により公債費が増（＋91億円、＋4.7％）</t>
    <phoneticPr fontId="6"/>
  </si>
  <si>
    <t>　　</t>
    <phoneticPr fontId="6"/>
  </si>
  <si>
    <t>　　となった結果、3年ぶりに増（＋965億円、＋8.8％）となっている。</t>
    <rPh sb="10" eb="11">
      <t>ネン</t>
    </rPh>
    <rPh sb="14" eb="15">
      <t>ゾウ</t>
    </rPh>
    <phoneticPr fontId="6"/>
  </si>
  <si>
    <t>　　　淀川左岸線（２期）事業の増や校舎補修等整備事業の増などにより、５年連続の増</t>
    <rPh sb="3" eb="8">
      <t>ヨドガワサガンセン</t>
    </rPh>
    <rPh sb="10" eb="11">
      <t>キ</t>
    </rPh>
    <rPh sb="12" eb="14">
      <t>ジギョウ</t>
    </rPh>
    <rPh sb="15" eb="16">
      <t>ゾウ</t>
    </rPh>
    <rPh sb="27" eb="28">
      <t>ゾウ</t>
    </rPh>
    <phoneticPr fontId="6"/>
  </si>
  <si>
    <r>
      <t>　　308億円の黒字となり、</t>
    </r>
    <r>
      <rPr>
        <b/>
        <sz val="12"/>
        <rFont val="メイリオ"/>
        <family val="3"/>
        <charset val="128"/>
      </rPr>
      <t>平成元年度決算から33年連続で黒字</t>
    </r>
    <r>
      <rPr>
        <sz val="12"/>
        <rFont val="メイリオ"/>
        <family val="3"/>
        <charset val="128"/>
      </rPr>
      <t>を維持している。</t>
    </r>
    <rPh sb="8" eb="10">
      <t>クロジ</t>
    </rPh>
    <rPh sb="16" eb="17">
      <t>ガン</t>
    </rPh>
    <rPh sb="32" eb="34">
      <t>イジ</t>
    </rPh>
    <phoneticPr fontId="58"/>
  </si>
  <si>
    <t>　　　令和２年度に国の新型コロナウイルス感染症緊急経済対策として創設された徴収猶予の</t>
    <rPh sb="3" eb="5">
      <t>レイワ</t>
    </rPh>
    <rPh sb="6" eb="8">
      <t>ネンド</t>
    </rPh>
    <rPh sb="9" eb="10">
      <t>クニ</t>
    </rPh>
    <rPh sb="11" eb="13">
      <t>シンガタ</t>
    </rPh>
    <rPh sb="20" eb="23">
      <t>カンセンショウ</t>
    </rPh>
    <rPh sb="23" eb="27">
      <t>キンキュウケイザイ</t>
    </rPh>
    <rPh sb="27" eb="29">
      <t>タイサク</t>
    </rPh>
    <rPh sb="32" eb="34">
      <t>ソウセツ</t>
    </rPh>
    <rPh sb="37" eb="41">
      <t>チョウシュウユウヨ</t>
    </rPh>
    <phoneticPr fontId="19"/>
  </si>
  <si>
    <t>　　　新型コロナウイルス感染症対策地方税減収補塡特別交付金の創設（+103億円、皆増）や</t>
    <rPh sb="3" eb="5">
      <t>シンガタ</t>
    </rPh>
    <rPh sb="12" eb="17">
      <t>カンセンショウタイサク</t>
    </rPh>
    <rPh sb="17" eb="20">
      <t>チホウゼイ</t>
    </rPh>
    <rPh sb="20" eb="22">
      <t>ゲンシュウ</t>
    </rPh>
    <rPh sb="22" eb="23">
      <t>ホ</t>
    </rPh>
    <rPh sb="23" eb="24">
      <t>テン</t>
    </rPh>
    <rPh sb="24" eb="26">
      <t>トクベツ</t>
    </rPh>
    <rPh sb="26" eb="29">
      <t>コウフキン</t>
    </rPh>
    <rPh sb="30" eb="32">
      <t>ソウセツ</t>
    </rPh>
    <rPh sb="37" eb="39">
      <t>オクエン</t>
    </rPh>
    <rPh sb="40" eb="41">
      <t>ミナ</t>
    </rPh>
    <rPh sb="41" eb="42">
      <t>ゾウ</t>
    </rPh>
    <phoneticPr fontId="19"/>
  </si>
  <si>
    <t>　　交付割合の増などによる法人事業税交付金の増（＋68億円、+61.3%）などにより増</t>
    <rPh sb="2" eb="4">
      <t>コウフ</t>
    </rPh>
    <rPh sb="4" eb="6">
      <t>ワリアイ</t>
    </rPh>
    <rPh sb="7" eb="8">
      <t>ゾウ</t>
    </rPh>
    <rPh sb="13" eb="18">
      <t>ホウジンジギョウゼイ</t>
    </rPh>
    <rPh sb="18" eb="21">
      <t>コウフキン</t>
    </rPh>
    <rPh sb="22" eb="23">
      <t>ゾウ</t>
    </rPh>
    <rPh sb="27" eb="29">
      <t>オクエン</t>
    </rPh>
    <rPh sb="42" eb="43">
      <t>ゾウ</t>
    </rPh>
    <phoneticPr fontId="19"/>
  </si>
  <si>
    <t>　　（詳細はP８～９を参照）</t>
  </si>
  <si>
    <t>　　特例の影響等により、2年ぶりの増（＋54億円、+0.7％）となっている。</t>
    <rPh sb="5" eb="7">
      <t>エイキョウ</t>
    </rPh>
    <rPh sb="7" eb="8">
      <t>トウ</t>
    </rPh>
    <phoneticPr fontId="19"/>
  </si>
  <si>
    <t>　　（+258億円、+24.3％）となっている。</t>
    <phoneticPr fontId="6"/>
  </si>
  <si>
    <t>R３決算見込</t>
    <rPh sb="2" eb="4">
      <t>ケッサン</t>
    </rPh>
    <rPh sb="4" eb="6">
      <t>ミコミ</t>
    </rPh>
    <phoneticPr fontId="13"/>
  </si>
  <si>
    <t>R　２　決  算</t>
    <rPh sb="4" eb="5">
      <t>ケツ</t>
    </rPh>
    <rPh sb="7" eb="8">
      <t>サン</t>
    </rPh>
    <phoneticPr fontId="13"/>
  </si>
  <si>
    <t>Ｒ３</t>
    <phoneticPr fontId="13"/>
  </si>
  <si>
    <t>R２</t>
    <phoneticPr fontId="13"/>
  </si>
  <si>
    <t>※上段の(　)は徴収猶予の特例の影響を除いたもの</t>
    <rPh sb="1" eb="3">
      <t>ジョウダン</t>
    </rPh>
    <rPh sb="16" eb="18">
      <t>エイキョウ</t>
    </rPh>
    <rPh sb="19" eb="20">
      <t>ノゾ</t>
    </rPh>
    <phoneticPr fontId="13"/>
  </si>
  <si>
    <t>３年度決算は、２年ぶりの増</t>
    <rPh sb="1" eb="3">
      <t>ネンド</t>
    </rPh>
    <rPh sb="3" eb="5">
      <t>ケッサン</t>
    </rPh>
    <rPh sb="8" eb="9">
      <t>ネン</t>
    </rPh>
    <rPh sb="12" eb="13">
      <t>ゾウ</t>
    </rPh>
    <phoneticPr fontId="2"/>
  </si>
  <si>
    <t>　令和２年度に国の新型コロナウイルス感染症緊急経済対策として創設された徴収猶予の特例
（以下「徴収猶予の特例」という。）の影響など</t>
    <rPh sb="1" eb="3">
      <t>レイワ</t>
    </rPh>
    <rPh sb="4" eb="6">
      <t>ネンド</t>
    </rPh>
    <rPh sb="7" eb="8">
      <t>クニ</t>
    </rPh>
    <rPh sb="9" eb="11">
      <t>シンガタ</t>
    </rPh>
    <rPh sb="18" eb="21">
      <t>カンセンショウ</t>
    </rPh>
    <rPh sb="21" eb="23">
      <t>キンキュウ</t>
    </rPh>
    <rPh sb="23" eb="27">
      <t>ケイザイタイサク</t>
    </rPh>
    <rPh sb="30" eb="32">
      <t>ソウセツ</t>
    </rPh>
    <rPh sb="44" eb="46">
      <t>イカ</t>
    </rPh>
    <rPh sb="47" eb="51">
      <t>チョウシュウユウヨ</t>
    </rPh>
    <rPh sb="52" eb="54">
      <t>トクレイ</t>
    </rPh>
    <rPh sb="61" eb="63">
      <t>エイキョウ</t>
    </rPh>
    <phoneticPr fontId="6"/>
  </si>
  <si>
    <t>　・ふるさと納税にかかる寄附金税額控除の増
　・徴収猶予の特例の影響による増　　　　　　　　など</t>
    <rPh sb="6" eb="8">
      <t>ノウゼイ</t>
    </rPh>
    <rPh sb="12" eb="15">
      <t>キフキン</t>
    </rPh>
    <rPh sb="15" eb="19">
      <t>ゼイガクコウジョ</t>
    </rPh>
    <rPh sb="20" eb="21">
      <t>ゾウ</t>
    </rPh>
    <rPh sb="24" eb="28">
      <t>チョウシュウユウヨ</t>
    </rPh>
    <rPh sb="29" eb="31">
      <t>トクレイ</t>
    </rPh>
    <rPh sb="32" eb="34">
      <t>エイキョウ</t>
    </rPh>
    <rPh sb="37" eb="38">
      <t>ゾウ</t>
    </rPh>
    <phoneticPr fontId="6"/>
  </si>
  <si>
    <t>　・税制改正（法人税割の一部国税化等）による減
　・企業収益の増
　・徴収猶予の特例の影響による増　　　　　　　　など</t>
    <rPh sb="2" eb="4">
      <t>ゼイセイ</t>
    </rPh>
    <rPh sb="4" eb="6">
      <t>カイセイ</t>
    </rPh>
    <rPh sb="7" eb="10">
      <t>ホウジンゼイ</t>
    </rPh>
    <rPh sb="10" eb="11">
      <t>ワリ</t>
    </rPh>
    <rPh sb="12" eb="14">
      <t>イチブ</t>
    </rPh>
    <rPh sb="14" eb="16">
      <t>コクゼイ</t>
    </rPh>
    <rPh sb="16" eb="17">
      <t>カ</t>
    </rPh>
    <rPh sb="17" eb="18">
      <t>トウ</t>
    </rPh>
    <rPh sb="22" eb="23">
      <t>ゲン</t>
    </rPh>
    <rPh sb="26" eb="28">
      <t>キギョウ</t>
    </rPh>
    <rPh sb="28" eb="30">
      <t>シュウエキ</t>
    </rPh>
    <rPh sb="31" eb="32">
      <t>ゾウ</t>
    </rPh>
    <rPh sb="35" eb="39">
      <t>チョウシュウユウヨ</t>
    </rPh>
    <rPh sb="40" eb="42">
      <t>トクレイ</t>
    </rPh>
    <rPh sb="43" eb="45">
      <t>エイキョウ</t>
    </rPh>
    <rPh sb="48" eb="49">
      <t>ゾウ</t>
    </rPh>
    <phoneticPr fontId="2"/>
  </si>
  <si>
    <t>　・徴収猶予の特例の影響による増
　・税制改正（国の新型コロナウイルス感染症緊急経済対策における軽減措置）による減　など　</t>
    <rPh sb="2" eb="6">
      <t>チョウシュウユウヨ</t>
    </rPh>
    <rPh sb="7" eb="9">
      <t>トクレイ</t>
    </rPh>
    <rPh sb="10" eb="12">
      <t>エイキョウ</t>
    </rPh>
    <rPh sb="15" eb="16">
      <t>ゾウ</t>
    </rPh>
    <rPh sb="19" eb="21">
      <t>ゼイセイ</t>
    </rPh>
    <rPh sb="21" eb="23">
      <t>カイセイ</t>
    </rPh>
    <rPh sb="24" eb="25">
      <t>クニ</t>
    </rPh>
    <rPh sb="26" eb="28">
      <t>シンガタ</t>
    </rPh>
    <rPh sb="35" eb="38">
      <t>カンセンショウ</t>
    </rPh>
    <rPh sb="38" eb="40">
      <t>キンキュウ</t>
    </rPh>
    <rPh sb="40" eb="42">
      <t>ケイザイ</t>
    </rPh>
    <rPh sb="42" eb="44">
      <t>タイサク</t>
    </rPh>
    <rPh sb="48" eb="50">
      <t>ケイゲン</t>
    </rPh>
    <rPh sb="50" eb="52">
      <t>ソチ</t>
    </rPh>
    <rPh sb="56" eb="57">
      <t>ゲン</t>
    </rPh>
    <phoneticPr fontId="2"/>
  </si>
  <si>
    <t>収納率</t>
    <rPh sb="0" eb="3">
      <t>シュウノウリツ</t>
    </rPh>
    <phoneticPr fontId="6"/>
  </si>
  <si>
    <t>R３決算見込</t>
    <rPh sb="2" eb="4">
      <t>ケッサン</t>
    </rPh>
    <rPh sb="4" eb="6">
      <t>ミコ</t>
    </rPh>
    <phoneticPr fontId="13"/>
  </si>
  <si>
    <t>収納率</t>
    <rPh sb="0" eb="2">
      <t>シュウノウ</t>
    </rPh>
    <rPh sb="2" eb="3">
      <t>リツ</t>
    </rPh>
    <phoneticPr fontId="13"/>
  </si>
  <si>
    <t>98.6%(98.7%)</t>
    <phoneticPr fontId="13"/>
  </si>
  <si>
    <t xml:space="preserve"> 97.3%(98.6%)</t>
    <phoneticPr fontId="13"/>
  </si>
  <si>
    <t>うち現年課税分</t>
    <rPh sb="2" eb="3">
      <t>ゲン</t>
    </rPh>
    <rPh sb="3" eb="4">
      <t>ネン</t>
    </rPh>
    <rPh sb="4" eb="6">
      <t>カゼイ</t>
    </rPh>
    <rPh sb="6" eb="7">
      <t>ブン</t>
    </rPh>
    <phoneticPr fontId="13"/>
  </si>
  <si>
    <t>99.5%(99.5%)</t>
    <phoneticPr fontId="13"/>
  </si>
  <si>
    <t xml:space="preserve"> 98.1%(99.4%)</t>
    <phoneticPr fontId="13"/>
  </si>
  <si>
    <t>※( )書きは徴収猶予の特例の影響を除いたもの</t>
    <rPh sb="4" eb="5">
      <t>カ</t>
    </rPh>
    <phoneticPr fontId="13"/>
  </si>
  <si>
    <t>グラフ用</t>
    <rPh sb="3" eb="4">
      <t>ヨウ</t>
    </rPh>
    <phoneticPr fontId="13"/>
  </si>
  <si>
    <t>H8年度</t>
    <rPh sb="2" eb="4">
      <t>ネンド</t>
    </rPh>
    <phoneticPr fontId="13"/>
  </si>
  <si>
    <t>H20年度</t>
    <rPh sb="3" eb="5">
      <t>ネンド</t>
    </rPh>
    <phoneticPr fontId="78"/>
  </si>
  <si>
    <t>H21年度</t>
    <rPh sb="3" eb="5">
      <t>ネンド</t>
    </rPh>
    <phoneticPr fontId="78"/>
  </si>
  <si>
    <t>H22年度</t>
    <rPh sb="3" eb="5">
      <t>ネンド</t>
    </rPh>
    <phoneticPr fontId="78"/>
  </si>
  <si>
    <t>H30年度</t>
    <rPh sb="3" eb="5">
      <t>ネンド</t>
    </rPh>
    <phoneticPr fontId="13"/>
  </si>
  <si>
    <t>R元年度</t>
    <rPh sb="1" eb="2">
      <t>ガン</t>
    </rPh>
    <rPh sb="2" eb="4">
      <t>ネンド</t>
    </rPh>
    <phoneticPr fontId="13"/>
  </si>
  <si>
    <t>R２年度</t>
    <rPh sb="2" eb="4">
      <t>ネンド</t>
    </rPh>
    <phoneticPr fontId="13"/>
  </si>
  <si>
    <t>R３年度
（見込）</t>
    <rPh sb="2" eb="4">
      <t>ネンド</t>
    </rPh>
    <rPh sb="6" eb="8">
      <t>ミコミ</t>
    </rPh>
    <phoneticPr fontId="13"/>
  </si>
  <si>
    <t>固定資産税・都市計画税</t>
    <rPh sb="0" eb="2">
      <t>コテイ</t>
    </rPh>
    <rPh sb="2" eb="5">
      <t>シサンゼイ</t>
    </rPh>
    <rPh sb="6" eb="8">
      <t>トシ</t>
    </rPh>
    <rPh sb="8" eb="10">
      <t>ケイカク</t>
    </rPh>
    <rPh sb="10" eb="11">
      <t>ゼイ</t>
    </rPh>
    <phoneticPr fontId="13"/>
  </si>
  <si>
    <t>その他の税</t>
    <rPh sb="2" eb="3">
      <t>タ</t>
    </rPh>
    <rPh sb="4" eb="5">
      <t>ゼイ</t>
    </rPh>
    <phoneticPr fontId="13"/>
  </si>
  <si>
    <t>H8～H22固定</t>
    <rPh sb="6" eb="8">
      <t>コテイ</t>
    </rPh>
    <phoneticPr fontId="13"/>
  </si>
  <si>
    <t>直近4年</t>
    <rPh sb="0" eb="2">
      <t>チョッキン</t>
    </rPh>
    <rPh sb="3" eb="4">
      <t>ネン</t>
    </rPh>
    <phoneticPr fontId="13"/>
  </si>
  <si>
    <t>※（　　）書きは徴収猶予の特例の影響を除いたもの</t>
    <rPh sb="5" eb="6">
      <t>カ</t>
    </rPh>
    <rPh sb="8" eb="12">
      <t>チョウシュウユウヨ</t>
    </rPh>
    <rPh sb="13" eb="15">
      <t>トクレイ</t>
    </rPh>
    <rPh sb="16" eb="18">
      <t>エイキョウ</t>
    </rPh>
    <rPh sb="19" eb="20">
      <t>ノゾ</t>
    </rPh>
    <phoneticPr fontId="6"/>
  </si>
  <si>
    <t>29年度</t>
    <rPh sb="2" eb="4">
      <t>ネンド</t>
    </rPh>
    <phoneticPr fontId="13"/>
  </si>
  <si>
    <t>30年度</t>
    <rPh sb="2" eb="4">
      <t>ネンド</t>
    </rPh>
    <phoneticPr fontId="13"/>
  </si>
  <si>
    <t>元年度</t>
    <rPh sb="0" eb="1">
      <t>ガン</t>
    </rPh>
    <rPh sb="1" eb="3">
      <t>ネンド</t>
    </rPh>
    <phoneticPr fontId="13"/>
  </si>
  <si>
    <t>２年度</t>
    <rPh sb="1" eb="3">
      <t>ネンド</t>
    </rPh>
    <phoneticPr fontId="13"/>
  </si>
  <si>
    <t>３年度（見込）</t>
    <rPh sb="1" eb="3">
      <t>ネンド</t>
    </rPh>
    <rPh sb="4" eb="6">
      <t>ミコミ</t>
    </rPh>
    <phoneticPr fontId="13"/>
  </si>
  <si>
    <t>市税総額の未収金</t>
    <rPh sb="0" eb="2">
      <t>シゼイ</t>
    </rPh>
    <rPh sb="2" eb="4">
      <t>ソウガク</t>
    </rPh>
    <rPh sb="5" eb="8">
      <t>ミシュウキン</t>
    </rPh>
    <phoneticPr fontId="13"/>
  </si>
  <si>
    <t>現年課税分の未収金</t>
    <rPh sb="0" eb="1">
      <t>ゲン</t>
    </rPh>
    <rPh sb="1" eb="2">
      <t>ネン</t>
    </rPh>
    <rPh sb="2" eb="4">
      <t>カゼイ</t>
    </rPh>
    <rPh sb="4" eb="5">
      <t>ブン</t>
    </rPh>
    <rPh sb="6" eb="8">
      <t>ミシュウ</t>
    </rPh>
    <rPh sb="8" eb="9">
      <t>キン</t>
    </rPh>
    <phoneticPr fontId="13"/>
  </si>
  <si>
    <t>滞納繰越分の未収金</t>
    <rPh sb="0" eb="2">
      <t>タイノウ</t>
    </rPh>
    <rPh sb="2" eb="4">
      <t>クリコシ</t>
    </rPh>
    <rPh sb="4" eb="5">
      <t>ブン</t>
    </rPh>
    <rPh sb="6" eb="8">
      <t>ミシュウ</t>
    </rPh>
    <rPh sb="8" eb="9">
      <t>キン</t>
    </rPh>
    <phoneticPr fontId="13"/>
  </si>
  <si>
    <t>現年課税分の収納率</t>
    <rPh sb="0" eb="1">
      <t>ゲン</t>
    </rPh>
    <rPh sb="1" eb="2">
      <t>ネン</t>
    </rPh>
    <rPh sb="2" eb="4">
      <t>カゼイ</t>
    </rPh>
    <rPh sb="4" eb="5">
      <t>ブン</t>
    </rPh>
    <rPh sb="6" eb="8">
      <t>シュウノウ</t>
    </rPh>
    <rPh sb="8" eb="9">
      <t>リツ</t>
    </rPh>
    <phoneticPr fontId="13"/>
  </si>
  <si>
    <t>市税総額の収納率</t>
    <rPh sb="0" eb="2">
      <t>シゼイ</t>
    </rPh>
    <rPh sb="2" eb="4">
      <t>ソウガク</t>
    </rPh>
    <rPh sb="5" eb="7">
      <t>シュウノウ</t>
    </rPh>
    <rPh sb="7" eb="8">
      <t>リツ</t>
    </rPh>
    <phoneticPr fontId="13"/>
  </si>
  <si>
    <t>※すべて手入力</t>
    <rPh sb="4" eb="5">
      <t>テ</t>
    </rPh>
    <rPh sb="5" eb="7">
      <t>ニュウリョク</t>
    </rPh>
    <phoneticPr fontId="6"/>
  </si>
  <si>
    <t>課税年度</t>
    <rPh sb="0" eb="2">
      <t>カゼイ</t>
    </rPh>
    <rPh sb="2" eb="4">
      <t>ネンド</t>
    </rPh>
    <phoneticPr fontId="13"/>
  </si>
  <si>
    <t>繰越 １年目</t>
    <rPh sb="0" eb="2">
      <t>クリコシ</t>
    </rPh>
    <rPh sb="4" eb="6">
      <t>ネンメ</t>
    </rPh>
    <phoneticPr fontId="13"/>
  </si>
  <si>
    <t>繰越 ２年目</t>
    <rPh sb="0" eb="2">
      <t>クリコシ</t>
    </rPh>
    <rPh sb="4" eb="6">
      <t>ネンメ</t>
    </rPh>
    <phoneticPr fontId="13"/>
  </si>
  <si>
    <t>繰越 ３年目</t>
    <rPh sb="0" eb="2">
      <t>クリコシ</t>
    </rPh>
    <rPh sb="4" eb="6">
      <t>ネンメ</t>
    </rPh>
    <phoneticPr fontId="13"/>
  </si>
  <si>
    <t>繰越 ４年目</t>
    <rPh sb="0" eb="2">
      <t>クリコシ</t>
    </rPh>
    <rPh sb="4" eb="6">
      <t>ネンメ</t>
    </rPh>
    <phoneticPr fontId="13"/>
  </si>
  <si>
    <t>合計</t>
    <rPh sb="0" eb="2">
      <t>ゴウケイ</t>
    </rPh>
    <phoneticPr fontId="13"/>
  </si>
  <si>
    <t>３年度</t>
    <rPh sb="1" eb="3">
      <t>ネンド</t>
    </rPh>
    <phoneticPr fontId="13"/>
  </si>
  <si>
    <t>４年度</t>
    <rPh sb="1" eb="3">
      <t>ネンド</t>
    </rPh>
    <phoneticPr fontId="13"/>
  </si>
  <si>
    <t>５年度</t>
    <rPh sb="1" eb="3">
      <t>ネンド</t>
    </rPh>
    <phoneticPr fontId="13"/>
  </si>
  <si>
    <t>６年度</t>
    <rPh sb="1" eb="3">
      <t>ネンド</t>
    </rPh>
    <phoneticPr fontId="13"/>
  </si>
  <si>
    <t>７年度</t>
    <rPh sb="1" eb="3">
      <t>ネンド</t>
    </rPh>
    <phoneticPr fontId="13"/>
  </si>
  <si>
    <t>８年度</t>
    <rPh sb="1" eb="3">
      <t>ネンド</t>
    </rPh>
    <phoneticPr fontId="13"/>
  </si>
  <si>
    <t>９年度</t>
    <rPh sb="1" eb="3">
      <t>ネンド</t>
    </rPh>
    <phoneticPr fontId="13"/>
  </si>
  <si>
    <t>１０年度</t>
    <rPh sb="2" eb="4">
      <t>ネンド</t>
    </rPh>
    <phoneticPr fontId="13"/>
  </si>
  <si>
    <t>１１年度</t>
    <rPh sb="2" eb="4">
      <t>ネンド</t>
    </rPh>
    <phoneticPr fontId="13"/>
  </si>
  <si>
    <t>１２年度</t>
    <rPh sb="2" eb="4">
      <t>ネンド</t>
    </rPh>
    <phoneticPr fontId="13"/>
  </si>
  <si>
    <t>１３年度</t>
    <rPh sb="2" eb="4">
      <t>ネンド</t>
    </rPh>
    <phoneticPr fontId="13"/>
  </si>
  <si>
    <t>１４年度</t>
    <rPh sb="2" eb="4">
      <t>ネンド</t>
    </rPh>
    <phoneticPr fontId="13"/>
  </si>
  <si>
    <t>17年度</t>
    <rPh sb="2" eb="4">
      <t>ネンド</t>
    </rPh>
    <phoneticPr fontId="13"/>
  </si>
  <si>
    <t>18年度</t>
    <rPh sb="2" eb="4">
      <t>ネンド</t>
    </rPh>
    <phoneticPr fontId="13"/>
  </si>
  <si>
    <t>19年度</t>
    <rPh sb="2" eb="4">
      <t>ネンド</t>
    </rPh>
    <phoneticPr fontId="13"/>
  </si>
  <si>
    <t>20年度</t>
    <rPh sb="2" eb="4">
      <t>ネンド</t>
    </rPh>
    <phoneticPr fontId="13"/>
  </si>
  <si>
    <t>21年度</t>
    <rPh sb="2" eb="4">
      <t>ネンド</t>
    </rPh>
    <phoneticPr fontId="13"/>
  </si>
  <si>
    <t>22年度</t>
    <rPh sb="2" eb="4">
      <t>ネンド</t>
    </rPh>
    <phoneticPr fontId="13"/>
  </si>
  <si>
    <t>23年度</t>
    <rPh sb="2" eb="4">
      <t>ネンド</t>
    </rPh>
    <phoneticPr fontId="13"/>
  </si>
  <si>
    <t>24年度</t>
    <rPh sb="2" eb="4">
      <t>ネンド</t>
    </rPh>
    <phoneticPr fontId="13"/>
  </si>
  <si>
    <t>25年度</t>
    <rPh sb="2" eb="4">
      <t>ネンド</t>
    </rPh>
    <phoneticPr fontId="13"/>
  </si>
  <si>
    <t>27年度</t>
    <rPh sb="2" eb="4">
      <t>ネンド</t>
    </rPh>
    <phoneticPr fontId="13"/>
  </si>
  <si>
    <t>28年度</t>
    <rPh sb="2" eb="4">
      <t>ネンド</t>
    </rPh>
    <phoneticPr fontId="13"/>
  </si>
  <si>
    <t>２年度</t>
    <rPh sb="1" eb="3">
      <t>ネンド</t>
    </rPh>
    <phoneticPr fontId="6"/>
  </si>
  <si>
    <t>３年度（見込）</t>
    <rPh sb="1" eb="3">
      <t>ネンド</t>
    </rPh>
    <phoneticPr fontId="13"/>
  </si>
  <si>
    <t>※すべて最新年度のシートをみて手入力</t>
    <rPh sb="4" eb="6">
      <t>サイシン</t>
    </rPh>
    <rPh sb="6" eb="7">
      <t>ネン</t>
    </rPh>
    <rPh sb="7" eb="8">
      <t>ド</t>
    </rPh>
    <rPh sb="15" eb="16">
      <t>テ</t>
    </rPh>
    <rPh sb="16" eb="18">
      <t>ニュウリョク</t>
    </rPh>
    <phoneticPr fontId="6"/>
  </si>
  <si>
    <t>説明用資料の数値のリンクが切れているものがあるので、説明用資料の数値についても</t>
    <rPh sb="0" eb="2">
      <t>セツメイ</t>
    </rPh>
    <rPh sb="2" eb="3">
      <t>ヨウ</t>
    </rPh>
    <rPh sb="3" eb="5">
      <t>シリョウ</t>
    </rPh>
    <rPh sb="6" eb="8">
      <t>スウチ</t>
    </rPh>
    <rPh sb="13" eb="14">
      <t>キ</t>
    </rPh>
    <rPh sb="26" eb="29">
      <t>セツメイヨウ</t>
    </rPh>
    <rPh sb="29" eb="31">
      <t>シリョウ</t>
    </rPh>
    <rPh sb="32" eb="34">
      <t>スウチ</t>
    </rPh>
    <phoneticPr fontId="6"/>
  </si>
  <si>
    <t>手打ち修正必要か要確認</t>
    <phoneticPr fontId="6"/>
  </si>
  <si>
    <t>　・住民税非課税世帯等臨時特別給付金や子育て世帯臨時特別給付金など</t>
    <rPh sb="2" eb="5">
      <t>ジュウミンゼイ</t>
    </rPh>
    <rPh sb="5" eb="8">
      <t>ヒカゼイ</t>
    </rPh>
    <rPh sb="8" eb="10">
      <t>セタイ</t>
    </rPh>
    <rPh sb="10" eb="11">
      <t>トウ</t>
    </rPh>
    <rPh sb="11" eb="13">
      <t>リンジ</t>
    </rPh>
    <rPh sb="13" eb="15">
      <t>トクベツ</t>
    </rPh>
    <rPh sb="15" eb="18">
      <t>キュウフキン</t>
    </rPh>
    <rPh sb="30" eb="31">
      <t>キン</t>
    </rPh>
    <phoneticPr fontId="33"/>
  </si>
  <si>
    <t>　　　新型コロナウイルス感染症対策関連経費として、住民税非課税世帯等臨時特別給付金</t>
    <rPh sb="25" eb="28">
      <t>ジュウミンゼイ</t>
    </rPh>
    <rPh sb="28" eb="41">
      <t>ヒカゼイセタイトウリンジトクベツキュウフキン</t>
    </rPh>
    <phoneticPr fontId="13"/>
  </si>
  <si>
    <r>
      <t>　　</t>
    </r>
    <r>
      <rPr>
        <b/>
        <sz val="13"/>
        <rFont val="メイリオ"/>
        <family val="3"/>
        <charset val="128"/>
      </rPr>
      <t>扶助費の増</t>
    </r>
    <r>
      <rPr>
        <sz val="13"/>
        <rFont val="メイリオ"/>
        <family val="3"/>
        <charset val="128"/>
      </rPr>
      <t>や淀川左岸線（２期）事業など</t>
    </r>
    <r>
      <rPr>
        <b/>
        <sz val="13"/>
        <rFont val="メイリオ"/>
        <family val="3"/>
        <charset val="128"/>
      </rPr>
      <t>投資的経費の増</t>
    </r>
    <r>
      <rPr>
        <sz val="13"/>
        <rFont val="メイリオ"/>
        <family val="3"/>
        <charset val="128"/>
      </rPr>
      <t>などがある</t>
    </r>
    <rPh sb="2" eb="5">
      <t>フジョヒ</t>
    </rPh>
    <rPh sb="6" eb="7">
      <t>ゾウ</t>
    </rPh>
    <phoneticPr fontId="6"/>
  </si>
  <si>
    <t>　・障がい者自立支援給付費の増など扶助費が増となったものの、</t>
    <rPh sb="2" eb="3">
      <t>ショウ</t>
    </rPh>
    <rPh sb="5" eb="6">
      <t>シャ</t>
    </rPh>
    <rPh sb="6" eb="8">
      <t>ジリツ</t>
    </rPh>
    <rPh sb="8" eb="10">
      <t>シエン</t>
    </rPh>
    <rPh sb="10" eb="12">
      <t>キュウフ</t>
    </rPh>
    <rPh sb="12" eb="13">
      <t>ヒ</t>
    </rPh>
    <rPh sb="14" eb="15">
      <t>ゾウ</t>
    </rPh>
    <rPh sb="17" eb="20">
      <t>フジョヒ</t>
    </rPh>
    <rPh sb="21" eb="22">
      <t>ゾウ</t>
    </rPh>
    <phoneticPr fontId="0"/>
  </si>
  <si>
    <t>　　となったことにより、</t>
    <phoneticPr fontId="6"/>
  </si>
  <si>
    <t>　　臨時財政対策債を含めた実質的な地方交付税総額は、＋667億円の増（＋91.4％）となり、</t>
    <rPh sb="2" eb="9">
      <t>リンジザイセイタイサクサイ</t>
    </rPh>
    <rPh sb="10" eb="11">
      <t>フク</t>
    </rPh>
    <rPh sb="13" eb="16">
      <t>ジッシツテキ</t>
    </rPh>
    <rPh sb="30" eb="32">
      <t>オクエン</t>
    </rPh>
    <rPh sb="33" eb="34">
      <t>ゾウ</t>
    </rPh>
    <phoneticPr fontId="13"/>
  </si>
  <si>
    <t>　　1,397億円となっている。</t>
    <phoneticPr fontId="6"/>
  </si>
  <si>
    <t>　　　国の基準財政収入額の算定において、法人市民税が減となったことなどにより、</t>
    <rPh sb="3" eb="4">
      <t>クニ</t>
    </rPh>
    <rPh sb="5" eb="9">
      <t>キジュンザイセイ</t>
    </rPh>
    <rPh sb="9" eb="11">
      <t>シュウニュウ</t>
    </rPh>
    <rPh sb="11" eb="12">
      <t>ガク</t>
    </rPh>
    <rPh sb="13" eb="15">
      <t>サンテイ</t>
    </rPh>
    <rPh sb="20" eb="22">
      <t>ホウジン</t>
    </rPh>
    <rPh sb="22" eb="25">
      <t>シミンゼイ</t>
    </rPh>
    <rPh sb="26" eb="27">
      <t>ゲン</t>
    </rPh>
    <phoneticPr fontId="13"/>
  </si>
  <si>
    <t>　　障がい者自立支援給付費の増など扶助費が増となったものの、地方税や</t>
    <phoneticPr fontId="13"/>
  </si>
  <si>
    <r>
      <t>　　された徴収猶予の特例の影響等により、</t>
    </r>
    <r>
      <rPr>
        <b/>
        <sz val="13"/>
        <rFont val="メイリオ"/>
        <family val="3"/>
        <charset val="128"/>
      </rPr>
      <t>地方税が２年ぶりの増</t>
    </r>
    <r>
      <rPr>
        <sz val="13"/>
        <rFont val="メイリオ"/>
        <family val="3"/>
        <charset val="128"/>
      </rPr>
      <t>となった</t>
    </r>
    <rPh sb="10" eb="12">
      <t>トクレイ</t>
    </rPh>
    <rPh sb="13" eb="16">
      <t>エイキョウトウ</t>
    </rPh>
    <rPh sb="20" eb="23">
      <t>チホウゼイ</t>
    </rPh>
    <phoneticPr fontId="33"/>
  </si>
  <si>
    <t>　　　住民税非課税世帯等臨時特別給付金や子育て世帯臨時特別給付金など扶助費の増</t>
    <rPh sb="3" eb="6">
      <t>ジュウミンゼイ</t>
    </rPh>
    <rPh sb="6" eb="9">
      <t>ヒカゼイ</t>
    </rPh>
    <rPh sb="9" eb="11">
      <t>セタイ</t>
    </rPh>
    <rPh sb="11" eb="12">
      <t>トウ</t>
    </rPh>
    <rPh sb="12" eb="14">
      <t>リンジ</t>
    </rPh>
    <rPh sb="14" eb="16">
      <t>トクベツ</t>
    </rPh>
    <rPh sb="16" eb="19">
      <t>キュウフキン</t>
    </rPh>
    <rPh sb="31" eb="32">
      <t>キン</t>
    </rPh>
    <phoneticPr fontId="13"/>
  </si>
  <si>
    <t>　（市民一人当たり　Ｒ３年度決算：619千円　R２年度決算：630千円）</t>
    <phoneticPr fontId="13"/>
  </si>
  <si>
    <r>
      <t>　　市債発行をこの間抑制してきた結果、</t>
    </r>
    <r>
      <rPr>
        <b/>
        <sz val="12"/>
        <rFont val="メイリオ"/>
        <family val="3"/>
        <charset val="128"/>
      </rPr>
      <t>16年連続で減少</t>
    </r>
    <r>
      <rPr>
        <sz val="12"/>
        <rFont val="メイリオ"/>
        <family val="3"/>
        <charset val="128"/>
      </rPr>
      <t>（△320億円、△1.8％）し、</t>
    </r>
    <rPh sb="2" eb="4">
      <t>シサイ</t>
    </rPh>
    <rPh sb="4" eb="6">
      <t>ハッコウ</t>
    </rPh>
    <rPh sb="9" eb="10">
      <t>カン</t>
    </rPh>
    <rPh sb="10" eb="12">
      <t>ヨクセイ</t>
    </rPh>
    <rPh sb="16" eb="18">
      <t>ケッカ</t>
    </rPh>
    <rPh sb="21" eb="22">
      <t>ネン</t>
    </rPh>
    <rPh sb="22" eb="24">
      <t>レンゾク</t>
    </rPh>
    <rPh sb="25" eb="27">
      <t>ゲンショウ</t>
    </rPh>
    <rPh sb="32" eb="34">
      <t>オクエン</t>
    </rPh>
    <phoneticPr fontId="13"/>
  </si>
  <si>
    <t>　・市債発行をこの間抑制してきた結果、</t>
    <rPh sb="2" eb="4">
      <t>シサイ</t>
    </rPh>
    <rPh sb="4" eb="6">
      <t>ハッコウ</t>
    </rPh>
    <rPh sb="9" eb="10">
      <t>カン</t>
    </rPh>
    <rPh sb="10" eb="12">
      <t>ヨクセイ</t>
    </rPh>
    <rPh sb="16" eb="18">
      <t>ケッカ</t>
    </rPh>
    <phoneticPr fontId="33"/>
  </si>
  <si>
    <t>経常一般財源（地方税＋普通交付税等）＋臨時財政対策債＋減収補塡債（特例分）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1">
      <t>ホテン</t>
    </rPh>
    <rPh sb="31" eb="32">
      <t>サイ</t>
    </rPh>
    <rPh sb="33" eb="35">
      <t>トクレイ</t>
    </rPh>
    <rPh sb="35" eb="36">
      <t>ブン</t>
    </rPh>
    <phoneticPr fontId="6"/>
  </si>
  <si>
    <t>を中心とする毎年経常的に収入される一般財源（経常一般財源）、臨時財政対策債及び減収補塡</t>
    <rPh sb="1" eb="3">
      <t>チュウシン</t>
    </rPh>
    <rPh sb="6" eb="8">
      <t>マイトシ</t>
    </rPh>
    <rPh sb="8" eb="10">
      <t>ケイジョウ</t>
    </rPh>
    <rPh sb="10" eb="11">
      <t>テキ</t>
    </rPh>
    <rPh sb="12" eb="14">
      <t>シュウニュウ</t>
    </rPh>
    <rPh sb="37" eb="38">
      <t>オヨ</t>
    </rPh>
    <rPh sb="41" eb="43">
      <t>ホテン</t>
    </rPh>
    <phoneticPr fontId="6"/>
  </si>
  <si>
    <t>債（特例分）の合計額に占める割合。</t>
    <rPh sb="2" eb="4">
      <t>トクレイ</t>
    </rPh>
    <rPh sb="4" eb="5">
      <t>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</si>
</sst>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_ "/>
    <numFmt numFmtId="188" formatCode="#,##0_);\(#,##0\)"/>
    <numFmt numFmtId="189" formatCode="&quot;△&quot;\ #,000&quot;億&quot;&quot;円&quot;"/>
    <numFmt numFmtId="190" formatCode="0.0;&quot;△ &quot;0.0"/>
    <numFmt numFmtId="191" formatCode="0.0;&quot;▲ &quot;0.0"/>
    <numFmt numFmtId="192" formatCode="#,##0_ ;[Red]\-#,##0\ "/>
    <numFmt numFmtId="193" formatCode="#,##0;&quot;△ &quot;#,##0;&quot;－&quot;"/>
    <numFmt numFmtId="194" formatCode="0.000"/>
    <numFmt numFmtId="195" formatCode="\(#,##0\);\(&quot;△ &quot;#,##0\)"/>
    <numFmt numFmtId="196" formatCode="0.0;\(&quot;△ &quot;0.0\)"/>
    <numFmt numFmtId="197" formatCode="0.0%"/>
  </numFmts>
  <fonts count="86">
    <font>
      <sz val="10.5"/>
      <name val="明朝体"/>
      <family val="3"/>
      <charset val="128"/>
    </font>
    <font>
      <sz val="11"/>
      <color theme="1"/>
      <name val="ＭＳ Ｐゴシック"/>
      <family val="2"/>
      <charset val="128"/>
      <scheme val="minor"/>
    </font>
    <font>
      <sz val="11"/>
      <name val="Yu Gothic"/>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5"/>
      <name val="ＭＳ Ｐゴシック"/>
      <family val="3"/>
      <charset val="128"/>
    </font>
    <font>
      <sz val="11"/>
      <name val="ＭＳ Ｐゴシック"/>
      <family val="3"/>
      <charset val="128"/>
    </font>
    <font>
      <sz val="10.5"/>
      <name val="明朝体"/>
      <family val="3"/>
      <charset val="128"/>
    </font>
    <font>
      <sz val="10.5"/>
      <name val="ＭＳ Ｐ明朝"/>
      <family val="1"/>
      <charset val="128"/>
    </font>
    <font>
      <sz val="10"/>
      <name val="ＭＳ Ｐ明朝"/>
      <family val="1"/>
      <charset val="128"/>
    </font>
    <font>
      <sz val="8"/>
      <name val="ＭＳ Ｐゴシック"/>
      <family val="3"/>
      <charset val="128"/>
    </font>
    <font>
      <sz val="6"/>
      <name val="ＭＳ Ｐゴシック"/>
      <family val="3"/>
      <charset val="128"/>
    </font>
    <font>
      <sz val="10"/>
      <name val="ＭＳ Ｐゴシック"/>
      <family val="3"/>
      <charset val="128"/>
    </font>
    <font>
      <sz val="9"/>
      <name val="HG丸ｺﾞｼｯｸM-PRO"/>
      <family val="3"/>
      <charset val="128"/>
    </font>
    <font>
      <sz val="12"/>
      <name val="HG丸ｺﾞｼｯｸM-PRO"/>
      <family val="3"/>
      <charset val="128"/>
    </font>
    <font>
      <sz val="11"/>
      <name val="HG丸ｺﾞｼｯｸM-PRO"/>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7"/>
      <name val="ＭＳ Ｐゴシック"/>
      <family val="3"/>
      <charset val="128"/>
    </font>
    <font>
      <sz val="8"/>
      <name val="ＭＳ Ｐ明朝"/>
      <family val="1"/>
      <charset val="128"/>
    </font>
    <font>
      <sz val="12"/>
      <name val="ＭＳ 明朝"/>
      <family val="1"/>
      <charset val="128"/>
    </font>
    <font>
      <b/>
      <sz val="11"/>
      <color theme="1"/>
      <name val="メイリオ"/>
      <family val="3"/>
      <charset val="128"/>
    </font>
    <font>
      <b/>
      <sz val="12"/>
      <name val="ＭＳ 明朝"/>
      <family val="1"/>
      <charset val="128"/>
    </font>
    <font>
      <sz val="11"/>
      <color theme="1"/>
      <name val="ＭＳ Ｐゴシック"/>
      <family val="2"/>
      <scheme val="minor"/>
    </font>
    <font>
      <sz val="8"/>
      <name val="明朝体"/>
      <family val="3"/>
      <charset val="128"/>
    </font>
    <font>
      <sz val="12"/>
      <name val="明朝体"/>
      <family val="3"/>
      <charset val="128"/>
    </font>
    <font>
      <sz val="12"/>
      <name val="HGP創英角ﾎﾟｯﾌﾟ体"/>
      <family val="3"/>
      <charset val="128"/>
    </font>
    <font>
      <sz val="22"/>
      <name val="メイリオ"/>
      <family val="3"/>
      <charset val="128"/>
    </font>
    <font>
      <sz val="11"/>
      <name val="メイリオ"/>
      <family val="3"/>
      <charset val="128"/>
    </font>
    <font>
      <sz val="10.5"/>
      <color indexed="9"/>
      <name val="明朝体"/>
      <family val="3"/>
      <charset val="128"/>
    </font>
    <font>
      <sz val="10"/>
      <name val="FO明朝体"/>
      <family val="1"/>
      <charset val="128"/>
    </font>
    <font>
      <sz val="10.5"/>
      <name val="FO明朝体"/>
      <family val="1"/>
      <charset val="128"/>
    </font>
    <font>
      <sz val="12"/>
      <name val="FO明朝体"/>
      <family val="1"/>
      <charset val="128"/>
    </font>
    <font>
      <sz val="12"/>
      <color indexed="30"/>
      <name val="FO明朝体"/>
      <family val="1"/>
      <charset val="128"/>
    </font>
    <font>
      <sz val="10"/>
      <name val="メイリオ"/>
      <family val="3"/>
      <charset val="128"/>
    </font>
    <font>
      <sz val="10"/>
      <color theme="1"/>
      <name val="メイリオ"/>
      <family val="3"/>
      <charset val="128"/>
    </font>
    <font>
      <i/>
      <sz val="10"/>
      <name val="メイリオ"/>
      <family val="3"/>
      <charset val="128"/>
    </font>
    <font>
      <sz val="12"/>
      <name val="メイリオ"/>
      <family val="3"/>
      <charset val="128"/>
    </font>
    <font>
      <sz val="14"/>
      <color theme="1"/>
      <name val="メイリオ"/>
      <family val="3"/>
      <charset val="128"/>
    </font>
    <font>
      <sz val="14"/>
      <name val="メイリオ"/>
      <family val="3"/>
      <charset val="128"/>
    </font>
    <font>
      <i/>
      <sz val="14"/>
      <name val="メイリオ"/>
      <family val="3"/>
      <charset val="128"/>
    </font>
    <font>
      <u/>
      <sz val="18"/>
      <name val="メイリオ"/>
      <family val="3"/>
      <charset val="128"/>
    </font>
    <font>
      <sz val="18"/>
      <name val="メイリオ"/>
      <family val="3"/>
      <charset val="128"/>
    </font>
    <font>
      <u/>
      <sz val="20"/>
      <name val="メイリオ"/>
      <family val="3"/>
      <charset val="128"/>
    </font>
    <font>
      <sz val="10.5"/>
      <name val="メイリオ"/>
      <family val="3"/>
      <charset val="128"/>
    </font>
    <font>
      <sz val="8"/>
      <color theme="1"/>
      <name val="メイリオ"/>
      <family val="3"/>
      <charset val="128"/>
    </font>
    <font>
      <i/>
      <sz val="10"/>
      <color theme="1"/>
      <name val="メイリオ"/>
      <family val="3"/>
      <charset val="128"/>
    </font>
    <font>
      <b/>
      <sz val="16"/>
      <name val="メイリオ"/>
      <family val="3"/>
      <charset val="128"/>
    </font>
    <font>
      <sz val="12"/>
      <color rgb="FFFF0000"/>
      <name val="HG創英角ﾎﾟｯﾌﾟ体"/>
      <family val="3"/>
      <charset val="128"/>
    </font>
    <font>
      <sz val="12"/>
      <color theme="1"/>
      <name val="HG丸ｺﾞｼｯｸM-PRO"/>
      <family val="3"/>
      <charset val="128"/>
    </font>
    <font>
      <sz val="12"/>
      <color rgb="FFFF0000"/>
      <name val="メイリオ"/>
      <family val="3"/>
      <charset val="128"/>
    </font>
    <font>
      <b/>
      <sz val="12"/>
      <name val="メイリオ"/>
      <family val="3"/>
      <charset val="128"/>
    </font>
    <font>
      <sz val="12"/>
      <name val="HG創英角ﾎﾟｯﾌﾟ体"/>
      <family val="3"/>
      <charset val="128"/>
    </font>
    <font>
      <sz val="12"/>
      <color rgb="FFFF0000"/>
      <name val="HG丸ｺﾞｼｯｸM-PRO"/>
      <family val="3"/>
      <charset val="128"/>
    </font>
    <font>
      <sz val="13"/>
      <name val="メイリオ"/>
      <family val="3"/>
      <charset val="128"/>
    </font>
    <font>
      <b/>
      <sz val="13"/>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i/>
      <sz val="10"/>
      <color theme="1"/>
      <name val="メイリオ"/>
      <family val="3"/>
      <charset val="128"/>
    </font>
    <font>
      <b/>
      <u/>
      <sz val="14"/>
      <color theme="1"/>
      <name val="メイリオ"/>
      <family val="3"/>
      <charset val="128"/>
    </font>
    <font>
      <sz val="20"/>
      <color theme="1"/>
      <name val="メイリオ"/>
      <family val="3"/>
      <charset val="128"/>
    </font>
    <font>
      <b/>
      <sz val="12"/>
      <color rgb="FFFF0000"/>
      <name val="メイリオ"/>
      <family val="3"/>
      <charset val="128"/>
    </font>
    <font>
      <b/>
      <sz val="12"/>
      <color theme="1"/>
      <name val="メイリオ"/>
      <family val="3"/>
      <charset val="128"/>
    </font>
    <font>
      <sz val="9"/>
      <name val="メイリオ"/>
      <family val="3"/>
      <charset val="128"/>
    </font>
    <font>
      <sz val="8"/>
      <name val="メイリオ"/>
      <family val="3"/>
      <charset val="128"/>
    </font>
    <font>
      <sz val="9"/>
      <color theme="1"/>
      <name val="メイリオ"/>
      <family val="3"/>
      <charset val="128"/>
    </font>
    <font>
      <sz val="11"/>
      <name val="ＭＳ Ｐ明朝"/>
      <family val="1"/>
      <charset val="128"/>
    </font>
    <font>
      <sz val="11"/>
      <name val="ＭＳ 明朝"/>
      <family val="1"/>
      <charset val="128"/>
    </font>
    <font>
      <sz val="11"/>
      <color indexed="12"/>
      <name val="ＭＳ ゴシック"/>
      <family val="3"/>
      <charset val="128"/>
    </font>
    <font>
      <sz val="14"/>
      <name val="ＭＳ 明朝"/>
      <family val="1"/>
      <charset val="128"/>
    </font>
    <font>
      <sz val="6"/>
      <name val="ＭＳ 明朝"/>
      <family val="1"/>
      <charset val="128"/>
    </font>
    <font>
      <sz val="11"/>
      <color rgb="FF0000CC"/>
      <name val="ＭＳ 明朝"/>
      <family val="1"/>
      <charset val="128"/>
    </font>
    <font>
      <sz val="11"/>
      <color indexed="8"/>
      <name val="ＭＳ 明朝"/>
      <family val="1"/>
      <charset val="128"/>
    </font>
    <font>
      <sz val="11"/>
      <color indexed="10"/>
      <name val="ＭＳ 明朝"/>
      <family val="1"/>
      <charset val="128"/>
    </font>
    <font>
      <sz val="14"/>
      <color indexed="10"/>
      <name val="ＭＳ 明朝"/>
      <family val="1"/>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indexed="62"/>
        <bgColor indexed="64"/>
      </patternFill>
    </fill>
    <fill>
      <patternFill patternType="solid">
        <fgColor rgb="FF66FFCC"/>
        <bgColor indexed="64"/>
      </patternFill>
    </fill>
    <fill>
      <patternFill patternType="solid">
        <fgColor rgb="FFFFFF00"/>
        <bgColor indexed="64"/>
      </patternFill>
    </fill>
  </fills>
  <borders count="8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s>
  <cellStyleXfs count="16">
    <xf numFmtId="0" fontId="0" fillId="0" borderId="0"/>
    <xf numFmtId="9" fontId="5" fillId="0" borderId="0" applyFont="0" applyFill="0" applyBorder="0" applyAlignment="0" applyProtection="0"/>
    <xf numFmtId="38" fontId="5" fillId="0" borderId="0" applyFont="0" applyFill="0" applyBorder="0" applyAlignment="0" applyProtection="0"/>
    <xf numFmtId="0" fontId="9" fillId="0" borderId="0"/>
    <xf numFmtId="0" fontId="8" fillId="0" borderId="0"/>
    <xf numFmtId="38" fontId="8" fillId="0" borderId="0" applyFont="0" applyFill="0" applyBorder="0" applyAlignment="0" applyProtection="0"/>
    <xf numFmtId="0" fontId="27" fillId="0" borderId="0"/>
    <xf numFmtId="0" fontId="4" fillId="0" borderId="0"/>
    <xf numFmtId="0" fontId="3" fillId="0" borderId="0"/>
    <xf numFmtId="38" fontId="3" fillId="0" borderId="0" applyFont="0" applyFill="0" applyBorder="0" applyAlignment="0" applyProtection="0"/>
    <xf numFmtId="0" fontId="3" fillId="0" borderId="0"/>
    <xf numFmtId="0" fontId="3" fillId="0" borderId="0"/>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 fillId="0" borderId="0" applyFont="0" applyFill="0" applyBorder="0" applyAlignment="0" applyProtection="0"/>
  </cellStyleXfs>
  <cellXfs count="727">
    <xf numFmtId="0" fontId="0" fillId="0" borderId="0" xfId="0"/>
    <xf numFmtId="38" fontId="7" fillId="0" borderId="0" xfId="2" applyFont="1"/>
    <xf numFmtId="38" fontId="7" fillId="0" borderId="0" xfId="2" applyFont="1" applyAlignment="1">
      <alignment horizontal="center"/>
    </xf>
    <xf numFmtId="0" fontId="10" fillId="2" borderId="0" xfId="0" applyNumberFormat="1" applyFont="1" applyFill="1"/>
    <xf numFmtId="0" fontId="10" fillId="2" borderId="0" xfId="0" applyFont="1" applyFill="1"/>
    <xf numFmtId="0" fontId="11" fillId="2" borderId="0" xfId="0" applyNumberFormat="1" applyFont="1" applyFill="1" applyAlignment="1">
      <alignment vertical="center"/>
    </xf>
    <xf numFmtId="0" fontId="10" fillId="2" borderId="2" xfId="0" applyNumberFormat="1" applyFont="1" applyFill="1" applyBorder="1" applyAlignment="1">
      <alignment vertical="center"/>
    </xf>
    <xf numFmtId="0" fontId="10" fillId="2" borderId="3" xfId="0" applyNumberFormat="1" applyFont="1" applyFill="1" applyBorder="1" applyAlignment="1">
      <alignment vertical="center"/>
    </xf>
    <xf numFmtId="0" fontId="10" fillId="2" borderId="4" xfId="0" applyNumberFormat="1" applyFont="1" applyFill="1" applyBorder="1" applyAlignment="1">
      <alignment vertical="center"/>
    </xf>
    <xf numFmtId="0" fontId="10" fillId="2" borderId="5" xfId="0" applyNumberFormat="1" applyFont="1" applyFill="1" applyBorder="1" applyAlignment="1">
      <alignment horizontal="right" vertical="center"/>
    </xf>
    <xf numFmtId="0" fontId="10" fillId="2" borderId="6" xfId="0" applyNumberFormat="1" applyFont="1" applyFill="1" applyBorder="1" applyAlignment="1">
      <alignment vertical="center"/>
    </xf>
    <xf numFmtId="0" fontId="11" fillId="2" borderId="5" xfId="0" applyNumberFormat="1" applyFont="1" applyFill="1" applyBorder="1" applyAlignment="1">
      <alignment vertical="center"/>
    </xf>
    <xf numFmtId="0" fontId="10" fillId="2" borderId="7" xfId="0" applyNumberFormat="1" applyFont="1" applyFill="1" applyBorder="1" applyAlignment="1">
      <alignment vertical="center"/>
    </xf>
    <xf numFmtId="0" fontId="11" fillId="2" borderId="7" xfId="0" applyNumberFormat="1" applyFont="1" applyFill="1" applyBorder="1" applyAlignment="1">
      <alignment horizontal="distributed" vertical="center" justifyLastLine="1"/>
    </xf>
    <xf numFmtId="0" fontId="10" fillId="2" borderId="8" xfId="0" applyNumberFormat="1" applyFont="1" applyFill="1" applyBorder="1" applyAlignment="1">
      <alignment vertical="center"/>
    </xf>
    <xf numFmtId="0" fontId="11" fillId="2" borderId="9" xfId="0" applyNumberFormat="1" applyFont="1" applyFill="1" applyBorder="1" applyAlignment="1">
      <alignment vertical="center"/>
    </xf>
    <xf numFmtId="176" fontId="11" fillId="2" borderId="9" xfId="0" applyNumberFormat="1" applyFont="1" applyFill="1" applyBorder="1" applyAlignment="1">
      <alignment vertical="center"/>
    </xf>
    <xf numFmtId="182" fontId="11" fillId="2" borderId="9" xfId="0" applyNumberFormat="1" applyFont="1" applyFill="1" applyBorder="1" applyAlignment="1">
      <alignment vertical="center"/>
    </xf>
    <xf numFmtId="176" fontId="11" fillId="2" borderId="3" xfId="0" applyNumberFormat="1" applyFont="1" applyFill="1" applyBorder="1" applyAlignment="1">
      <alignment horizontal="right" vertical="center"/>
    </xf>
    <xf numFmtId="177" fontId="11" fillId="2" borderId="4" xfId="0" applyNumberFormat="1" applyFont="1" applyFill="1" applyBorder="1" applyAlignment="1">
      <alignment vertical="center"/>
    </xf>
    <xf numFmtId="180" fontId="11" fillId="2" borderId="4" xfId="0" applyNumberFormat="1" applyFont="1" applyFill="1" applyBorder="1" applyAlignment="1">
      <alignment vertical="center"/>
    </xf>
    <xf numFmtId="0" fontId="10" fillId="2" borderId="0" xfId="0" applyNumberFormat="1" applyFont="1" applyFill="1" applyAlignment="1">
      <alignment horizontal="center"/>
    </xf>
    <xf numFmtId="0" fontId="10" fillId="2" borderId="0" xfId="0" applyNumberFormat="1" applyFont="1" applyFill="1" applyAlignment="1">
      <alignment horizontal="right"/>
    </xf>
    <xf numFmtId="3" fontId="10" fillId="2" borderId="0" xfId="0" applyNumberFormat="1" applyFont="1" applyFill="1"/>
    <xf numFmtId="183" fontId="7" fillId="0" borderId="0" xfId="2" applyNumberFormat="1" applyFont="1"/>
    <xf numFmtId="38" fontId="7" fillId="0" borderId="0" xfId="2" applyFont="1" applyAlignment="1">
      <alignment wrapText="1"/>
    </xf>
    <xf numFmtId="38" fontId="14" fillId="0" borderId="0" xfId="2" applyFont="1" applyAlignment="1">
      <alignment horizontal="center"/>
    </xf>
    <xf numFmtId="0" fontId="11" fillId="2" borderId="7" xfId="0" applyNumberFormat="1" applyFont="1" applyFill="1" applyBorder="1" applyAlignment="1">
      <alignment horizontal="center" vertical="center"/>
    </xf>
    <xf numFmtId="0" fontId="11" fillId="2" borderId="8"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38" fontId="7" fillId="0" borderId="0" xfId="2" applyFont="1" applyFill="1"/>
    <xf numFmtId="0" fontId="10" fillId="0" borderId="0" xfId="0" applyNumberFormat="1" applyFont="1" applyFill="1"/>
    <xf numFmtId="0" fontId="11" fillId="2" borderId="0" xfId="0" applyNumberFormat="1" applyFont="1" applyFill="1" applyAlignment="1">
      <alignment horizontal="right" vertical="center"/>
    </xf>
    <xf numFmtId="0" fontId="22" fillId="0" borderId="0" xfId="0" applyFont="1"/>
    <xf numFmtId="0" fontId="15" fillId="0" borderId="0" xfId="0" applyFont="1"/>
    <xf numFmtId="0" fontId="10" fillId="2" borderId="5" xfId="0" applyNumberFormat="1" applyFont="1" applyFill="1" applyBorder="1" applyAlignment="1">
      <alignment vertical="center"/>
    </xf>
    <xf numFmtId="0" fontId="11" fillId="2" borderId="1" xfId="0" applyNumberFormat="1" applyFont="1" applyFill="1" applyBorder="1" applyAlignment="1">
      <alignment horizontal="distributed" vertical="center" justifyLastLine="1"/>
    </xf>
    <xf numFmtId="0" fontId="10" fillId="2" borderId="10" xfId="0" applyNumberFormat="1" applyFont="1" applyFill="1" applyBorder="1" applyAlignment="1">
      <alignment vertical="center"/>
    </xf>
    <xf numFmtId="177" fontId="11" fillId="2" borderId="3" xfId="0" applyNumberFormat="1" applyFont="1" applyFill="1" applyBorder="1" applyAlignment="1">
      <alignment vertical="center"/>
    </xf>
    <xf numFmtId="0" fontId="10" fillId="2" borderId="22" xfId="0" applyFont="1" applyFill="1" applyBorder="1"/>
    <xf numFmtId="0" fontId="11" fillId="2" borderId="23" xfId="0" applyNumberFormat="1" applyFont="1" applyFill="1" applyBorder="1" applyAlignment="1">
      <alignment horizontal="distributed" vertical="center" justifyLastLine="1"/>
    </xf>
    <xf numFmtId="176" fontId="11" fillId="2" borderId="31" xfId="0" applyNumberFormat="1" applyFont="1" applyFill="1" applyBorder="1"/>
    <xf numFmtId="0" fontId="10" fillId="2" borderId="30" xfId="0" applyFont="1" applyFill="1" applyBorder="1" applyAlignment="1">
      <alignment horizontal="right"/>
    </xf>
    <xf numFmtId="0" fontId="26" fillId="2" borderId="0" xfId="0" applyNumberFormat="1" applyFont="1" applyFill="1" applyAlignment="1">
      <alignment horizontal="left"/>
    </xf>
    <xf numFmtId="0" fontId="28" fillId="0" borderId="0" xfId="3" applyNumberFormat="1" applyFont="1" applyFill="1" applyBorder="1" applyAlignment="1">
      <alignment horizontal="left" vertical="center" wrapText="1"/>
    </xf>
    <xf numFmtId="38" fontId="7" fillId="0" borderId="0" xfId="2" applyFont="1" applyAlignment="1">
      <alignment horizontal="right"/>
    </xf>
    <xf numFmtId="0" fontId="3" fillId="0" borderId="0" xfId="10"/>
    <xf numFmtId="0" fontId="3" fillId="0" borderId="12" xfId="10" applyBorder="1" applyAlignment="1">
      <alignment horizontal="distributed" vertical="center"/>
    </xf>
    <xf numFmtId="0" fontId="3" fillId="0" borderId="2" xfId="10" applyBorder="1" applyAlignment="1">
      <alignment horizontal="center" vertical="center"/>
    </xf>
    <xf numFmtId="0" fontId="3" fillId="0" borderId="9" xfId="10" applyFont="1" applyBorder="1" applyAlignment="1">
      <alignment horizontal="center"/>
    </xf>
    <xf numFmtId="0" fontId="3" fillId="0" borderId="0" xfId="10" applyAlignment="1"/>
    <xf numFmtId="0" fontId="3" fillId="0" borderId="9" xfId="10" applyBorder="1" applyAlignment="1">
      <alignment horizontal="distributed" vertical="center"/>
    </xf>
    <xf numFmtId="179" fontId="3" fillId="0" borderId="9" xfId="10" applyNumberFormat="1" applyBorder="1" applyAlignment="1">
      <alignment horizontal="right" vertical="center"/>
    </xf>
    <xf numFmtId="179" fontId="3" fillId="0" borderId="9" xfId="10" applyNumberFormat="1" applyBorder="1" applyAlignment="1"/>
    <xf numFmtId="179" fontId="3" fillId="0" borderId="9" xfId="10" applyNumberFormat="1" applyFill="1" applyBorder="1" applyAlignment="1"/>
    <xf numFmtId="179" fontId="3" fillId="0" borderId="9" xfId="10" applyNumberFormat="1" applyFont="1" applyFill="1" applyBorder="1" applyAlignment="1">
      <alignment horizontal="right" vertical="center"/>
    </xf>
    <xf numFmtId="179" fontId="3" fillId="0" borderId="0" xfId="10" applyNumberFormat="1"/>
    <xf numFmtId="0" fontId="12" fillId="0" borderId="0" xfId="10" applyFont="1" applyFill="1" applyBorder="1" applyAlignment="1">
      <alignment horizontal="distributed" vertical="center"/>
    </xf>
    <xf numFmtId="179" fontId="3" fillId="0" borderId="9" xfId="10" applyNumberFormat="1" applyFont="1" applyBorder="1" applyAlignment="1">
      <alignment horizontal="right" vertical="center"/>
    </xf>
    <xf numFmtId="179" fontId="3" fillId="0" borderId="0" xfId="10" applyNumberFormat="1" applyBorder="1" applyAlignment="1">
      <alignment horizontal="right" vertical="center"/>
    </xf>
    <xf numFmtId="179" fontId="3" fillId="0" borderId="14" xfId="10" applyNumberFormat="1" applyFill="1" applyBorder="1" applyAlignment="1">
      <alignment horizontal="right" vertical="center"/>
    </xf>
    <xf numFmtId="0" fontId="3" fillId="0" borderId="2" xfId="10" applyFont="1" applyBorder="1" applyAlignment="1">
      <alignment horizontal="center" vertical="center"/>
    </xf>
    <xf numFmtId="181" fontId="3" fillId="0" borderId="9" xfId="10" applyNumberFormat="1" applyBorder="1" applyAlignment="1">
      <alignment horizontal="right" vertical="center"/>
    </xf>
    <xf numFmtId="184" fontId="3" fillId="0" borderId="9" xfId="10" applyNumberFormat="1" applyBorder="1" applyAlignment="1">
      <alignment horizontal="right" vertical="center"/>
    </xf>
    <xf numFmtId="177" fontId="3" fillId="0" borderId="9" xfId="10" applyNumberFormat="1" applyBorder="1" applyAlignment="1">
      <alignment horizontal="right" vertical="center"/>
    </xf>
    <xf numFmtId="0" fontId="12" fillId="0" borderId="0" xfId="10" applyFont="1"/>
    <xf numFmtId="177" fontId="3" fillId="0" borderId="9" xfId="10" applyNumberFormat="1" applyFill="1" applyBorder="1" applyAlignment="1">
      <alignment horizontal="right" vertical="center"/>
    </xf>
    <xf numFmtId="177" fontId="3" fillId="0" borderId="2" xfId="10" applyNumberFormat="1" applyBorder="1" applyAlignment="1">
      <alignment horizontal="right" vertical="center"/>
    </xf>
    <xf numFmtId="177" fontId="3" fillId="0" borderId="8" xfId="10" applyNumberFormat="1" applyBorder="1" applyAlignment="1">
      <alignment horizontal="right" vertical="center"/>
    </xf>
    <xf numFmtId="177" fontId="20" fillId="0" borderId="9" xfId="10" applyNumberFormat="1" applyFont="1" applyBorder="1" applyAlignment="1">
      <alignment horizontal="right" vertical="center"/>
    </xf>
    <xf numFmtId="0" fontId="19" fillId="0" borderId="0" xfId="10" applyFont="1"/>
    <xf numFmtId="0" fontId="12" fillId="0" borderId="12" xfId="10" applyFont="1" applyBorder="1" applyAlignment="1">
      <alignment horizontal="distributed" vertical="center"/>
    </xf>
    <xf numFmtId="0" fontId="12" fillId="0" borderId="2" xfId="10" applyFont="1" applyBorder="1" applyAlignment="1">
      <alignment horizontal="center" vertical="center"/>
    </xf>
    <xf numFmtId="0" fontId="12" fillId="0" borderId="9" xfId="10" applyFont="1" applyBorder="1" applyAlignment="1">
      <alignment horizontal="distributed" vertical="center" wrapText="1"/>
    </xf>
    <xf numFmtId="179" fontId="12" fillId="0" borderId="9" xfId="10" applyNumberFormat="1" applyFont="1" applyBorder="1" applyAlignment="1">
      <alignment vertical="center"/>
    </xf>
    <xf numFmtId="0" fontId="12" fillId="0" borderId="9" xfId="10" applyFont="1" applyBorder="1" applyAlignment="1">
      <alignment horizontal="distributed" vertical="center"/>
    </xf>
    <xf numFmtId="0" fontId="3" fillId="0" borderId="0" xfId="10" applyBorder="1"/>
    <xf numFmtId="0" fontId="12" fillId="0" borderId="15" xfId="10" applyFont="1" applyBorder="1" applyAlignment="1">
      <alignment horizontal="distributed" vertical="center"/>
    </xf>
    <xf numFmtId="179" fontId="12" fillId="0" borderId="15" xfId="10" applyNumberFormat="1" applyFont="1" applyBorder="1" applyAlignment="1">
      <alignment vertical="center"/>
    </xf>
    <xf numFmtId="179" fontId="3" fillId="0" borderId="0" xfId="10" applyNumberFormat="1" applyFill="1" applyBorder="1" applyAlignment="1">
      <alignment horizontal="right" vertical="center"/>
    </xf>
    <xf numFmtId="181" fontId="3" fillId="0" borderId="33" xfId="10" applyNumberFormat="1" applyBorder="1" applyAlignment="1">
      <alignment horizontal="right" vertical="center"/>
    </xf>
    <xf numFmtId="0" fontId="12" fillId="2" borderId="0" xfId="11" applyFont="1" applyFill="1"/>
    <xf numFmtId="0" fontId="3" fillId="2" borderId="0" xfId="11" applyFont="1" applyFill="1"/>
    <xf numFmtId="0" fontId="3" fillId="0" borderId="0" xfId="11" applyFont="1"/>
    <xf numFmtId="0" fontId="12" fillId="2" borderId="28" xfId="11" applyFont="1" applyFill="1" applyBorder="1" applyAlignment="1">
      <alignment horizontal="distributed" vertical="center"/>
    </xf>
    <xf numFmtId="0" fontId="12" fillId="2" borderId="29" xfId="11" applyFont="1" applyFill="1" applyBorder="1" applyAlignment="1">
      <alignment horizontal="center" vertical="center"/>
    </xf>
    <xf numFmtId="0" fontId="25" fillId="2" borderId="29" xfId="11" applyFont="1" applyFill="1" applyBorder="1" applyAlignment="1">
      <alignment horizontal="distributed" vertical="center" wrapText="1"/>
    </xf>
    <xf numFmtId="179" fontId="12" fillId="2" borderId="29" xfId="11" applyNumberFormat="1" applyFont="1" applyFill="1" applyBorder="1" applyAlignment="1">
      <alignment vertical="center"/>
    </xf>
    <xf numFmtId="0" fontId="25" fillId="2" borderId="29" xfId="11" applyFont="1" applyFill="1" applyBorder="1" applyAlignment="1">
      <alignment horizontal="distributed" vertical="center"/>
    </xf>
    <xf numFmtId="179" fontId="12" fillId="0" borderId="29" xfId="11" applyNumberFormat="1" applyFont="1" applyFill="1" applyBorder="1" applyAlignment="1">
      <alignment vertical="center"/>
    </xf>
    <xf numFmtId="0" fontId="3" fillId="0" borderId="0" xfId="11" applyFont="1" applyBorder="1"/>
    <xf numFmtId="179" fontId="3" fillId="2" borderId="0" xfId="11" applyNumberFormat="1" applyFont="1" applyFill="1" applyBorder="1" applyAlignment="1">
      <alignment horizontal="right" vertical="center"/>
    </xf>
    <xf numFmtId="179" fontId="3" fillId="0" borderId="0" xfId="11" applyNumberFormat="1" applyFont="1" applyFill="1" applyBorder="1" applyAlignment="1">
      <alignment horizontal="right" vertical="center"/>
    </xf>
    <xf numFmtId="179" fontId="3" fillId="2" borderId="29" xfId="11" applyNumberFormat="1" applyFont="1" applyFill="1" applyBorder="1" applyAlignment="1">
      <alignment vertical="center"/>
    </xf>
    <xf numFmtId="0" fontId="17" fillId="0" borderId="0" xfId="8" applyFont="1"/>
    <xf numFmtId="0" fontId="3" fillId="0" borderId="9" xfId="10" applyFill="1" applyBorder="1" applyAlignment="1">
      <alignment horizontal="distributed" vertical="center"/>
    </xf>
    <xf numFmtId="179" fontId="3" fillId="0" borderId="9" xfId="10" applyNumberFormat="1" applyFill="1" applyBorder="1" applyAlignment="1">
      <alignment horizontal="right" vertical="center"/>
    </xf>
    <xf numFmtId="177" fontId="3" fillId="0" borderId="9" xfId="10" applyNumberFormat="1" applyFont="1" applyBorder="1" applyAlignment="1">
      <alignment horizontal="right" vertical="center"/>
    </xf>
    <xf numFmtId="177" fontId="3" fillId="0" borderId="33" xfId="10" applyNumberFormat="1" applyFont="1" applyBorder="1" applyAlignment="1">
      <alignment horizontal="right" vertical="center"/>
    </xf>
    <xf numFmtId="0" fontId="17" fillId="0" borderId="0" xfId="8" applyFont="1" applyFill="1"/>
    <xf numFmtId="0" fontId="31" fillId="0" borderId="10" xfId="0" applyFont="1" applyFill="1" applyBorder="1" applyAlignment="1">
      <alignment vertical="distributed" wrapText="1"/>
    </xf>
    <xf numFmtId="0" fontId="31" fillId="0" borderId="13" xfId="0" applyFont="1" applyFill="1" applyBorder="1" applyAlignment="1">
      <alignment vertical="distributed" wrapText="1"/>
    </xf>
    <xf numFmtId="0" fontId="31" fillId="0" borderId="11" xfId="0" applyFont="1" applyFill="1" applyBorder="1" applyAlignment="1">
      <alignment vertical="distributed" wrapText="1"/>
    </xf>
    <xf numFmtId="0" fontId="17" fillId="0" borderId="0" xfId="0" applyFont="1"/>
    <xf numFmtId="0" fontId="0" fillId="0" borderId="0" xfId="0" applyNumberFormat="1"/>
    <xf numFmtId="0" fontId="36" fillId="5" borderId="0" xfId="0" applyFont="1" applyFill="1"/>
    <xf numFmtId="181" fontId="37" fillId="0" borderId="48" xfId="0" applyNumberFormat="1" applyFont="1" applyFill="1" applyBorder="1" applyAlignment="1">
      <alignment vertical="center"/>
    </xf>
    <xf numFmtId="181" fontId="37" fillId="0" borderId="47" xfId="0" applyNumberFormat="1" applyFont="1" applyFill="1" applyBorder="1" applyAlignment="1">
      <alignment vertical="center"/>
    </xf>
    <xf numFmtId="181" fontId="37" fillId="0" borderId="61" xfId="0" applyNumberFormat="1" applyFont="1" applyFill="1" applyBorder="1" applyAlignment="1">
      <alignment vertical="center"/>
    </xf>
    <xf numFmtId="38" fontId="37" fillId="0" borderId="62" xfId="2" applyFont="1" applyBorder="1" applyAlignment="1">
      <alignment vertical="center"/>
    </xf>
    <xf numFmtId="176" fontId="37" fillId="0" borderId="42" xfId="0" applyNumberFormat="1" applyFont="1" applyBorder="1" applyAlignment="1">
      <alignment vertical="center"/>
    </xf>
    <xf numFmtId="176" fontId="37" fillId="0" borderId="8" xfId="0" applyNumberFormat="1" applyFont="1" applyBorder="1" applyAlignment="1">
      <alignment vertical="center"/>
    </xf>
    <xf numFmtId="176" fontId="37" fillId="6" borderId="54" xfId="0" applyNumberFormat="1" applyFont="1" applyFill="1" applyBorder="1" applyAlignment="1">
      <alignment vertical="center"/>
    </xf>
    <xf numFmtId="38" fontId="37" fillId="0" borderId="10" xfId="2" applyFont="1" applyBorder="1" applyAlignment="1">
      <alignment vertical="center"/>
    </xf>
    <xf numFmtId="181" fontId="37" fillId="0" borderId="43" xfId="0" applyNumberFormat="1" applyFont="1" applyFill="1" applyBorder="1" applyAlignment="1">
      <alignment vertical="center"/>
    </xf>
    <xf numFmtId="181" fontId="37" fillId="0" borderId="9" xfId="0" applyNumberFormat="1" applyFont="1" applyFill="1" applyBorder="1" applyAlignment="1">
      <alignment vertical="center"/>
    </xf>
    <xf numFmtId="181" fontId="37" fillId="0" borderId="55" xfId="0" applyNumberFormat="1" applyFont="1" applyFill="1" applyBorder="1" applyAlignment="1">
      <alignment vertical="center"/>
    </xf>
    <xf numFmtId="38" fontId="37" fillId="0" borderId="3" xfId="2" applyFont="1" applyBorder="1" applyAlignment="1">
      <alignment vertical="center"/>
    </xf>
    <xf numFmtId="176" fontId="37" fillId="0" borderId="43" xfId="0" applyNumberFormat="1" applyFont="1" applyBorder="1" applyAlignment="1">
      <alignment vertical="center"/>
    </xf>
    <xf numFmtId="176" fontId="37" fillId="0" borderId="9" xfId="0" applyNumberFormat="1" applyFont="1" applyBorder="1" applyAlignment="1">
      <alignment vertical="center"/>
    </xf>
    <xf numFmtId="176" fontId="37" fillId="7" borderId="9" xfId="0" applyNumberFormat="1" applyFont="1" applyFill="1" applyBorder="1" applyAlignment="1">
      <alignment vertical="center"/>
    </xf>
    <xf numFmtId="176" fontId="37" fillId="0" borderId="55" xfId="0" applyNumberFormat="1" applyFont="1" applyFill="1" applyBorder="1" applyAlignment="1">
      <alignment vertical="center"/>
    </xf>
    <xf numFmtId="181" fontId="37" fillId="0" borderId="45" xfId="0" applyNumberFormat="1" applyFont="1" applyFill="1" applyBorder="1" applyAlignment="1">
      <alignment vertical="center"/>
    </xf>
    <xf numFmtId="181" fontId="37" fillId="0" borderId="2" xfId="0" applyNumberFormat="1" applyFont="1" applyFill="1" applyBorder="1" applyAlignment="1">
      <alignment vertical="center"/>
    </xf>
    <xf numFmtId="181" fontId="37" fillId="0" borderId="57" xfId="0" applyNumberFormat="1" applyFont="1" applyFill="1" applyBorder="1" applyAlignment="1">
      <alignment vertical="center"/>
    </xf>
    <xf numFmtId="38" fontId="37" fillId="0" borderId="5" xfId="2" applyFont="1" applyBorder="1" applyAlignment="1">
      <alignment vertical="center"/>
    </xf>
    <xf numFmtId="176" fontId="37" fillId="0" borderId="43" xfId="0" applyNumberFormat="1" applyFont="1" applyFill="1" applyBorder="1" applyAlignment="1">
      <alignment vertical="center"/>
    </xf>
    <xf numFmtId="176" fontId="37" fillId="0" borderId="9" xfId="0" applyNumberFormat="1" applyFont="1" applyFill="1" applyBorder="1" applyAlignment="1">
      <alignment vertical="center"/>
    </xf>
    <xf numFmtId="176" fontId="37" fillId="0" borderId="32" xfId="0" applyNumberFormat="1" applyFont="1" applyFill="1" applyBorder="1" applyAlignment="1">
      <alignment vertical="center"/>
    </xf>
    <xf numFmtId="176" fontId="37" fillId="7" borderId="11" xfId="0" applyNumberFormat="1" applyFont="1" applyFill="1" applyBorder="1" applyAlignment="1">
      <alignment vertical="center"/>
    </xf>
    <xf numFmtId="176" fontId="37" fillId="0" borderId="11" xfId="0" applyNumberFormat="1" applyFont="1" applyFill="1" applyBorder="1" applyAlignment="1">
      <alignment vertical="center"/>
    </xf>
    <xf numFmtId="176" fontId="37" fillId="0" borderId="54" xfId="0" applyNumberFormat="1" applyFont="1" applyFill="1" applyBorder="1" applyAlignment="1">
      <alignment vertical="center"/>
    </xf>
    <xf numFmtId="176" fontId="37" fillId="0" borderId="42" xfId="0" applyNumberFormat="1" applyFont="1" applyFill="1" applyBorder="1" applyAlignment="1">
      <alignment vertical="center"/>
    </xf>
    <xf numFmtId="176" fontId="37" fillId="0" borderId="8" xfId="0" applyNumberFormat="1" applyFont="1" applyFill="1" applyBorder="1" applyAlignment="1">
      <alignment vertical="center"/>
    </xf>
    <xf numFmtId="176" fontId="37" fillId="0" borderId="44" xfId="0" applyNumberFormat="1" applyFont="1" applyFill="1" applyBorder="1" applyAlignment="1">
      <alignment vertical="center"/>
    </xf>
    <xf numFmtId="176" fontId="37" fillId="0" borderId="4" xfId="0" applyNumberFormat="1" applyFont="1" applyFill="1" applyBorder="1" applyAlignment="1">
      <alignment vertical="center"/>
    </xf>
    <xf numFmtId="181" fontId="37" fillId="0" borderId="67" xfId="0" applyNumberFormat="1" applyFont="1" applyFill="1" applyBorder="1" applyAlignment="1">
      <alignment vertical="center"/>
    </xf>
    <xf numFmtId="181" fontId="37" fillId="0" borderId="69" xfId="0" applyNumberFormat="1" applyFont="1" applyFill="1" applyBorder="1" applyAlignment="1">
      <alignment vertical="center"/>
    </xf>
    <xf numFmtId="181" fontId="37" fillId="0" borderId="70" xfId="0" applyNumberFormat="1" applyFont="1" applyFill="1" applyBorder="1" applyAlignment="1">
      <alignment vertical="center"/>
    </xf>
    <xf numFmtId="176" fontId="37" fillId="2" borderId="54" xfId="0" applyNumberFormat="1" applyFont="1" applyFill="1" applyBorder="1" applyAlignment="1">
      <alignment vertical="center"/>
    </xf>
    <xf numFmtId="181" fontId="37" fillId="0" borderId="44" xfId="0" applyNumberFormat="1" applyFont="1" applyFill="1" applyBorder="1" applyAlignment="1">
      <alignment vertical="center"/>
    </xf>
    <xf numFmtId="181" fontId="37" fillId="0" borderId="4" xfId="0" applyNumberFormat="1" applyFont="1" applyFill="1" applyBorder="1" applyAlignment="1">
      <alignment vertical="center"/>
    </xf>
    <xf numFmtId="176" fontId="37" fillId="2" borderId="4" xfId="0" applyNumberFormat="1" applyFont="1" applyFill="1" applyBorder="1" applyAlignment="1">
      <alignment vertical="center"/>
    </xf>
    <xf numFmtId="176" fontId="37" fillId="2" borderId="55" xfId="0" applyNumberFormat="1" applyFont="1" applyFill="1" applyBorder="1" applyAlignment="1">
      <alignment vertical="center"/>
    </xf>
    <xf numFmtId="181" fontId="37" fillId="0" borderId="6" xfId="0" applyNumberFormat="1" applyFont="1" applyFill="1" applyBorder="1" applyAlignment="1">
      <alignment vertical="center"/>
    </xf>
    <xf numFmtId="181" fontId="37" fillId="2" borderId="6" xfId="0" applyNumberFormat="1" applyFont="1" applyFill="1" applyBorder="1" applyAlignment="1">
      <alignment vertical="center"/>
    </xf>
    <xf numFmtId="181" fontId="37" fillId="2" borderId="57" xfId="0" applyNumberFormat="1" applyFont="1" applyFill="1" applyBorder="1" applyAlignment="1">
      <alignment vertical="center"/>
    </xf>
    <xf numFmtId="181" fontId="37" fillId="0" borderId="52" xfId="0" applyNumberFormat="1" applyFont="1" applyFill="1" applyBorder="1" applyAlignment="1">
      <alignment vertical="center"/>
    </xf>
    <xf numFmtId="181" fontId="37" fillId="0" borderId="67" xfId="0" applyNumberFormat="1" applyFont="1" applyBorder="1" applyAlignment="1">
      <alignment vertical="center"/>
    </xf>
    <xf numFmtId="181" fontId="37" fillId="0" borderId="6" xfId="0" applyNumberFormat="1" applyFont="1" applyBorder="1" applyAlignment="1">
      <alignment vertical="center"/>
    </xf>
    <xf numFmtId="181" fontId="37" fillId="0" borderId="57" xfId="0" applyNumberFormat="1" applyFont="1" applyBorder="1" applyAlignment="1">
      <alignment vertical="center"/>
    </xf>
    <xf numFmtId="176" fontId="37" fillId="0" borderId="44" xfId="0" applyNumberFormat="1" applyFont="1" applyBorder="1" applyAlignment="1">
      <alignment vertical="center"/>
    </xf>
    <xf numFmtId="176" fontId="37" fillId="0" borderId="4" xfId="0" applyNumberFormat="1" applyFont="1" applyBorder="1" applyAlignment="1">
      <alignment vertical="center"/>
    </xf>
    <xf numFmtId="176" fontId="37" fillId="0" borderId="55" xfId="0" applyNumberFormat="1" applyFont="1" applyBorder="1" applyAlignment="1">
      <alignment vertical="center"/>
    </xf>
    <xf numFmtId="181" fontId="37" fillId="0" borderId="4" xfId="0" applyNumberFormat="1" applyFont="1" applyBorder="1" applyAlignment="1">
      <alignment vertical="center"/>
    </xf>
    <xf numFmtId="194" fontId="0" fillId="0" borderId="0" xfId="0" applyNumberFormat="1"/>
    <xf numFmtId="181" fontId="37" fillId="0" borderId="32" xfId="0" applyNumberFormat="1" applyFont="1" applyBorder="1" applyAlignment="1">
      <alignment vertical="center"/>
    </xf>
    <xf numFmtId="181" fontId="37" fillId="0" borderId="11" xfId="0" applyNumberFormat="1" applyFont="1" applyBorder="1" applyAlignment="1">
      <alignment vertical="center"/>
    </xf>
    <xf numFmtId="181" fontId="37" fillId="0" borderId="54" xfId="0" applyNumberFormat="1" applyFont="1" applyBorder="1" applyAlignment="1">
      <alignment vertical="center"/>
    </xf>
    <xf numFmtId="0" fontId="0" fillId="0" borderId="0" xfId="0" applyBorder="1"/>
    <xf numFmtId="0" fontId="37" fillId="0" borderId="58" xfId="0" applyNumberFormat="1" applyFont="1" applyBorder="1" applyAlignment="1">
      <alignment horizontal="center" vertical="center"/>
    </xf>
    <xf numFmtId="0" fontId="37" fillId="0" borderId="43" xfId="0" applyNumberFormat="1" applyFont="1" applyBorder="1" applyAlignment="1">
      <alignment horizontal="center" vertical="center"/>
    </xf>
    <xf numFmtId="0" fontId="37" fillId="0" borderId="9" xfId="0" applyNumberFormat="1" applyFont="1" applyBorder="1" applyAlignment="1">
      <alignment vertical="center"/>
    </xf>
    <xf numFmtId="0" fontId="37" fillId="0" borderId="3" xfId="0" applyNumberFormat="1" applyFont="1" applyBorder="1" applyAlignment="1">
      <alignment vertical="center"/>
    </xf>
    <xf numFmtId="0" fontId="37" fillId="0" borderId="51" xfId="0" applyNumberFormat="1" applyFont="1" applyBorder="1" applyAlignment="1">
      <alignment horizontal="center" vertical="center"/>
    </xf>
    <xf numFmtId="0" fontId="38" fillId="0" borderId="10" xfId="0" applyNumberFormat="1" applyFont="1" applyBorder="1" applyAlignment="1">
      <alignment vertical="center"/>
    </xf>
    <xf numFmtId="0" fontId="38" fillId="0" borderId="71" xfId="0" applyNumberFormat="1" applyFont="1" applyBorder="1" applyAlignment="1">
      <alignment horizontal="center" vertical="center"/>
    </xf>
    <xf numFmtId="0" fontId="37" fillId="0" borderId="72" xfId="0" applyNumberFormat="1" applyFont="1" applyBorder="1" applyAlignment="1">
      <alignment horizontal="center" vertical="center"/>
    </xf>
    <xf numFmtId="0" fontId="38" fillId="0" borderId="76" xfId="0" applyNumberFormat="1" applyFont="1" applyBorder="1" applyAlignment="1">
      <alignment vertical="center"/>
    </xf>
    <xf numFmtId="0" fontId="38" fillId="0" borderId="49" xfId="0" applyNumberFormat="1" applyFont="1" applyBorder="1" applyAlignment="1">
      <alignment horizontal="center" vertical="center"/>
    </xf>
    <xf numFmtId="0" fontId="38" fillId="0" borderId="0" xfId="0" applyNumberFormat="1" applyFont="1"/>
    <xf numFmtId="0" fontId="38" fillId="0" borderId="0" xfId="0" applyFont="1"/>
    <xf numFmtId="0" fontId="37" fillId="0" borderId="0" xfId="0" applyNumberFormat="1" applyFont="1" applyAlignment="1">
      <alignment vertical="center"/>
    </xf>
    <xf numFmtId="0" fontId="32" fillId="0" borderId="0" xfId="0" applyFont="1" applyAlignment="1">
      <alignment horizontal="right"/>
    </xf>
    <xf numFmtId="0" fontId="41" fillId="0" borderId="0" xfId="3" applyFont="1" applyFill="1"/>
    <xf numFmtId="0" fontId="41" fillId="0" borderId="0" xfId="3" applyNumberFormat="1" applyFont="1" applyFill="1"/>
    <xf numFmtId="0" fontId="42" fillId="0" borderId="0" xfId="3" applyNumberFormat="1" applyFont="1" applyFill="1"/>
    <xf numFmtId="0" fontId="42" fillId="0" borderId="0" xfId="3" applyFont="1" applyFill="1"/>
    <xf numFmtId="0" fontId="42" fillId="0" borderId="0" xfId="3" applyNumberFormat="1" applyFont="1" applyFill="1" applyAlignment="1">
      <alignment horizontal="center"/>
    </xf>
    <xf numFmtId="0" fontId="41" fillId="0" borderId="0" xfId="3" applyFont="1" applyFill="1" applyAlignment="1">
      <alignment horizontal="center"/>
    </xf>
    <xf numFmtId="0" fontId="42" fillId="0" borderId="0" xfId="3" applyFont="1" applyFill="1" applyAlignment="1">
      <alignment horizontal="center"/>
    </xf>
    <xf numFmtId="0" fontId="41" fillId="0" borderId="0" xfId="3" applyNumberFormat="1" applyFont="1" applyFill="1" applyAlignment="1">
      <alignment horizontal="center"/>
    </xf>
    <xf numFmtId="178" fontId="43" fillId="0" borderId="0" xfId="3" applyNumberFormat="1" applyFont="1" applyFill="1" applyAlignment="1">
      <alignment horizontal="left" vertical="center"/>
    </xf>
    <xf numFmtId="0" fontId="42" fillId="0" borderId="0" xfId="3" applyNumberFormat="1" applyFont="1" applyFill="1" applyAlignment="1">
      <alignment horizontal="center" vertical="center"/>
    </xf>
    <xf numFmtId="0" fontId="44" fillId="0" borderId="0" xfId="3" applyFont="1" applyFill="1" applyAlignment="1">
      <alignment horizontal="center"/>
    </xf>
    <xf numFmtId="0" fontId="43" fillId="0" borderId="0" xfId="3" applyFont="1" applyFill="1" applyAlignment="1">
      <alignment horizontal="center"/>
    </xf>
    <xf numFmtId="189" fontId="41" fillId="0" borderId="0" xfId="3" applyNumberFormat="1" applyFont="1" applyFill="1" applyAlignment="1">
      <alignment horizontal="center"/>
    </xf>
    <xf numFmtId="189" fontId="42" fillId="0" borderId="0" xfId="3" applyNumberFormat="1" applyFont="1" applyFill="1" applyAlignment="1">
      <alignment horizontal="center"/>
    </xf>
    <xf numFmtId="0" fontId="45" fillId="0" borderId="0" xfId="3" applyNumberFormat="1" applyFont="1" applyFill="1" applyAlignment="1">
      <alignment horizontal="center"/>
    </xf>
    <xf numFmtId="0" fontId="45" fillId="0" borderId="0" xfId="3" applyFont="1" applyFill="1" applyAlignment="1">
      <alignment horizontal="center"/>
    </xf>
    <xf numFmtId="0" fontId="45" fillId="0" borderId="0" xfId="3" applyNumberFormat="1" applyFont="1" applyFill="1" applyAlignment="1">
      <alignment horizontal="distributed"/>
    </xf>
    <xf numFmtId="0" fontId="45" fillId="0" borderId="0" xfId="3" applyNumberFormat="1" applyFont="1" applyFill="1"/>
    <xf numFmtId="0" fontId="46" fillId="0" borderId="0" xfId="3" applyFont="1" applyFill="1" applyAlignment="1">
      <alignment horizontal="center"/>
    </xf>
    <xf numFmtId="0" fontId="44" fillId="0" borderId="0" xfId="3" applyNumberFormat="1" applyFont="1" applyFill="1" applyAlignment="1">
      <alignment horizontal="center"/>
    </xf>
    <xf numFmtId="0" fontId="46" fillId="0" borderId="0" xfId="3" applyNumberFormat="1" applyFont="1" applyFill="1" applyAlignment="1">
      <alignment horizontal="left" vertical="top"/>
    </xf>
    <xf numFmtId="0" fontId="46" fillId="0" borderId="0" xfId="3" applyNumberFormat="1" applyFont="1" applyFill="1" applyAlignment="1">
      <alignment horizontal="left"/>
    </xf>
    <xf numFmtId="0" fontId="46" fillId="0" borderId="0" xfId="3" applyNumberFormat="1" applyFont="1" applyFill="1"/>
    <xf numFmtId="0" fontId="46" fillId="0" borderId="0" xfId="3" applyNumberFormat="1" applyFont="1" applyFill="1" applyAlignment="1">
      <alignment horizontal="distributed"/>
    </xf>
    <xf numFmtId="0" fontId="46" fillId="0" borderId="0" xfId="3" quotePrefix="1" applyNumberFormat="1" applyFont="1" applyFill="1" applyAlignment="1">
      <alignment horizontal="center"/>
    </xf>
    <xf numFmtId="0" fontId="41" fillId="0" borderId="0" xfId="3" applyNumberFormat="1" applyFont="1" applyFill="1" applyAlignment="1">
      <alignment horizontal="left"/>
    </xf>
    <xf numFmtId="0" fontId="47" fillId="0" borderId="0" xfId="3" applyNumberFormat="1" applyFont="1" applyFill="1" applyAlignment="1">
      <alignment horizontal="center"/>
    </xf>
    <xf numFmtId="49" fontId="46" fillId="0" borderId="0" xfId="3" applyNumberFormat="1" applyFont="1" applyFill="1" applyAlignment="1">
      <alignment horizontal="center"/>
    </xf>
    <xf numFmtId="49" fontId="46" fillId="0" borderId="0" xfId="3" quotePrefix="1" applyNumberFormat="1" applyFont="1" applyFill="1" applyAlignment="1">
      <alignment horizontal="center"/>
    </xf>
    <xf numFmtId="0" fontId="47" fillId="0" borderId="0" xfId="3" applyNumberFormat="1" applyFont="1" applyFill="1" applyAlignment="1">
      <alignment horizontal="left"/>
    </xf>
    <xf numFmtId="0" fontId="44" fillId="0" borderId="0" xfId="3" applyFont="1" applyFill="1" applyBorder="1"/>
    <xf numFmtId="0" fontId="41" fillId="0" borderId="0" xfId="3" applyFont="1" applyFill="1" applyBorder="1"/>
    <xf numFmtId="0" fontId="44" fillId="0" borderId="0" xfId="3" applyNumberFormat="1" applyFont="1" applyFill="1" applyBorder="1" applyAlignment="1">
      <alignment horizontal="center"/>
    </xf>
    <xf numFmtId="0" fontId="44" fillId="0" borderId="0" xfId="3" applyNumberFormat="1" applyFont="1" applyFill="1" applyBorder="1" applyAlignment="1">
      <alignment horizontal="left"/>
    </xf>
    <xf numFmtId="0" fontId="41" fillId="0" borderId="0" xfId="3" applyFont="1" applyFill="1" applyAlignment="1">
      <alignment vertical="top"/>
    </xf>
    <xf numFmtId="0" fontId="41" fillId="0" borderId="0" xfId="3" applyFont="1" applyFill="1" applyBorder="1" applyAlignment="1">
      <alignment vertical="top"/>
    </xf>
    <xf numFmtId="0" fontId="44" fillId="0" borderId="0" xfId="3" applyNumberFormat="1" applyFont="1" applyFill="1" applyBorder="1" applyAlignment="1">
      <alignment horizontal="center" vertical="top"/>
    </xf>
    <xf numFmtId="0" fontId="44" fillId="0" borderId="0" xfId="3" applyNumberFormat="1" applyFont="1" applyFill="1" applyBorder="1" applyAlignment="1">
      <alignment horizontal="left" vertical="top"/>
    </xf>
    <xf numFmtId="0" fontId="44" fillId="0" borderId="0" xfId="3" applyNumberFormat="1" applyFont="1" applyFill="1" applyAlignment="1">
      <alignment horizontal="center" vertical="top"/>
    </xf>
    <xf numFmtId="0" fontId="48" fillId="0" borderId="0" xfId="3" applyNumberFormat="1" applyFont="1" applyFill="1" applyAlignment="1">
      <alignment horizontal="center" vertical="top"/>
    </xf>
    <xf numFmtId="0" fontId="44" fillId="0" borderId="0" xfId="3" applyFont="1" applyFill="1" applyAlignment="1">
      <alignment horizontal="center" vertical="top"/>
    </xf>
    <xf numFmtId="0" fontId="50" fillId="0" borderId="0" xfId="3" applyNumberFormat="1" applyFont="1" applyFill="1" applyAlignment="1">
      <alignment horizontal="center" vertical="top"/>
    </xf>
    <xf numFmtId="0" fontId="41" fillId="0" borderId="0" xfId="3" applyNumberFormat="1" applyFont="1" applyFill="1" applyAlignment="1">
      <alignment horizontal="center" vertical="top"/>
    </xf>
    <xf numFmtId="0" fontId="41" fillId="0" borderId="0" xfId="3" applyNumberFormat="1" applyFont="1" applyFill="1" applyAlignment="1">
      <alignment vertical="top"/>
    </xf>
    <xf numFmtId="0" fontId="51" fillId="0" borderId="0" xfId="3" applyFont="1" applyFill="1" applyBorder="1" applyAlignment="1">
      <alignment vertical="center"/>
    </xf>
    <xf numFmtId="179" fontId="52" fillId="0" borderId="0" xfId="1" applyNumberFormat="1" applyFont="1" applyFill="1" applyBorder="1" applyAlignment="1">
      <alignment horizontal="right" vertical="top"/>
    </xf>
    <xf numFmtId="176" fontId="42" fillId="0" borderId="0" xfId="3" applyNumberFormat="1" applyFont="1" applyFill="1" applyBorder="1" applyAlignment="1">
      <alignment horizontal="right" vertical="center"/>
    </xf>
    <xf numFmtId="0" fontId="42" fillId="0" borderId="0" xfId="3" applyNumberFormat="1" applyFont="1" applyFill="1" applyBorder="1" applyAlignment="1">
      <alignment horizontal="distributed" vertical="center"/>
    </xf>
    <xf numFmtId="178" fontId="42" fillId="0" borderId="0" xfId="1" applyNumberFormat="1" applyFont="1" applyFill="1" applyBorder="1" applyAlignment="1">
      <alignment horizontal="right" vertical="center"/>
    </xf>
    <xf numFmtId="0" fontId="42" fillId="0" borderId="0" xfId="3" applyNumberFormat="1" applyFont="1" applyFill="1" applyBorder="1" applyAlignment="1">
      <alignment horizontal="distributed" vertical="center" wrapText="1"/>
    </xf>
    <xf numFmtId="178" fontId="44" fillId="0" borderId="11" xfId="1" applyNumberFormat="1" applyFont="1" applyFill="1" applyBorder="1" applyAlignment="1">
      <alignment vertical="center"/>
    </xf>
    <xf numFmtId="0" fontId="44" fillId="0" borderId="8" xfId="3" applyNumberFormat="1" applyFont="1" applyFill="1" applyBorder="1" applyAlignment="1">
      <alignment horizontal="distributed" vertical="center"/>
    </xf>
    <xf numFmtId="178" fontId="44" fillId="0" borderId="19" xfId="1" applyNumberFormat="1" applyFont="1" applyFill="1" applyBorder="1" applyAlignment="1">
      <alignment horizontal="right" vertical="center"/>
    </xf>
    <xf numFmtId="178" fontId="44" fillId="0" borderId="20" xfId="1" applyNumberFormat="1" applyFont="1" applyFill="1" applyBorder="1" applyAlignment="1">
      <alignment vertical="center"/>
    </xf>
    <xf numFmtId="0" fontId="44" fillId="0" borderId="7" xfId="3" applyNumberFormat="1" applyFont="1" applyFill="1" applyBorder="1" applyAlignment="1">
      <alignment horizontal="distributed" vertical="center"/>
    </xf>
    <xf numFmtId="178" fontId="44" fillId="0" borderId="21" xfId="1" applyNumberFormat="1" applyFont="1" applyFill="1" applyBorder="1" applyAlignment="1">
      <alignment horizontal="right" vertical="center"/>
    </xf>
    <xf numFmtId="0" fontId="41" fillId="0" borderId="20" xfId="3" applyNumberFormat="1" applyFont="1" applyFill="1" applyBorder="1"/>
    <xf numFmtId="178" fontId="44" fillId="0" borderId="6" xfId="1" applyNumberFormat="1" applyFont="1" applyFill="1" applyBorder="1" applyAlignment="1">
      <alignment vertical="center"/>
    </xf>
    <xf numFmtId="0" fontId="44" fillId="0" borderId="0" xfId="3" applyFont="1" applyFill="1"/>
    <xf numFmtId="178" fontId="44" fillId="0" borderId="18" xfId="1" applyNumberFormat="1" applyFont="1" applyFill="1" applyBorder="1" applyAlignment="1">
      <alignment horizontal="right" vertical="center"/>
    </xf>
    <xf numFmtId="0" fontId="44" fillId="0" borderId="1" xfId="3" applyFont="1" applyFill="1" applyBorder="1" applyAlignment="1">
      <alignment horizontal="distributed" vertical="center"/>
    </xf>
    <xf numFmtId="0" fontId="44" fillId="0" borderId="11" xfId="3" applyFont="1" applyFill="1" applyBorder="1"/>
    <xf numFmtId="0" fontId="44" fillId="0" borderId="23" xfId="3" applyNumberFormat="1" applyFont="1" applyFill="1" applyBorder="1" applyAlignment="1">
      <alignment horizontal="distributed" vertical="center"/>
    </xf>
    <xf numFmtId="0" fontId="44" fillId="0" borderId="2" xfId="3" applyNumberFormat="1" applyFont="1" applyFill="1" applyBorder="1" applyAlignment="1">
      <alignment horizontal="distributed" vertical="center"/>
    </xf>
    <xf numFmtId="0" fontId="41" fillId="0" borderId="0" xfId="3" applyNumberFormat="1" applyFont="1" applyFill="1" applyAlignment="1">
      <alignment vertical="center"/>
    </xf>
    <xf numFmtId="0" fontId="44" fillId="0" borderId="11" xfId="3" applyNumberFormat="1" applyFont="1" applyFill="1" applyBorder="1" applyAlignment="1">
      <alignment vertical="center"/>
    </xf>
    <xf numFmtId="0" fontId="44" fillId="0" borderId="13" xfId="3" applyNumberFormat="1" applyFont="1" applyFill="1" applyBorder="1" applyAlignment="1">
      <alignment vertical="center"/>
    </xf>
    <xf numFmtId="0" fontId="44" fillId="0" borderId="17" xfId="3" applyNumberFormat="1" applyFont="1" applyFill="1" applyBorder="1" applyAlignment="1">
      <alignment vertical="center"/>
    </xf>
    <xf numFmtId="0" fontId="44" fillId="0" borderId="10" xfId="3" applyNumberFormat="1" applyFont="1" applyFill="1" applyBorder="1" applyAlignment="1">
      <alignment vertical="center"/>
    </xf>
    <xf numFmtId="0" fontId="44" fillId="0" borderId="6" xfId="3" applyNumberFormat="1" applyFont="1" applyFill="1" applyBorder="1" applyAlignment="1">
      <alignment vertical="center"/>
    </xf>
    <xf numFmtId="0" fontId="44" fillId="0" borderId="14" xfId="3" applyNumberFormat="1" applyFont="1" applyFill="1" applyBorder="1" applyAlignment="1">
      <alignment vertical="center"/>
    </xf>
    <xf numFmtId="0" fontId="44" fillId="0" borderId="16" xfId="3" applyNumberFormat="1" applyFont="1" applyFill="1" applyBorder="1" applyAlignment="1">
      <alignment vertical="center"/>
    </xf>
    <xf numFmtId="0" fontId="44" fillId="0" borderId="5" xfId="3" applyNumberFormat="1" applyFont="1" applyFill="1" applyBorder="1" applyAlignment="1">
      <alignment vertical="center"/>
    </xf>
    <xf numFmtId="0" fontId="41" fillId="0" borderId="0" xfId="3" applyNumberFormat="1" applyFont="1" applyFill="1" applyAlignment="1">
      <alignment horizontal="right" vertical="center"/>
    </xf>
    <xf numFmtId="0" fontId="42" fillId="0" borderId="0" xfId="3" applyNumberFormat="1" applyFont="1" applyFill="1" applyAlignment="1">
      <alignment horizontal="right"/>
    </xf>
    <xf numFmtId="0" fontId="53" fillId="0" borderId="0" xfId="3" applyFont="1" applyFill="1"/>
    <xf numFmtId="0" fontId="54" fillId="0" borderId="0" xfId="3" applyNumberFormat="1" applyFont="1" applyFill="1" applyAlignment="1">
      <alignment vertical="center"/>
    </xf>
    <xf numFmtId="0" fontId="41" fillId="0" borderId="0" xfId="3" applyFont="1" applyFill="1" applyBorder="1" applyAlignment="1">
      <alignment vertical="center"/>
    </xf>
    <xf numFmtId="58" fontId="41" fillId="0" borderId="0" xfId="3" applyNumberFormat="1" applyFont="1" applyFill="1" applyBorder="1" applyAlignment="1">
      <alignment horizontal="left" vertical="center"/>
    </xf>
    <xf numFmtId="58" fontId="42" fillId="0" borderId="0" xfId="3" applyNumberFormat="1" applyFont="1" applyFill="1" applyBorder="1" applyAlignment="1">
      <alignment horizontal="left" vertical="center"/>
    </xf>
    <xf numFmtId="0" fontId="22" fillId="0" borderId="0" xfId="8" applyFont="1"/>
    <xf numFmtId="0" fontId="55" fillId="0" borderId="0" xfId="8" applyFont="1"/>
    <xf numFmtId="0" fontId="57" fillId="0" borderId="0" xfId="0" applyFont="1"/>
    <xf numFmtId="0" fontId="57" fillId="0" borderId="0" xfId="0" applyFont="1" applyFill="1"/>
    <xf numFmtId="0" fontId="44" fillId="0" borderId="0" xfId="0" applyFont="1" applyFill="1"/>
    <xf numFmtId="0" fontId="44" fillId="0" borderId="0" xfId="0" applyFont="1"/>
    <xf numFmtId="0" fontId="59" fillId="0" borderId="0" xfId="8" applyFont="1"/>
    <xf numFmtId="0" fontId="44" fillId="0" borderId="0" xfId="8" applyFont="1"/>
    <xf numFmtId="0" fontId="44" fillId="0" borderId="0" xfId="8" applyFont="1" applyFill="1"/>
    <xf numFmtId="0" fontId="35" fillId="0" borderId="0" xfId="0" applyFont="1"/>
    <xf numFmtId="0" fontId="59" fillId="0" borderId="0" xfId="8" applyFont="1" applyAlignment="1">
      <alignment horizontal="left" vertical="top" wrapText="1"/>
    </xf>
    <xf numFmtId="0" fontId="35" fillId="0" borderId="0" xfId="8" applyFont="1"/>
    <xf numFmtId="0" fontId="35" fillId="0" borderId="0" xfId="8" applyFont="1" applyAlignment="1">
      <alignment horizontal="left"/>
    </xf>
    <xf numFmtId="0" fontId="44" fillId="0" borderId="0" xfId="8" applyFont="1" applyAlignment="1">
      <alignment horizontal="right"/>
    </xf>
    <xf numFmtId="0" fontId="16" fillId="0" borderId="0" xfId="8" applyFont="1"/>
    <xf numFmtId="0" fontId="57" fillId="0" borderId="0" xfId="8" applyFont="1" applyFill="1"/>
    <xf numFmtId="0" fontId="59" fillId="0" borderId="0" xfId="8" applyFont="1" applyFill="1"/>
    <xf numFmtId="0" fontId="16" fillId="0" borderId="0" xfId="8" applyFont="1" applyFill="1"/>
    <xf numFmtId="0" fontId="60" fillId="0" borderId="0" xfId="8" applyFont="1"/>
    <xf numFmtId="0" fontId="44" fillId="0" borderId="0" xfId="8" applyFont="1" applyFill="1" applyAlignment="1">
      <alignment vertical="center"/>
    </xf>
    <xf numFmtId="0" fontId="44" fillId="0" borderId="0" xfId="8" applyFont="1" applyFill="1" applyAlignment="1"/>
    <xf numFmtId="0" fontId="22" fillId="0" borderId="11" xfId="8" applyFont="1" applyFill="1" applyBorder="1"/>
    <xf numFmtId="0" fontId="22" fillId="0" borderId="13" xfId="8" applyFont="1" applyFill="1" applyBorder="1" applyAlignment="1">
      <alignment horizontal="left" vertical="distributed" wrapText="1" indent="1"/>
    </xf>
    <xf numFmtId="0" fontId="22" fillId="0" borderId="13" xfId="8" applyFont="1" applyFill="1" applyBorder="1"/>
    <xf numFmtId="0" fontId="22" fillId="0" borderId="10" xfId="8" applyFont="1" applyFill="1" applyBorder="1"/>
    <xf numFmtId="0" fontId="22" fillId="0" borderId="20" xfId="8" applyFont="1" applyFill="1" applyBorder="1"/>
    <xf numFmtId="0" fontId="22" fillId="0" borderId="0" xfId="8" applyFont="1" applyFill="1" applyBorder="1" applyAlignment="1">
      <alignment horizontal="left" vertical="distributed" wrapText="1" indent="1"/>
    </xf>
    <xf numFmtId="0" fontId="22" fillId="0" borderId="0" xfId="8" applyFont="1" applyFill="1" applyBorder="1"/>
    <xf numFmtId="0" fontId="22" fillId="0" borderId="1" xfId="8" applyFont="1" applyFill="1" applyBorder="1"/>
    <xf numFmtId="0" fontId="24" fillId="0" borderId="0" xfId="8" applyFont="1" applyFill="1" applyBorder="1" applyAlignment="1">
      <alignment horizontal="center" vertical="center"/>
    </xf>
    <xf numFmtId="0" fontId="22" fillId="0" borderId="0" xfId="8" applyFont="1" applyFill="1" applyBorder="1" applyAlignment="1">
      <alignment horizontal="center" vertical="center"/>
    </xf>
    <xf numFmtId="0" fontId="22" fillId="0" borderId="11" xfId="8" applyFont="1" applyFill="1" applyBorder="1" applyAlignment="1">
      <alignment horizontal="left" vertical="distributed" wrapText="1" indent="1"/>
    </xf>
    <xf numFmtId="0" fontId="22" fillId="0" borderId="10" xfId="8" applyFont="1" applyFill="1" applyBorder="1" applyAlignment="1">
      <alignment horizontal="left" vertical="distributed" wrapText="1" indent="1"/>
    </xf>
    <xf numFmtId="0" fontId="22" fillId="0" borderId="6" xfId="8" applyFont="1" applyFill="1" applyBorder="1"/>
    <xf numFmtId="0" fontId="22" fillId="0" borderId="14" xfId="8" applyFont="1" applyFill="1" applyBorder="1"/>
    <xf numFmtId="0" fontId="22" fillId="0" borderId="5" xfId="8" applyFont="1" applyFill="1" applyBorder="1"/>
    <xf numFmtId="0" fontId="23" fillId="0" borderId="0" xfId="8" applyFont="1" applyFill="1" applyBorder="1" applyAlignment="1">
      <alignment horizontal="center"/>
    </xf>
    <xf numFmtId="0" fontId="63" fillId="0" borderId="0" xfId="8" applyFont="1" applyAlignment="1">
      <alignment vertical="center"/>
    </xf>
    <xf numFmtId="0" fontId="63" fillId="0" borderId="0" xfId="8" applyFont="1"/>
    <xf numFmtId="38" fontId="63" fillId="0" borderId="9" xfId="8" applyNumberFormat="1" applyFont="1" applyBorder="1" applyAlignment="1">
      <alignment vertical="center"/>
    </xf>
    <xf numFmtId="0" fontId="63" fillId="0" borderId="9" xfId="8" applyFont="1" applyBorder="1" applyAlignment="1">
      <alignment vertical="center"/>
    </xf>
    <xf numFmtId="38" fontId="63" fillId="0" borderId="9" xfId="9" applyFont="1" applyBorder="1" applyAlignment="1">
      <alignment vertical="center"/>
    </xf>
    <xf numFmtId="0" fontId="45" fillId="0" borderId="0" xfId="8" applyFont="1" applyAlignment="1">
      <alignment vertical="center"/>
    </xf>
    <xf numFmtId="0" fontId="64" fillId="0" borderId="0" xfId="8" applyFont="1" applyAlignment="1">
      <alignment vertical="center"/>
    </xf>
    <xf numFmtId="0" fontId="65" fillId="0" borderId="0" xfId="8" applyFont="1" applyAlignment="1">
      <alignment vertical="center"/>
    </xf>
    <xf numFmtId="0" fontId="66" fillId="0" borderId="0" xfId="8" applyFont="1" applyAlignment="1">
      <alignment vertical="center"/>
    </xf>
    <xf numFmtId="0" fontId="66" fillId="0" borderId="0" xfId="8" applyFont="1" applyAlignment="1">
      <alignment horizontal="right" vertical="center"/>
    </xf>
    <xf numFmtId="186" fontId="42" fillId="0" borderId="0" xfId="8" applyNumberFormat="1" applyFont="1" applyBorder="1" applyAlignment="1">
      <alignment vertical="center"/>
    </xf>
    <xf numFmtId="0" fontId="67" fillId="0" borderId="0" xfId="8" applyFont="1" applyFill="1" applyAlignment="1">
      <alignment vertical="center"/>
    </xf>
    <xf numFmtId="0" fontId="45" fillId="0" borderId="0" xfId="8" applyFont="1" applyAlignment="1">
      <alignment horizontal="center" vertical="center"/>
    </xf>
    <xf numFmtId="191" fontId="45" fillId="0" borderId="0" xfId="8" applyNumberFormat="1" applyFont="1" applyBorder="1" applyAlignment="1">
      <alignment vertical="center"/>
    </xf>
    <xf numFmtId="191" fontId="42" fillId="0" borderId="0" xfId="8" applyNumberFormat="1" applyFont="1" applyBorder="1" applyAlignment="1">
      <alignment horizontal="right" vertical="center"/>
    </xf>
    <xf numFmtId="186" fontId="45" fillId="0" borderId="0" xfId="8" applyNumberFormat="1" applyFont="1" applyBorder="1" applyAlignment="1">
      <alignment vertical="center"/>
    </xf>
    <xf numFmtId="179" fontId="45" fillId="0" borderId="43" xfId="8" applyNumberFormat="1" applyFont="1" applyBorder="1" applyAlignment="1">
      <alignment vertical="center" shrinkToFit="1"/>
    </xf>
    <xf numFmtId="186" fontId="45" fillId="0" borderId="53" xfId="8" applyNumberFormat="1" applyFont="1" applyFill="1" applyBorder="1" applyAlignment="1">
      <alignment vertical="center" shrinkToFit="1"/>
    </xf>
    <xf numFmtId="190" fontId="65" fillId="0" borderId="48" xfId="8" applyNumberFormat="1" applyFont="1" applyBorder="1" applyAlignment="1">
      <alignment vertical="center"/>
    </xf>
    <xf numFmtId="179" fontId="65" fillId="0" borderId="47" xfId="8" applyNumberFormat="1" applyFont="1" applyBorder="1" applyAlignment="1">
      <alignment vertical="center"/>
    </xf>
    <xf numFmtId="186" fontId="65" fillId="0" borderId="47" xfId="8" applyNumberFormat="1" applyFont="1" applyFill="1" applyBorder="1" applyAlignment="1">
      <alignment vertical="center"/>
    </xf>
    <xf numFmtId="0" fontId="63" fillId="0" borderId="56" xfId="8" applyFont="1" applyBorder="1" applyAlignment="1">
      <alignment horizontal="distributed" vertical="center"/>
    </xf>
    <xf numFmtId="0" fontId="63" fillId="0" borderId="59" xfId="8" applyFont="1" applyBorder="1" applyAlignment="1">
      <alignment horizontal="center" vertical="center"/>
    </xf>
    <xf numFmtId="190" fontId="65" fillId="0" borderId="43" xfId="8" applyNumberFormat="1" applyFont="1" applyBorder="1" applyAlignment="1">
      <alignment vertical="center"/>
    </xf>
    <xf numFmtId="179" fontId="65" fillId="0" borderId="9" xfId="8" applyNumberFormat="1" applyFont="1" applyBorder="1" applyAlignment="1">
      <alignment vertical="center"/>
    </xf>
    <xf numFmtId="186" fontId="65" fillId="0" borderId="9" xfId="8" applyNumberFormat="1" applyFont="1" applyFill="1" applyBorder="1" applyAlignment="1">
      <alignment vertical="center"/>
    </xf>
    <xf numFmtId="0" fontId="63" fillId="0" borderId="43" xfId="8" applyFont="1" applyBorder="1" applyAlignment="1">
      <alignment horizontal="distributed" vertical="center"/>
    </xf>
    <xf numFmtId="0" fontId="63" fillId="0" borderId="1" xfId="8" applyFont="1" applyBorder="1" applyAlignment="1">
      <alignment horizontal="center" vertical="center"/>
    </xf>
    <xf numFmtId="179" fontId="45" fillId="0" borderId="42" xfId="8" applyNumberFormat="1" applyFont="1" applyBorder="1" applyAlignment="1">
      <alignment vertical="center" shrinkToFit="1"/>
    </xf>
    <xf numFmtId="186" fontId="45" fillId="0" borderId="51" xfId="8" applyNumberFormat="1" applyFont="1" applyFill="1" applyBorder="1" applyAlignment="1">
      <alignment vertical="center" shrinkToFit="1"/>
    </xf>
    <xf numFmtId="186" fontId="45" fillId="0" borderId="58" xfId="8" applyNumberFormat="1" applyFont="1" applyFill="1" applyBorder="1" applyAlignment="1">
      <alignment vertical="center" shrinkToFit="1"/>
    </xf>
    <xf numFmtId="179" fontId="65" fillId="0" borderId="8" xfId="8" applyNumberFormat="1" applyFont="1" applyBorder="1" applyAlignment="1">
      <alignment vertical="center"/>
    </xf>
    <xf numFmtId="186" fontId="65" fillId="0" borderId="8" xfId="8" applyNumberFormat="1" applyFont="1" applyFill="1" applyBorder="1" applyAlignment="1">
      <alignment vertical="center"/>
    </xf>
    <xf numFmtId="186" fontId="65" fillId="0" borderId="54" xfId="8" applyNumberFormat="1" applyFont="1" applyFill="1" applyBorder="1" applyAlignment="1">
      <alignment vertical="center"/>
    </xf>
    <xf numFmtId="186" fontId="45" fillId="0" borderId="55" xfId="8" applyNumberFormat="1" applyFont="1" applyFill="1" applyBorder="1" applyAlignment="1">
      <alignment vertical="center" shrinkToFit="1"/>
    </xf>
    <xf numFmtId="186" fontId="45" fillId="0" borderId="52" xfId="8" applyNumberFormat="1" applyFont="1" applyFill="1" applyBorder="1" applyAlignment="1">
      <alignment vertical="center" shrinkToFit="1"/>
    </xf>
    <xf numFmtId="186" fontId="65" fillId="0" borderId="53" xfId="8" applyNumberFormat="1" applyFont="1" applyFill="1" applyBorder="1" applyAlignment="1">
      <alignment vertical="center"/>
    </xf>
    <xf numFmtId="179" fontId="45" fillId="0" borderId="45" xfId="8" applyNumberFormat="1" applyFont="1" applyBorder="1" applyAlignment="1">
      <alignment vertical="center" shrinkToFit="1"/>
    </xf>
    <xf numFmtId="190" fontId="65" fillId="0" borderId="45" xfId="8" applyNumberFormat="1" applyFont="1" applyBorder="1" applyAlignment="1">
      <alignment horizontal="right" vertical="center"/>
    </xf>
    <xf numFmtId="179" fontId="65" fillId="0" borderId="2" xfId="8" applyNumberFormat="1" applyFont="1" applyBorder="1" applyAlignment="1">
      <alignment vertical="center"/>
    </xf>
    <xf numFmtId="186" fontId="65" fillId="0" borderId="2" xfId="8" applyNumberFormat="1" applyFont="1" applyFill="1" applyBorder="1" applyAlignment="1">
      <alignment vertical="center"/>
    </xf>
    <xf numFmtId="186" fontId="65" fillId="0" borderId="52" xfId="8" applyNumberFormat="1" applyFont="1" applyFill="1" applyBorder="1" applyAlignment="1">
      <alignment vertical="center"/>
    </xf>
    <xf numFmtId="190" fontId="65" fillId="0" borderId="45" xfId="8" applyNumberFormat="1" applyFont="1" applyBorder="1" applyAlignment="1">
      <alignment vertical="center"/>
    </xf>
    <xf numFmtId="186" fontId="65" fillId="0" borderId="55" xfId="8" applyNumberFormat="1" applyFont="1" applyFill="1" applyBorder="1" applyAlignment="1">
      <alignment vertical="center"/>
    </xf>
    <xf numFmtId="0" fontId="63" fillId="0" borderId="42" xfId="8" applyFont="1" applyBorder="1" applyAlignment="1">
      <alignment horizontal="distributed" vertical="center"/>
    </xf>
    <xf numFmtId="0" fontId="63" fillId="0" borderId="43" xfId="8" applyFont="1" applyBorder="1" applyAlignment="1">
      <alignment horizontal="distributed" vertical="center" wrapText="1"/>
    </xf>
    <xf numFmtId="190" fontId="65" fillId="0" borderId="42" xfId="8" applyNumberFormat="1" applyFont="1" applyBorder="1" applyAlignment="1">
      <alignment vertical="center"/>
    </xf>
    <xf numFmtId="0" fontId="63" fillId="0" borderId="45" xfId="8" applyFont="1" applyBorder="1" applyAlignment="1">
      <alignment horizontal="distributed" vertical="center"/>
    </xf>
    <xf numFmtId="186" fontId="45" fillId="0" borderId="51" xfId="8" applyNumberFormat="1" applyFont="1" applyBorder="1" applyAlignment="1">
      <alignment vertical="center" shrinkToFit="1"/>
    </xf>
    <xf numFmtId="186" fontId="65" fillId="0" borderId="8" xfId="8" applyNumberFormat="1" applyFont="1" applyBorder="1" applyAlignment="1">
      <alignment vertical="center"/>
    </xf>
    <xf numFmtId="38" fontId="63" fillId="0" borderId="0" xfId="9" applyFont="1" applyAlignment="1">
      <alignment vertical="center"/>
    </xf>
    <xf numFmtId="179" fontId="45" fillId="0" borderId="40" xfId="8" applyNumberFormat="1" applyFont="1" applyBorder="1" applyAlignment="1">
      <alignment vertical="center" shrinkToFit="1"/>
    </xf>
    <xf numFmtId="186" fontId="45" fillId="0" borderId="50" xfId="8" applyNumberFormat="1" applyFont="1" applyBorder="1" applyAlignment="1">
      <alignment vertical="center" shrinkToFit="1"/>
    </xf>
    <xf numFmtId="0" fontId="52" fillId="0" borderId="39" xfId="8" applyFont="1" applyBorder="1" applyAlignment="1">
      <alignment horizontal="center" vertical="center"/>
    </xf>
    <xf numFmtId="0" fontId="63" fillId="0" borderId="38" xfId="8" applyFont="1" applyBorder="1" applyAlignment="1">
      <alignment horizontal="distributed" vertical="center" wrapText="1" justifyLastLine="1"/>
    </xf>
    <xf numFmtId="0" fontId="63" fillId="0" borderId="35" xfId="8" applyFont="1" applyBorder="1" applyAlignment="1">
      <alignment horizontal="distributed" vertical="center" wrapText="1" justifyLastLine="1"/>
    </xf>
    <xf numFmtId="0" fontId="45" fillId="0" borderId="0" xfId="8" applyFont="1" applyBorder="1" applyAlignment="1">
      <alignment horizontal="center" vertical="center"/>
    </xf>
    <xf numFmtId="0" fontId="63" fillId="0" borderId="39" xfId="8" applyFont="1" applyBorder="1" applyAlignment="1">
      <alignment horizontal="center" vertical="center"/>
    </xf>
    <xf numFmtId="0" fontId="63" fillId="0" borderId="38" xfId="8" applyFont="1" applyBorder="1" applyAlignment="1">
      <alignment horizontal="center" vertical="center"/>
    </xf>
    <xf numFmtId="0" fontId="63" fillId="0" borderId="38" xfId="8" applyFont="1" applyBorder="1" applyAlignment="1">
      <alignment horizontal="center" vertical="center" wrapText="1"/>
    </xf>
    <xf numFmtId="0" fontId="65" fillId="0" borderId="0" xfId="8" applyFont="1" applyBorder="1" applyAlignment="1">
      <alignment horizontal="right" vertical="center"/>
    </xf>
    <xf numFmtId="0" fontId="42" fillId="0" borderId="34" xfId="8" applyFont="1" applyBorder="1" applyAlignment="1">
      <alignment horizontal="right" vertical="center"/>
    </xf>
    <xf numFmtId="0" fontId="63" fillId="0" borderId="34" xfId="8" applyFont="1" applyBorder="1" applyAlignment="1">
      <alignment vertical="center"/>
    </xf>
    <xf numFmtId="0" fontId="68" fillId="0" borderId="0" xfId="8" applyFont="1" applyAlignment="1">
      <alignment horizontal="center" vertical="center"/>
    </xf>
    <xf numFmtId="0" fontId="44" fillId="0" borderId="0" xfId="0" applyFont="1" applyAlignment="1">
      <alignment vertical="top"/>
    </xf>
    <xf numFmtId="0" fontId="44" fillId="0" borderId="0" xfId="0" quotePrefix="1" applyFont="1"/>
    <xf numFmtId="0" fontId="69" fillId="0" borderId="0" xfId="0" applyFont="1"/>
    <xf numFmtId="0" fontId="54" fillId="0" borderId="0" xfId="0" applyFont="1"/>
    <xf numFmtId="0" fontId="21" fillId="0" borderId="0" xfId="8" applyFont="1" applyAlignment="1">
      <alignment horizontal="center"/>
    </xf>
    <xf numFmtId="0" fontId="21" fillId="0" borderId="0" xfId="8" applyFont="1" applyAlignment="1">
      <alignment horizontal="distributed"/>
    </xf>
    <xf numFmtId="0" fontId="34" fillId="0" borderId="0" xfId="8" applyFont="1" applyAlignment="1">
      <alignment horizontal="center"/>
    </xf>
    <xf numFmtId="0" fontId="65" fillId="0" borderId="0" xfId="8" applyFont="1" applyAlignment="1">
      <alignment horizontal="center" vertical="top"/>
    </xf>
    <xf numFmtId="0" fontId="65" fillId="0" borderId="0" xfId="8" applyFont="1" applyFill="1" applyAlignment="1">
      <alignment vertical="top"/>
    </xf>
    <xf numFmtId="0" fontId="70" fillId="0" borderId="0" xfId="8" applyFont="1" applyAlignment="1">
      <alignment vertical="center"/>
    </xf>
    <xf numFmtId="0" fontId="65" fillId="0" borderId="0" xfId="8" applyFont="1" applyAlignment="1">
      <alignment vertical="distributed"/>
    </xf>
    <xf numFmtId="0" fontId="65" fillId="0" borderId="0" xfId="8" applyFont="1" applyAlignment="1">
      <alignment horizontal="left" vertical="top" wrapText="1"/>
    </xf>
    <xf numFmtId="0" fontId="44" fillId="0" borderId="1" xfId="3" applyNumberFormat="1" applyFont="1" applyFill="1" applyBorder="1" applyAlignment="1">
      <alignment horizontal="distributed" vertical="center" shrinkToFit="1"/>
    </xf>
    <xf numFmtId="0" fontId="44" fillId="0" borderId="7" xfId="3" applyFont="1" applyFill="1" applyBorder="1" applyAlignment="1">
      <alignment horizontal="distributed" vertical="center"/>
    </xf>
    <xf numFmtId="185" fontId="44" fillId="0" borderId="5" xfId="1" applyNumberFormat="1" applyFont="1" applyFill="1" applyBorder="1" applyAlignment="1">
      <alignment vertical="center"/>
    </xf>
    <xf numFmtId="179" fontId="44" fillId="0" borderId="1" xfId="1" applyNumberFormat="1" applyFont="1" applyFill="1" applyBorder="1" applyAlignment="1">
      <alignment horizontal="right" vertical="top"/>
    </xf>
    <xf numFmtId="0" fontId="44" fillId="0" borderId="1" xfId="3" applyNumberFormat="1" applyFont="1" applyFill="1" applyBorder="1" applyAlignment="1">
      <alignment horizontal="distributed" vertical="center"/>
    </xf>
    <xf numFmtId="185" fontId="44" fillId="0" borderId="5" xfId="1" applyNumberFormat="1" applyFont="1" applyFill="1" applyBorder="1" applyAlignment="1">
      <alignment horizontal="right" vertical="center"/>
    </xf>
    <xf numFmtId="0" fontId="44" fillId="0" borderId="9" xfId="3" applyNumberFormat="1" applyFont="1" applyFill="1" applyBorder="1" applyAlignment="1">
      <alignment horizontal="center" vertical="center"/>
    </xf>
    <xf numFmtId="179" fontId="44" fillId="0" borderId="10" xfId="1" applyNumberFormat="1" applyFont="1" applyFill="1" applyBorder="1" applyAlignment="1">
      <alignment horizontal="right" vertical="top"/>
    </xf>
    <xf numFmtId="185" fontId="44" fillId="0" borderId="5" xfId="1" applyNumberFormat="1" applyFont="1" applyFill="1" applyBorder="1" applyAlignment="1">
      <alignment horizontal="right" vertical="center" shrinkToFit="1"/>
    </xf>
    <xf numFmtId="0" fontId="44" fillId="0" borderId="16" xfId="3" applyNumberFormat="1" applyFont="1" applyFill="1" applyBorder="1" applyAlignment="1">
      <alignment horizontal="distributed" vertical="center"/>
    </xf>
    <xf numFmtId="0" fontId="44" fillId="0" borderId="24" xfId="3" applyNumberFormat="1" applyFont="1" applyFill="1" applyBorder="1" applyAlignment="1">
      <alignment horizontal="distributed" vertical="center"/>
    </xf>
    <xf numFmtId="0" fontId="44" fillId="0" borderId="0" xfId="3" applyNumberFormat="1" applyFont="1" applyFill="1" applyBorder="1" applyAlignment="1">
      <alignment horizontal="distributed" vertical="center"/>
    </xf>
    <xf numFmtId="0" fontId="44" fillId="0" borderId="13" xfId="3" applyNumberFormat="1" applyFont="1" applyFill="1" applyBorder="1" applyAlignment="1">
      <alignment horizontal="distributed" vertical="center"/>
    </xf>
    <xf numFmtId="185" fontId="44" fillId="0" borderId="14" xfId="1" applyNumberFormat="1" applyFont="1" applyFill="1" applyBorder="1" applyAlignment="1">
      <alignment horizontal="right" vertical="center"/>
    </xf>
    <xf numFmtId="179" fontId="44" fillId="0" borderId="0" xfId="1" applyNumberFormat="1" applyFont="1" applyFill="1" applyBorder="1" applyAlignment="1">
      <alignment horizontal="right" vertical="top"/>
    </xf>
    <xf numFmtId="0" fontId="46" fillId="0" borderId="0" xfId="3" applyNumberFormat="1" applyFont="1" applyFill="1" applyAlignment="1">
      <alignment horizontal="center"/>
    </xf>
    <xf numFmtId="179" fontId="44" fillId="0" borderId="1" xfId="1" applyNumberFormat="1" applyFont="1" applyFill="1" applyBorder="1" applyAlignment="1">
      <alignment horizontal="right" vertical="top"/>
    </xf>
    <xf numFmtId="0" fontId="41" fillId="0" borderId="0" xfId="3" applyNumberFormat="1" applyFont="1" applyFill="1" applyBorder="1"/>
    <xf numFmtId="0" fontId="44" fillId="0" borderId="7" xfId="3" applyNumberFormat="1" applyFont="1" applyFill="1" applyBorder="1" applyAlignment="1">
      <alignment horizontal="distributed" vertical="center" shrinkToFit="1"/>
    </xf>
    <xf numFmtId="0" fontId="44" fillId="0" borderId="1" xfId="3" applyNumberFormat="1" applyFont="1" applyFill="1" applyBorder="1" applyAlignment="1">
      <alignment vertical="center"/>
    </xf>
    <xf numFmtId="0" fontId="44" fillId="0" borderId="0" xfId="3" applyNumberFormat="1" applyFont="1" applyFill="1" applyBorder="1" applyAlignment="1">
      <alignment vertical="center"/>
    </xf>
    <xf numFmtId="0" fontId="42" fillId="0" borderId="7" xfId="3" applyFont="1" applyFill="1" applyBorder="1"/>
    <xf numFmtId="0" fontId="41" fillId="0" borderId="0" xfId="3" applyFont="1" applyFill="1" applyBorder="1" applyAlignment="1">
      <alignment horizontal="center"/>
    </xf>
    <xf numFmtId="0" fontId="44" fillId="0" borderId="7" xfId="3" applyNumberFormat="1" applyFont="1" applyFill="1" applyBorder="1" applyAlignment="1">
      <alignment vertical="center"/>
    </xf>
    <xf numFmtId="0" fontId="42" fillId="0" borderId="8" xfId="3" applyFont="1" applyFill="1" applyBorder="1"/>
    <xf numFmtId="0" fontId="42" fillId="0" borderId="2" xfId="3" applyNumberFormat="1" applyFont="1" applyFill="1" applyBorder="1"/>
    <xf numFmtId="0" fontId="73" fillId="0" borderId="8" xfId="3" applyNumberFormat="1" applyFont="1" applyFill="1" applyBorder="1" applyAlignment="1">
      <alignment vertical="center"/>
    </xf>
    <xf numFmtId="0" fontId="41" fillId="0" borderId="6" xfId="3" applyNumberFormat="1" applyFont="1" applyFill="1" applyBorder="1"/>
    <xf numFmtId="0" fontId="41" fillId="0" borderId="11" xfId="3" applyNumberFormat="1" applyFont="1" applyFill="1" applyBorder="1"/>
    <xf numFmtId="0" fontId="61" fillId="0" borderId="1" xfId="8" applyFont="1" applyFill="1" applyBorder="1" applyAlignment="1">
      <alignment horizontal="left" vertical="distributed" wrapText="1"/>
    </xf>
    <xf numFmtId="0" fontId="61" fillId="0" borderId="0" xfId="8" applyFont="1" applyFill="1" applyBorder="1" applyAlignment="1">
      <alignment horizontal="left" vertical="distributed" wrapText="1"/>
    </xf>
    <xf numFmtId="0" fontId="61" fillId="0" borderId="20" xfId="8" applyFont="1" applyFill="1" applyBorder="1" applyAlignment="1">
      <alignment horizontal="left" vertical="distributed" wrapText="1"/>
    </xf>
    <xf numFmtId="0" fontId="61" fillId="0" borderId="1" xfId="8" applyFont="1" applyFill="1" applyBorder="1" applyAlignment="1">
      <alignment horizontal="left" vertical="distributed" wrapText="1"/>
    </xf>
    <xf numFmtId="0" fontId="61" fillId="0" borderId="0" xfId="8" applyFont="1" applyFill="1" applyBorder="1" applyAlignment="1">
      <alignment horizontal="left" vertical="distributed" wrapText="1"/>
    </xf>
    <xf numFmtId="0" fontId="61" fillId="0" borderId="20" xfId="8" applyFont="1" applyFill="1" applyBorder="1" applyAlignment="1">
      <alignment horizontal="left" vertical="distributed" wrapText="1"/>
    </xf>
    <xf numFmtId="38" fontId="10" fillId="2" borderId="0" xfId="2" applyFont="1" applyFill="1" applyAlignment="1"/>
    <xf numFmtId="38" fontId="9" fillId="0" borderId="0" xfId="2" applyFont="1" applyAlignment="1"/>
    <xf numFmtId="0" fontId="44" fillId="0" borderId="0" xfId="0" applyFont="1" applyAlignment="1"/>
    <xf numFmtId="0" fontId="44" fillId="0" borderId="0" xfId="0" applyFont="1"/>
    <xf numFmtId="0" fontId="39" fillId="0" borderId="0" xfId="0" applyFont="1" applyAlignment="1">
      <alignment horizontal="center"/>
    </xf>
    <xf numFmtId="0" fontId="3" fillId="0" borderId="0" xfId="10" applyBorder="1" applyAlignment="1">
      <alignment horizontal="distributed" vertical="center"/>
    </xf>
    <xf numFmtId="181" fontId="3" fillId="0" borderId="9" xfId="10" applyNumberFormat="1" applyFill="1" applyBorder="1" applyAlignment="1">
      <alignment horizontal="right" vertical="center"/>
    </xf>
    <xf numFmtId="177" fontId="19" fillId="0" borderId="9" xfId="10" applyNumberFormat="1" applyFont="1" applyBorder="1" applyAlignment="1">
      <alignment horizontal="right" vertical="center"/>
    </xf>
    <xf numFmtId="177" fontId="3" fillId="0" borderId="9" xfId="10" applyNumberFormat="1" applyFont="1" applyFill="1" applyBorder="1" applyAlignment="1">
      <alignment horizontal="right" vertical="center"/>
    </xf>
    <xf numFmtId="177" fontId="20" fillId="0" borderId="9" xfId="10" applyNumberFormat="1" applyFont="1" applyFill="1" applyBorder="1" applyAlignment="1">
      <alignment horizontal="right" vertical="center"/>
    </xf>
    <xf numFmtId="0" fontId="3" fillId="0" borderId="0" xfId="10" applyFill="1"/>
    <xf numFmtId="0" fontId="12" fillId="0" borderId="13" xfId="10" applyFont="1" applyFill="1" applyBorder="1" applyAlignment="1">
      <alignment vertical="center"/>
    </xf>
    <xf numFmtId="179" fontId="12" fillId="0" borderId="9" xfId="10" applyNumberFormat="1" applyFont="1" applyBorder="1" applyAlignment="1">
      <alignment horizontal="right" vertical="center"/>
    </xf>
    <xf numFmtId="179" fontId="12" fillId="0" borderId="9" xfId="10" applyNumberFormat="1" applyFont="1" applyFill="1" applyBorder="1" applyAlignment="1">
      <alignment horizontal="right" vertical="center"/>
    </xf>
    <xf numFmtId="0" fontId="14" fillId="4" borderId="13" xfId="10" applyFont="1" applyFill="1" applyBorder="1" applyAlignment="1">
      <alignment vertical="center"/>
    </xf>
    <xf numFmtId="0" fontId="12" fillId="4" borderId="13" xfId="10" applyFont="1" applyFill="1" applyBorder="1" applyAlignment="1">
      <alignment vertical="center"/>
    </xf>
    <xf numFmtId="0" fontId="12" fillId="4" borderId="0" xfId="10" applyFont="1" applyFill="1"/>
    <xf numFmtId="0" fontId="3" fillId="4" borderId="0" xfId="10" applyFill="1"/>
    <xf numFmtId="0" fontId="12" fillId="4" borderId="12" xfId="10" applyFont="1" applyFill="1" applyBorder="1" applyAlignment="1">
      <alignment horizontal="distributed" vertical="center"/>
    </xf>
    <xf numFmtId="0" fontId="14" fillId="4" borderId="9" xfId="10" applyFont="1" applyFill="1" applyBorder="1" applyAlignment="1">
      <alignment horizontal="distributed" vertical="center"/>
    </xf>
    <xf numFmtId="179" fontId="18" fillId="4" borderId="9" xfId="10" applyNumberFormat="1" applyFont="1" applyFill="1" applyBorder="1" applyAlignment="1">
      <alignment horizontal="right" vertical="center"/>
    </xf>
    <xf numFmtId="179" fontId="18" fillId="0" borderId="9" xfId="10" applyNumberFormat="1" applyFont="1" applyFill="1" applyBorder="1" applyAlignment="1">
      <alignment horizontal="right" vertical="center"/>
    </xf>
    <xf numFmtId="0" fontId="14" fillId="4" borderId="0" xfId="10" applyFont="1" applyFill="1" applyBorder="1" applyAlignment="1">
      <alignment horizontal="left" vertical="center"/>
    </xf>
    <xf numFmtId="179" fontId="18" fillId="4" borderId="0" xfId="10" applyNumberFormat="1" applyFont="1" applyFill="1" applyBorder="1" applyAlignment="1">
      <alignment horizontal="right" vertical="center"/>
    </xf>
    <xf numFmtId="0" fontId="14" fillId="0" borderId="0" xfId="10" applyFont="1" applyBorder="1" applyAlignment="1">
      <alignment horizontal="distributed" vertical="center"/>
    </xf>
    <xf numFmtId="179" fontId="18" fillId="0" borderId="0" xfId="10" applyNumberFormat="1" applyFont="1" applyBorder="1" applyAlignment="1">
      <alignment horizontal="right" vertical="center"/>
    </xf>
    <xf numFmtId="0" fontId="3" fillId="0" borderId="13" xfId="10" applyFill="1" applyBorder="1" applyAlignment="1">
      <alignment horizontal="left" vertical="center"/>
    </xf>
    <xf numFmtId="179" fontId="3" fillId="0" borderId="8" xfId="10" applyNumberFormat="1" applyFill="1" applyBorder="1" applyAlignment="1">
      <alignment vertical="center"/>
    </xf>
    <xf numFmtId="0" fontId="61" fillId="0" borderId="0" xfId="8" applyFont="1" applyFill="1" applyBorder="1" applyAlignment="1">
      <alignment horizontal="left" vertical="center" wrapText="1"/>
    </xf>
    <xf numFmtId="0" fontId="61" fillId="0" borderId="20" xfId="8" applyFont="1" applyFill="1" applyBorder="1" applyAlignment="1">
      <alignment horizontal="left" vertical="center" wrapText="1"/>
    </xf>
    <xf numFmtId="0" fontId="61" fillId="0" borderId="1" xfId="8" applyFont="1" applyFill="1" applyBorder="1" applyAlignment="1">
      <alignment horizontal="left" vertical="center"/>
    </xf>
    <xf numFmtId="0" fontId="61" fillId="0" borderId="0" xfId="8" applyFont="1" applyFill="1" applyBorder="1" applyAlignment="1">
      <alignment horizontal="left" vertical="center" wrapText="1"/>
    </xf>
    <xf numFmtId="0" fontId="61" fillId="0" borderId="20" xfId="8" applyFont="1" applyFill="1" applyBorder="1" applyAlignment="1">
      <alignment horizontal="left" vertical="center" wrapText="1"/>
    </xf>
    <xf numFmtId="0" fontId="74" fillId="2" borderId="9" xfId="0" applyNumberFormat="1" applyFont="1" applyFill="1" applyBorder="1" applyAlignment="1">
      <alignment vertical="center"/>
    </xf>
    <xf numFmtId="176" fontId="74" fillId="2" borderId="9" xfId="0" applyNumberFormat="1" applyFont="1" applyFill="1" applyBorder="1" applyAlignment="1">
      <alignment vertical="center"/>
    </xf>
    <xf numFmtId="182" fontId="74" fillId="2" borderId="9" xfId="0" applyNumberFormat="1" applyFont="1" applyFill="1" applyBorder="1" applyAlignment="1">
      <alignment vertical="center"/>
    </xf>
    <xf numFmtId="176" fontId="74" fillId="2" borderId="3" xfId="0" applyNumberFormat="1" applyFont="1" applyFill="1" applyBorder="1" applyAlignment="1">
      <alignment horizontal="right" vertical="center"/>
    </xf>
    <xf numFmtId="177" fontId="74" fillId="2" borderId="4" xfId="0" applyNumberFormat="1" applyFont="1" applyFill="1" applyBorder="1" applyAlignment="1">
      <alignment vertical="center"/>
    </xf>
    <xf numFmtId="176" fontId="74" fillId="2" borderId="4" xfId="0" applyNumberFormat="1" applyFont="1" applyFill="1" applyBorder="1" applyAlignment="1">
      <alignment vertical="center"/>
    </xf>
    <xf numFmtId="177" fontId="74" fillId="2" borderId="3" xfId="0" applyNumberFormat="1" applyFont="1" applyFill="1" applyBorder="1" applyAlignment="1">
      <alignment vertical="center"/>
    </xf>
    <xf numFmtId="176" fontId="74" fillId="2" borderId="31" xfId="0" applyNumberFormat="1" applyFont="1" applyFill="1" applyBorder="1" applyAlignment="1">
      <alignment vertical="center"/>
    </xf>
    <xf numFmtId="180" fontId="74" fillId="2" borderId="4" xfId="0" applyNumberFormat="1" applyFont="1" applyFill="1" applyBorder="1" applyAlignment="1">
      <alignment vertical="center"/>
    </xf>
    <xf numFmtId="176" fontId="74" fillId="2" borderId="8" xfId="0" applyNumberFormat="1" applyFont="1" applyFill="1" applyBorder="1" applyAlignment="1">
      <alignment vertical="center"/>
    </xf>
    <xf numFmtId="182" fontId="74" fillId="2" borderId="8" xfId="0" applyNumberFormat="1" applyFont="1" applyFill="1" applyBorder="1" applyAlignment="1">
      <alignment vertical="center"/>
    </xf>
    <xf numFmtId="176" fontId="74" fillId="2" borderId="10" xfId="0" applyNumberFormat="1" applyFont="1" applyFill="1" applyBorder="1" applyAlignment="1">
      <alignment horizontal="right" vertical="center"/>
    </xf>
    <xf numFmtId="177" fontId="74" fillId="2" borderId="11" xfId="0" applyNumberFormat="1" applyFont="1" applyFill="1" applyBorder="1" applyAlignment="1">
      <alignment vertical="center"/>
    </xf>
    <xf numFmtId="180" fontId="74" fillId="2" borderId="11" xfId="0" applyNumberFormat="1" applyFont="1" applyFill="1" applyBorder="1" applyAlignment="1">
      <alignment vertical="center"/>
    </xf>
    <xf numFmtId="177" fontId="74" fillId="2" borderId="10" xfId="0" applyNumberFormat="1" applyFont="1" applyFill="1" applyBorder="1" applyAlignment="1">
      <alignment vertical="center"/>
    </xf>
    <xf numFmtId="0" fontId="74" fillId="2" borderId="8" xfId="0" applyNumberFormat="1" applyFont="1" applyFill="1" applyBorder="1" applyAlignment="1">
      <alignment vertical="center"/>
    </xf>
    <xf numFmtId="176" fontId="74" fillId="0" borderId="8" xfId="0" applyNumberFormat="1" applyFont="1" applyFill="1" applyBorder="1" applyAlignment="1">
      <alignment vertical="center"/>
    </xf>
    <xf numFmtId="182" fontId="74" fillId="0" borderId="8" xfId="0" applyNumberFormat="1" applyFont="1" applyFill="1" applyBorder="1" applyAlignment="1">
      <alignment vertical="center"/>
    </xf>
    <xf numFmtId="176" fontId="74" fillId="0" borderId="10" xfId="0" applyNumberFormat="1" applyFont="1" applyFill="1" applyBorder="1" applyAlignment="1">
      <alignment horizontal="right" vertical="center"/>
    </xf>
    <xf numFmtId="177" fontId="74" fillId="0" borderId="11" xfId="0" applyNumberFormat="1" applyFont="1" applyFill="1" applyBorder="1" applyAlignment="1">
      <alignment vertical="center"/>
    </xf>
    <xf numFmtId="180" fontId="74" fillId="0" borderId="11" xfId="0" applyNumberFormat="1" applyFont="1" applyFill="1" applyBorder="1" applyAlignment="1">
      <alignment vertical="center"/>
    </xf>
    <xf numFmtId="177" fontId="74" fillId="0" borderId="10" xfId="0" applyNumberFormat="1" applyFont="1" applyFill="1" applyBorder="1" applyAlignment="1">
      <alignment vertical="center"/>
    </xf>
    <xf numFmtId="176" fontId="74" fillId="0" borderId="31" xfId="0" applyNumberFormat="1" applyFont="1" applyFill="1" applyBorder="1" applyAlignment="1">
      <alignment vertical="center"/>
    </xf>
    <xf numFmtId="187" fontId="74" fillId="0" borderId="7" xfId="0" applyNumberFormat="1" applyFont="1" applyFill="1" applyBorder="1" applyAlignment="1">
      <alignment vertical="center"/>
    </xf>
    <xf numFmtId="176" fontId="74" fillId="0" borderId="1" xfId="0" applyNumberFormat="1" applyFont="1" applyFill="1" applyBorder="1" applyAlignment="1">
      <alignment horizontal="right" vertical="center"/>
    </xf>
    <xf numFmtId="177" fontId="74" fillId="0" borderId="20" xfId="0" applyNumberFormat="1" applyFont="1" applyFill="1" applyBorder="1" applyAlignment="1">
      <alignment horizontal="right" vertical="center"/>
    </xf>
    <xf numFmtId="176" fontId="74" fillId="0" borderId="5" xfId="0" applyNumberFormat="1" applyFont="1" applyFill="1" applyBorder="1" applyAlignment="1">
      <alignment horizontal="right" vertical="center"/>
    </xf>
    <xf numFmtId="188" fontId="74" fillId="0" borderId="8" xfId="0" applyNumberFormat="1" applyFont="1" applyFill="1" applyBorder="1" applyAlignment="1">
      <alignment vertical="center"/>
    </xf>
    <xf numFmtId="177" fontId="74" fillId="0" borderId="11" xfId="0" applyNumberFormat="1" applyFont="1" applyFill="1" applyBorder="1" applyAlignment="1">
      <alignment horizontal="right" vertical="center"/>
    </xf>
    <xf numFmtId="0" fontId="74" fillId="2" borderId="10" xfId="0" applyNumberFormat="1" applyFont="1" applyFill="1" applyBorder="1"/>
    <xf numFmtId="0" fontId="74" fillId="0" borderId="8" xfId="0" applyNumberFormat="1" applyFont="1" applyFill="1" applyBorder="1" applyAlignment="1">
      <alignment horizontal="left" vertical="center"/>
    </xf>
    <xf numFmtId="192" fontId="74" fillId="0" borderId="11" xfId="2" applyNumberFormat="1" applyFont="1" applyFill="1" applyBorder="1" applyAlignment="1">
      <alignment vertical="center"/>
    </xf>
    <xf numFmtId="176" fontId="74" fillId="0" borderId="8" xfId="0" applyNumberFormat="1" applyFont="1" applyFill="1" applyBorder="1" applyAlignment="1">
      <alignment vertical="center" shrinkToFit="1"/>
    </xf>
    <xf numFmtId="182" fontId="74" fillId="0" borderId="8" xfId="0" applyNumberFormat="1" applyFont="1" applyFill="1" applyBorder="1" applyAlignment="1">
      <alignment vertical="center" shrinkToFit="1"/>
    </xf>
    <xf numFmtId="177" fontId="74" fillId="0" borderId="11" xfId="0" applyNumberFormat="1" applyFont="1" applyFill="1" applyBorder="1" applyAlignment="1">
      <alignment vertical="center" shrinkToFit="1"/>
    </xf>
    <xf numFmtId="176" fontId="74" fillId="0" borderId="10" xfId="0" applyNumberFormat="1" applyFont="1" applyFill="1" applyBorder="1" applyAlignment="1">
      <alignment horizontal="right" vertical="center" shrinkToFit="1"/>
    </xf>
    <xf numFmtId="176" fontId="74" fillId="2" borderId="31" xfId="0" applyNumberFormat="1" applyFont="1" applyFill="1" applyBorder="1" applyAlignment="1">
      <alignment vertical="center" shrinkToFit="1"/>
    </xf>
    <xf numFmtId="176" fontId="74" fillId="0" borderId="11" xfId="0" applyNumberFormat="1" applyFont="1" applyFill="1" applyBorder="1" applyAlignment="1">
      <alignment vertical="center"/>
    </xf>
    <xf numFmtId="176" fontId="74" fillId="0" borderId="31" xfId="0" applyNumberFormat="1" applyFont="1" applyFill="1" applyBorder="1" applyAlignment="1">
      <alignment vertical="center" shrinkToFit="1"/>
    </xf>
    <xf numFmtId="0" fontId="63" fillId="0" borderId="41" xfId="8" applyFont="1" applyBorder="1" applyAlignment="1">
      <alignment vertical="center"/>
    </xf>
    <xf numFmtId="49" fontId="65" fillId="0" borderId="0" xfId="8" applyNumberFormat="1" applyFont="1" applyFill="1" applyAlignment="1">
      <alignment horizontal="left" vertical="top" wrapText="1"/>
    </xf>
    <xf numFmtId="195" fontId="35" fillId="0" borderId="79" xfId="0" applyNumberFormat="1" applyFont="1" applyBorder="1" applyAlignment="1">
      <alignment horizontal="left" vertical="center" wrapText="1" justifyLastLine="1"/>
    </xf>
    <xf numFmtId="195" fontId="35" fillId="0" borderId="80" xfId="0" applyNumberFormat="1" applyFont="1" applyBorder="1" applyAlignment="1">
      <alignment horizontal="left" vertical="center" wrapText="1" justifyLastLine="1"/>
    </xf>
    <xf numFmtId="195" fontId="35" fillId="0" borderId="80" xfId="0" applyNumberFormat="1" applyFont="1" applyBorder="1" applyAlignment="1">
      <alignment horizontal="left" vertical="center"/>
    </xf>
    <xf numFmtId="196" fontId="35" fillId="0" borderId="81" xfId="0" applyNumberFormat="1" applyFont="1" applyBorder="1" applyAlignment="1">
      <alignment horizontal="left" vertical="center"/>
    </xf>
    <xf numFmtId="0" fontId="63" fillId="0" borderId="49" xfId="8" applyFont="1" applyBorder="1" applyAlignment="1">
      <alignment horizontal="distributed" vertical="center" wrapText="1" justifyLastLine="1"/>
    </xf>
    <xf numFmtId="0" fontId="63" fillId="0" borderId="77" xfId="8" applyFont="1" applyBorder="1" applyAlignment="1">
      <alignment horizontal="distributed" vertical="center" wrapText="1" justifyLastLine="1"/>
    </xf>
    <xf numFmtId="0" fontId="52" fillId="0" borderId="82" xfId="8" applyFont="1" applyBorder="1" applyAlignment="1">
      <alignment horizontal="center" vertical="center"/>
    </xf>
    <xf numFmtId="186" fontId="65" fillId="0" borderId="83" xfId="8" applyNumberFormat="1" applyFont="1" applyBorder="1" applyAlignment="1">
      <alignment vertical="center"/>
    </xf>
    <xf numFmtId="186" fontId="65" fillId="0" borderId="86" xfId="8" applyNumberFormat="1" applyFont="1" applyBorder="1" applyAlignment="1">
      <alignment vertical="center"/>
    </xf>
    <xf numFmtId="179" fontId="65" fillId="0" borderId="86" xfId="8" applyNumberFormat="1" applyFont="1" applyBorder="1" applyAlignment="1">
      <alignment vertical="center"/>
    </xf>
    <xf numFmtId="190" fontId="65" fillId="0" borderId="40" xfId="8" applyNumberFormat="1" applyFont="1" applyBorder="1" applyAlignment="1">
      <alignment vertical="center"/>
    </xf>
    <xf numFmtId="186" fontId="65" fillId="0" borderId="51" xfId="8" applyNumberFormat="1" applyFont="1" applyBorder="1" applyAlignment="1">
      <alignment vertical="center"/>
    </xf>
    <xf numFmtId="186" fontId="65" fillId="0" borderId="51" xfId="8" applyNumberFormat="1" applyFont="1" applyFill="1" applyBorder="1" applyAlignment="1">
      <alignment vertical="center"/>
    </xf>
    <xf numFmtId="186" fontId="65" fillId="0" borderId="87" xfId="8" applyNumberFormat="1" applyFont="1" applyFill="1" applyBorder="1" applyAlignment="1">
      <alignment vertical="center"/>
    </xf>
    <xf numFmtId="0" fontId="41" fillId="0" borderId="0" xfId="0" applyFont="1" applyBorder="1" applyAlignment="1">
      <alignment vertical="center"/>
    </xf>
    <xf numFmtId="0" fontId="35" fillId="4" borderId="9" xfId="0" applyFont="1" applyFill="1" applyBorder="1" applyAlignment="1">
      <alignment horizontal="center" vertical="center"/>
    </xf>
    <xf numFmtId="197" fontId="35" fillId="4" borderId="9" xfId="15" applyNumberFormat="1" applyFont="1" applyFill="1" applyBorder="1" applyAlignment="1">
      <alignment horizontal="center" vertical="center"/>
    </xf>
    <xf numFmtId="197" fontId="63" fillId="4" borderId="9" xfId="15" applyNumberFormat="1" applyFont="1" applyFill="1" applyBorder="1" applyAlignment="1">
      <alignment horizontal="center" vertical="center"/>
    </xf>
    <xf numFmtId="0" fontId="72" fillId="4" borderId="9" xfId="0" applyFont="1" applyFill="1" applyBorder="1" applyAlignment="1">
      <alignment horizontal="center" vertical="center"/>
    </xf>
    <xf numFmtId="0" fontId="73" fillId="4" borderId="0" xfId="0" applyFont="1" applyFill="1" applyAlignment="1">
      <alignment vertical="top"/>
    </xf>
    <xf numFmtId="0" fontId="75" fillId="4" borderId="0" xfId="0" applyFont="1" applyFill="1"/>
    <xf numFmtId="0" fontId="76" fillId="0" borderId="0" xfId="8" applyFont="1" applyBorder="1" applyAlignment="1">
      <alignment vertical="center"/>
    </xf>
    <xf numFmtId="0" fontId="77" fillId="0" borderId="9" xfId="8" applyFont="1" applyBorder="1" applyAlignment="1">
      <alignment horizontal="distributed" vertical="center"/>
    </xf>
    <xf numFmtId="0" fontId="75" fillId="0" borderId="9" xfId="8" applyFont="1" applyBorder="1" applyAlignment="1">
      <alignment horizontal="center" vertical="center" shrinkToFit="1"/>
    </xf>
    <xf numFmtId="0" fontId="75" fillId="0" borderId="9" xfId="8" applyFont="1" applyBorder="1" applyAlignment="1">
      <alignment horizontal="center" vertical="center" wrapText="1" shrinkToFit="1"/>
    </xf>
    <xf numFmtId="0" fontId="79" fillId="0" borderId="9" xfId="8" applyFont="1" applyBorder="1" applyAlignment="1">
      <alignment horizontal="center" vertical="center" wrapText="1" shrinkToFit="1"/>
    </xf>
    <xf numFmtId="186" fontId="75" fillId="0" borderId="9" xfId="8" applyNumberFormat="1" applyFont="1" applyBorder="1" applyAlignment="1">
      <alignment vertical="center"/>
    </xf>
    <xf numFmtId="38" fontId="80" fillId="0" borderId="9" xfId="9" applyFont="1" applyBorder="1" applyAlignment="1">
      <alignment vertical="center"/>
    </xf>
    <xf numFmtId="186" fontId="75" fillId="0" borderId="9" xfId="8" applyNumberFormat="1" applyFont="1" applyFill="1" applyBorder="1" applyAlignment="1">
      <alignment vertical="center"/>
    </xf>
    <xf numFmtId="186" fontId="79" fillId="0" borderId="9" xfId="8" applyNumberFormat="1" applyFont="1" applyBorder="1" applyAlignment="1">
      <alignment horizontal="right" vertical="center" wrapText="1" shrinkToFit="1"/>
    </xf>
    <xf numFmtId="0" fontId="27" fillId="0" borderId="9" xfId="8" applyFont="1" applyBorder="1" applyAlignment="1">
      <alignment horizontal="distributed" vertical="center" wrapText="1"/>
    </xf>
    <xf numFmtId="186" fontId="81" fillId="0" borderId="9" xfId="8" applyNumberFormat="1" applyFont="1" applyBorder="1" applyAlignment="1">
      <alignment vertical="center"/>
    </xf>
    <xf numFmtId="0" fontId="77" fillId="0" borderId="0" xfId="8" applyFont="1" applyBorder="1" applyAlignment="1">
      <alignment horizontal="distributed" vertical="center"/>
    </xf>
    <xf numFmtId="186" fontId="82" fillId="0" borderId="0" xfId="8" applyNumberFormat="1" applyFont="1" applyBorder="1" applyAlignment="1">
      <alignment vertical="center"/>
    </xf>
    <xf numFmtId="186" fontId="82" fillId="0" borderId="0" xfId="8" applyNumberFormat="1" applyFont="1" applyFill="1" applyBorder="1" applyAlignment="1">
      <alignment vertical="center"/>
    </xf>
    <xf numFmtId="0" fontId="75" fillId="0" borderId="0" xfId="8" applyFont="1" applyAlignment="1">
      <alignment vertical="center"/>
    </xf>
    <xf numFmtId="0" fontId="3" fillId="0" borderId="0" xfId="8"/>
    <xf numFmtId="0" fontId="83" fillId="0" borderId="9" xfId="8" applyFont="1" applyBorder="1" applyAlignment="1">
      <alignment horizontal="center" vertical="top" wrapText="1"/>
    </xf>
    <xf numFmtId="0" fontId="83" fillId="0" borderId="9" xfId="8" applyFont="1" applyBorder="1"/>
    <xf numFmtId="0" fontId="83" fillId="0" borderId="9" xfId="8" applyFont="1" applyBorder="1" applyAlignment="1"/>
    <xf numFmtId="0" fontId="83" fillId="0" borderId="8" xfId="8" applyFont="1" applyBorder="1" applyAlignment="1"/>
    <xf numFmtId="197" fontId="83" fillId="0" borderId="9" xfId="8" applyNumberFormat="1" applyFont="1" applyBorder="1"/>
    <xf numFmtId="0" fontId="14" fillId="0" borderId="9" xfId="8" applyFont="1" applyBorder="1" applyAlignment="1">
      <alignment horizontal="center"/>
    </xf>
    <xf numFmtId="197" fontId="14" fillId="0" borderId="9" xfId="8" applyNumberFormat="1" applyFont="1" applyBorder="1"/>
    <xf numFmtId="197" fontId="84" fillId="0" borderId="9" xfId="8" applyNumberFormat="1" applyFont="1" applyBorder="1"/>
    <xf numFmtId="0" fontId="14" fillId="0" borderId="9" xfId="8" applyFont="1" applyBorder="1" applyAlignment="1">
      <alignment horizontal="center" wrapText="1"/>
    </xf>
    <xf numFmtId="197" fontId="85" fillId="0" borderId="9" xfId="8" applyNumberFormat="1" applyFont="1" applyFill="1" applyBorder="1"/>
    <xf numFmtId="10" fontId="14" fillId="0" borderId="9" xfId="8" applyNumberFormat="1" applyFont="1" applyBorder="1"/>
    <xf numFmtId="10" fontId="85" fillId="0" borderId="9" xfId="8" applyNumberFormat="1" applyFont="1" applyBorder="1"/>
    <xf numFmtId="0" fontId="34" fillId="0" borderId="0" xfId="8" applyFont="1" applyAlignment="1">
      <alignment horizontal="center" vertical="center"/>
    </xf>
    <xf numFmtId="0" fontId="34" fillId="0" borderId="0" xfId="8" applyFont="1" applyAlignment="1">
      <alignment horizontal="distributed" vertical="center"/>
    </xf>
    <xf numFmtId="0" fontId="21" fillId="0" borderId="0" xfId="8" applyFont="1" applyAlignment="1">
      <alignment horizontal="center"/>
    </xf>
    <xf numFmtId="58" fontId="42" fillId="0" borderId="0" xfId="0" applyNumberFormat="1" applyFont="1" applyFill="1" applyBorder="1" applyAlignment="1">
      <alignment horizontal="left" vertical="center"/>
    </xf>
    <xf numFmtId="0" fontId="44" fillId="0" borderId="9" xfId="3" applyNumberFormat="1" applyFont="1" applyFill="1" applyBorder="1" applyAlignment="1">
      <alignment horizontal="center" vertical="center"/>
    </xf>
    <xf numFmtId="0" fontId="44" fillId="0" borderId="5" xfId="3" applyNumberFormat="1" applyFont="1" applyFill="1" applyBorder="1" applyAlignment="1">
      <alignment horizontal="center" vertical="center"/>
    </xf>
    <xf numFmtId="0" fontId="44" fillId="0" borderId="18" xfId="3" applyNumberFormat="1" applyFont="1" applyFill="1" applyBorder="1" applyAlignment="1">
      <alignment horizontal="center" vertical="center"/>
    </xf>
    <xf numFmtId="0" fontId="44" fillId="0" borderId="6" xfId="3" applyNumberFormat="1" applyFont="1" applyFill="1" applyBorder="1" applyAlignment="1">
      <alignment horizontal="center" vertical="center"/>
    </xf>
    <xf numFmtId="0" fontId="44" fillId="0" borderId="3" xfId="3" applyNumberFormat="1" applyFont="1" applyFill="1" applyBorder="1" applyAlignment="1">
      <alignment horizontal="center" vertical="center"/>
    </xf>
    <xf numFmtId="0" fontId="44" fillId="0" borderId="4" xfId="3" applyNumberFormat="1" applyFont="1" applyFill="1" applyBorder="1" applyAlignment="1">
      <alignment horizontal="center" vertical="center"/>
    </xf>
    <xf numFmtId="0" fontId="44" fillId="0" borderId="10" xfId="3" applyNumberFormat="1" applyFont="1" applyFill="1" applyBorder="1" applyAlignment="1">
      <alignment horizontal="center" vertical="center"/>
    </xf>
    <xf numFmtId="0" fontId="44" fillId="0" borderId="19" xfId="3" applyNumberFormat="1" applyFont="1" applyFill="1" applyBorder="1" applyAlignment="1">
      <alignment horizontal="center" vertical="center"/>
    </xf>
    <xf numFmtId="0" fontId="44" fillId="0" borderId="11" xfId="3" applyNumberFormat="1" applyFont="1" applyFill="1" applyBorder="1" applyAlignment="1">
      <alignment horizontal="center" vertical="center"/>
    </xf>
    <xf numFmtId="176" fontId="44" fillId="0" borderId="2" xfId="3" applyNumberFormat="1" applyFont="1" applyFill="1" applyBorder="1" applyAlignment="1">
      <alignment horizontal="right" vertical="center"/>
    </xf>
    <xf numFmtId="176" fontId="44" fillId="0" borderId="7" xfId="3" applyNumberFormat="1" applyFont="1" applyFill="1" applyBorder="1" applyAlignment="1">
      <alignment horizontal="right" vertical="center"/>
    </xf>
    <xf numFmtId="176" fontId="44" fillId="0" borderId="5" xfId="3" applyNumberFormat="1" applyFont="1" applyFill="1" applyBorder="1" applyAlignment="1">
      <alignment horizontal="right" vertical="center"/>
    </xf>
    <xf numFmtId="176" fontId="44" fillId="0" borderId="6" xfId="3" applyNumberFormat="1" applyFont="1" applyFill="1" applyBorder="1" applyAlignment="1">
      <alignment horizontal="right" vertical="center"/>
    </xf>
    <xf numFmtId="176" fontId="44" fillId="0" borderId="1" xfId="3" applyNumberFormat="1" applyFont="1" applyFill="1" applyBorder="1" applyAlignment="1">
      <alignment horizontal="right" vertical="center"/>
    </xf>
    <xf numFmtId="176" fontId="44" fillId="0" borderId="20" xfId="3" applyNumberFormat="1" applyFont="1" applyFill="1" applyBorder="1" applyAlignment="1">
      <alignment horizontal="right" vertical="center"/>
    </xf>
    <xf numFmtId="0" fontId="44" fillId="0" borderId="5" xfId="3" applyNumberFormat="1" applyFont="1" applyFill="1" applyBorder="1" applyAlignment="1">
      <alignment horizontal="distributed" vertical="center"/>
    </xf>
    <xf numFmtId="0" fontId="44" fillId="0" borderId="6" xfId="3" applyNumberFormat="1" applyFont="1" applyFill="1" applyBorder="1" applyAlignment="1">
      <alignment horizontal="distributed" vertical="center"/>
    </xf>
    <xf numFmtId="0" fontId="44" fillId="0" borderId="1" xfId="3" applyNumberFormat="1" applyFont="1" applyFill="1" applyBorder="1" applyAlignment="1">
      <alignment horizontal="distributed" vertical="center"/>
    </xf>
    <xf numFmtId="0" fontId="44" fillId="0" borderId="20" xfId="3" applyNumberFormat="1" applyFont="1" applyFill="1" applyBorder="1" applyAlignment="1">
      <alignment horizontal="distributed" vertical="center"/>
    </xf>
    <xf numFmtId="0" fontId="44" fillId="0" borderId="10" xfId="3" applyNumberFormat="1" applyFont="1" applyFill="1" applyBorder="1" applyAlignment="1">
      <alignment horizontal="distributed" vertical="center"/>
    </xf>
    <xf numFmtId="0" fontId="44" fillId="0" borderId="11" xfId="3" applyNumberFormat="1" applyFont="1" applyFill="1" applyBorder="1" applyAlignment="1">
      <alignment horizontal="distributed" vertical="center"/>
    </xf>
    <xf numFmtId="176" fontId="44" fillId="0" borderId="8" xfId="3" applyNumberFormat="1" applyFont="1" applyFill="1" applyBorder="1" applyAlignment="1">
      <alignment horizontal="right" vertical="center"/>
    </xf>
    <xf numFmtId="0" fontId="44" fillId="0" borderId="7" xfId="0" applyFont="1" applyBorder="1" applyAlignment="1">
      <alignment horizontal="right" vertical="center"/>
    </xf>
    <xf numFmtId="0" fontId="44" fillId="0" borderId="14" xfId="3" applyNumberFormat="1" applyFont="1" applyFill="1" applyBorder="1" applyAlignment="1">
      <alignment horizontal="distributed" vertical="center"/>
    </xf>
    <xf numFmtId="0" fontId="44" fillId="0" borderId="0" xfId="3" applyNumberFormat="1" applyFont="1" applyFill="1" applyBorder="1" applyAlignment="1">
      <alignment horizontal="distributed" vertical="center"/>
    </xf>
    <xf numFmtId="0" fontId="44" fillId="0" borderId="13" xfId="3" applyNumberFormat="1" applyFont="1" applyFill="1" applyBorder="1" applyAlignment="1">
      <alignment horizontal="distributed" vertical="center"/>
    </xf>
    <xf numFmtId="176" fontId="44" fillId="0" borderId="2" xfId="3" applyNumberFormat="1" applyFont="1" applyFill="1" applyBorder="1" applyAlignment="1">
      <alignment horizontal="right" vertical="center" shrinkToFit="1"/>
    </xf>
    <xf numFmtId="176" fontId="44" fillId="0" borderId="7" xfId="3" applyNumberFormat="1" applyFont="1" applyFill="1" applyBorder="1" applyAlignment="1">
      <alignment horizontal="right" vertical="center" shrinkToFit="1"/>
    </xf>
    <xf numFmtId="0" fontId="44" fillId="0" borderId="16" xfId="3" applyNumberFormat="1" applyFont="1" applyFill="1" applyBorder="1" applyAlignment="1">
      <alignment horizontal="distributed" vertical="center"/>
    </xf>
    <xf numFmtId="0" fontId="44" fillId="0" borderId="24" xfId="3" applyNumberFormat="1" applyFont="1" applyFill="1" applyBorder="1" applyAlignment="1">
      <alignment horizontal="distributed" vertical="center"/>
    </xf>
    <xf numFmtId="0" fontId="46" fillId="0" borderId="0" xfId="3" applyNumberFormat="1" applyFont="1" applyFill="1" applyAlignment="1">
      <alignment horizontal="center"/>
    </xf>
    <xf numFmtId="189" fontId="46" fillId="0" borderId="0" xfId="3" applyNumberFormat="1" applyFont="1" applyFill="1" applyAlignment="1">
      <alignment horizontal="center"/>
    </xf>
    <xf numFmtId="0" fontId="41" fillId="0" borderId="0" xfId="3" applyNumberFormat="1" applyFont="1" applyFill="1" applyAlignment="1">
      <alignment vertical="center" wrapText="1"/>
    </xf>
    <xf numFmtId="176" fontId="44" fillId="0" borderId="2" xfId="3" applyNumberFormat="1" applyFont="1" applyFill="1" applyBorder="1" applyAlignment="1">
      <alignment vertical="center"/>
    </xf>
    <xf numFmtId="176" fontId="44" fillId="0" borderId="8" xfId="3" applyNumberFormat="1" applyFont="1" applyFill="1" applyBorder="1" applyAlignment="1">
      <alignment vertical="center"/>
    </xf>
    <xf numFmtId="0" fontId="41" fillId="0" borderId="5" xfId="3" applyNumberFormat="1" applyFont="1" applyFill="1" applyBorder="1" applyAlignment="1">
      <alignment horizontal="distributed" vertical="center" wrapText="1"/>
    </xf>
    <xf numFmtId="0" fontId="41" fillId="0" borderId="6" xfId="3" applyNumberFormat="1" applyFont="1" applyFill="1" applyBorder="1" applyAlignment="1">
      <alignment horizontal="distributed" vertical="center" wrapText="1"/>
    </xf>
    <xf numFmtId="0" fontId="41" fillId="0" borderId="10" xfId="3" applyNumberFormat="1" applyFont="1" applyFill="1" applyBorder="1" applyAlignment="1">
      <alignment horizontal="distributed" vertical="center" wrapText="1"/>
    </xf>
    <xf numFmtId="0" fontId="41" fillId="0" borderId="11" xfId="3" applyNumberFormat="1" applyFont="1" applyFill="1" applyBorder="1" applyAlignment="1">
      <alignment horizontal="distributed" vertical="center" wrapText="1"/>
    </xf>
    <xf numFmtId="176" fontId="44" fillId="0" borderId="10" xfId="3" applyNumberFormat="1" applyFont="1" applyFill="1" applyBorder="1" applyAlignment="1">
      <alignment horizontal="right" vertical="center"/>
    </xf>
    <xf numFmtId="176" fontId="44" fillId="0" borderId="11" xfId="3" applyNumberFormat="1" applyFont="1" applyFill="1" applyBorder="1" applyAlignment="1">
      <alignment horizontal="right" vertical="center"/>
    </xf>
    <xf numFmtId="0" fontId="41" fillId="0" borderId="1" xfId="3" applyNumberFormat="1" applyFont="1" applyFill="1" applyBorder="1" applyAlignment="1">
      <alignment horizontal="distributed" vertical="center" wrapText="1"/>
    </xf>
    <xf numFmtId="0" fontId="41" fillId="0" borderId="20" xfId="3" applyNumberFormat="1" applyFont="1" applyFill="1" applyBorder="1" applyAlignment="1">
      <alignment horizontal="distributed" vertical="center" wrapText="1"/>
    </xf>
    <xf numFmtId="185" fontId="44" fillId="0" borderId="5" xfId="1" applyNumberFormat="1" applyFont="1" applyFill="1" applyBorder="1" applyAlignment="1">
      <alignment horizontal="right" vertical="center"/>
    </xf>
    <xf numFmtId="185" fontId="44" fillId="0" borderId="1" xfId="1" applyNumberFormat="1" applyFont="1" applyFill="1" applyBorder="1" applyAlignment="1">
      <alignment horizontal="right" vertical="center"/>
    </xf>
    <xf numFmtId="179" fontId="44" fillId="0" borderId="1" xfId="1" applyNumberFormat="1" applyFont="1" applyFill="1" applyBorder="1" applyAlignment="1">
      <alignment horizontal="right" vertical="top"/>
    </xf>
    <xf numFmtId="179" fontId="44" fillId="0" borderId="10" xfId="1" applyNumberFormat="1" applyFont="1" applyFill="1" applyBorder="1" applyAlignment="1">
      <alignment horizontal="right" vertical="top"/>
    </xf>
    <xf numFmtId="179" fontId="44" fillId="0" borderId="5" xfId="1" applyNumberFormat="1" applyFont="1" applyFill="1" applyBorder="1" applyAlignment="1">
      <alignment horizontal="right" vertical="center"/>
    </xf>
    <xf numFmtId="179" fontId="44" fillId="0" borderId="1" xfId="1" applyNumberFormat="1" applyFont="1" applyFill="1" applyBorder="1" applyAlignment="1">
      <alignment horizontal="right" vertical="center"/>
    </xf>
    <xf numFmtId="180" fontId="72" fillId="0" borderId="1" xfId="3" applyNumberFormat="1" applyFont="1" applyFill="1" applyBorder="1" applyAlignment="1">
      <alignment horizontal="distributed" vertical="center" wrapText="1" shrinkToFit="1"/>
    </xf>
    <xf numFmtId="180" fontId="72" fillId="0" borderId="20" xfId="3" applyNumberFormat="1" applyFont="1" applyFill="1" applyBorder="1" applyAlignment="1">
      <alignment horizontal="distributed" vertical="center" shrinkToFit="1"/>
    </xf>
    <xf numFmtId="180" fontId="72" fillId="0" borderId="1" xfId="3" applyNumberFormat="1" applyFont="1" applyFill="1" applyBorder="1" applyAlignment="1">
      <alignment horizontal="distributed" vertical="center" shrinkToFit="1"/>
    </xf>
    <xf numFmtId="180" fontId="72" fillId="0" borderId="10" xfId="3" applyNumberFormat="1" applyFont="1" applyFill="1" applyBorder="1" applyAlignment="1">
      <alignment horizontal="distributed" vertical="center" shrinkToFit="1"/>
    </xf>
    <xf numFmtId="180" fontId="72" fillId="0" borderId="11" xfId="3" applyNumberFormat="1" applyFont="1" applyFill="1" applyBorder="1" applyAlignment="1">
      <alignment horizontal="distributed" vertical="center" shrinkToFit="1"/>
    </xf>
    <xf numFmtId="0" fontId="71" fillId="0" borderId="2" xfId="3" applyNumberFormat="1" applyFont="1" applyFill="1" applyBorder="1" applyAlignment="1">
      <alignment horizontal="distributed" vertical="center" wrapText="1"/>
    </xf>
    <xf numFmtId="0" fontId="71" fillId="0" borderId="7" xfId="3" applyNumberFormat="1" applyFont="1" applyFill="1" applyBorder="1" applyAlignment="1">
      <alignment horizontal="distributed" vertical="center"/>
    </xf>
    <xf numFmtId="0" fontId="71" fillId="0" borderId="8" xfId="3" applyNumberFormat="1" applyFont="1" applyFill="1" applyBorder="1" applyAlignment="1">
      <alignment horizontal="distributed" vertical="center"/>
    </xf>
    <xf numFmtId="0" fontId="71" fillId="0" borderId="5" xfId="3" applyNumberFormat="1" applyFont="1" applyFill="1" applyBorder="1" applyAlignment="1">
      <alignment horizontal="distributed" vertical="center" wrapText="1"/>
    </xf>
    <xf numFmtId="0" fontId="71" fillId="0" borderId="6" xfId="3" applyNumberFormat="1" applyFont="1" applyFill="1" applyBorder="1" applyAlignment="1">
      <alignment horizontal="distributed" vertical="center" wrapText="1"/>
    </xf>
    <xf numFmtId="0" fontId="71" fillId="0" borderId="1" xfId="3" applyNumberFormat="1" applyFont="1" applyFill="1" applyBorder="1" applyAlignment="1">
      <alignment horizontal="distributed" vertical="center" wrapText="1"/>
    </xf>
    <xf numFmtId="0" fontId="71" fillId="0" borderId="20" xfId="3" applyNumberFormat="1" applyFont="1" applyFill="1" applyBorder="1" applyAlignment="1">
      <alignment horizontal="distributed" vertical="center" wrapText="1"/>
    </xf>
    <xf numFmtId="0" fontId="71" fillId="0" borderId="10" xfId="3" applyNumberFormat="1" applyFont="1" applyFill="1" applyBorder="1" applyAlignment="1">
      <alignment horizontal="distributed" vertical="center" wrapText="1"/>
    </xf>
    <xf numFmtId="0" fontId="71" fillId="0" borderId="11" xfId="3" applyNumberFormat="1" applyFont="1" applyFill="1" applyBorder="1" applyAlignment="1">
      <alignment horizontal="distributed" vertical="center" wrapText="1"/>
    </xf>
    <xf numFmtId="193" fontId="44" fillId="0" borderId="5" xfId="3" applyNumberFormat="1" applyFont="1" applyFill="1" applyBorder="1" applyAlignment="1">
      <alignment horizontal="right" vertical="center"/>
    </xf>
    <xf numFmtId="193" fontId="44" fillId="0" borderId="6" xfId="3" applyNumberFormat="1" applyFont="1" applyFill="1" applyBorder="1" applyAlignment="1">
      <alignment horizontal="right" vertical="center"/>
    </xf>
    <xf numFmtId="193" fontId="44" fillId="0" borderId="1" xfId="3" applyNumberFormat="1" applyFont="1" applyFill="1" applyBorder="1" applyAlignment="1">
      <alignment horizontal="right" vertical="center"/>
    </xf>
    <xf numFmtId="193" fontId="44" fillId="0" borderId="20" xfId="3" applyNumberFormat="1" applyFont="1" applyFill="1" applyBorder="1" applyAlignment="1">
      <alignment horizontal="right" vertical="center"/>
    </xf>
    <xf numFmtId="193" fontId="44" fillId="0" borderId="10" xfId="3" applyNumberFormat="1" applyFont="1" applyFill="1" applyBorder="1" applyAlignment="1">
      <alignment horizontal="right" vertical="center"/>
    </xf>
    <xf numFmtId="193" fontId="44" fillId="0" borderId="11" xfId="3" applyNumberFormat="1" applyFont="1" applyFill="1" applyBorder="1" applyAlignment="1">
      <alignment horizontal="right" vertical="center"/>
    </xf>
    <xf numFmtId="0" fontId="44" fillId="0" borderId="5" xfId="3" applyNumberFormat="1" applyFont="1" applyFill="1" applyBorder="1" applyAlignment="1">
      <alignment horizontal="distributed" vertical="center" shrinkToFit="1"/>
    </xf>
    <xf numFmtId="0" fontId="44" fillId="0" borderId="14" xfId="3" applyNumberFormat="1" applyFont="1" applyFill="1" applyBorder="1" applyAlignment="1">
      <alignment horizontal="distributed" vertical="center" shrinkToFit="1"/>
    </xf>
    <xf numFmtId="0" fontId="44" fillId="0" borderId="6" xfId="3" applyNumberFormat="1" applyFont="1" applyFill="1" applyBorder="1" applyAlignment="1">
      <alignment horizontal="distributed" vertical="center" shrinkToFit="1"/>
    </xf>
    <xf numFmtId="0" fontId="44" fillId="0" borderId="10" xfId="3" applyNumberFormat="1" applyFont="1" applyFill="1" applyBorder="1" applyAlignment="1">
      <alignment horizontal="distributed" vertical="center" shrinkToFit="1"/>
    </xf>
    <xf numFmtId="0" fontId="44" fillId="0" borderId="13" xfId="3" applyNumberFormat="1" applyFont="1" applyFill="1" applyBorder="1" applyAlignment="1">
      <alignment horizontal="distributed" vertical="center" shrinkToFit="1"/>
    </xf>
    <xf numFmtId="0" fontId="44" fillId="0" borderId="11" xfId="3" applyNumberFormat="1" applyFont="1" applyFill="1" applyBorder="1" applyAlignment="1">
      <alignment horizontal="distributed" vertical="center" shrinkToFit="1"/>
    </xf>
    <xf numFmtId="0" fontId="71" fillId="0" borderId="3" xfId="3" applyNumberFormat="1" applyFont="1" applyFill="1" applyBorder="1" applyAlignment="1">
      <alignment horizontal="distributed" vertical="center" wrapText="1"/>
    </xf>
    <xf numFmtId="0" fontId="71" fillId="0" borderId="4" xfId="3" applyNumberFormat="1" applyFont="1" applyFill="1" applyBorder="1" applyAlignment="1">
      <alignment horizontal="distributed" vertical="center" wrapText="1"/>
    </xf>
    <xf numFmtId="185" fontId="44" fillId="0" borderId="3" xfId="1" applyNumberFormat="1" applyFont="1" applyFill="1" applyBorder="1" applyAlignment="1">
      <alignment horizontal="right" vertical="center"/>
    </xf>
    <xf numFmtId="176" fontId="44" fillId="0" borderId="3" xfId="3" applyNumberFormat="1" applyFont="1" applyFill="1" applyBorder="1" applyAlignment="1">
      <alignment horizontal="right" vertical="center"/>
    </xf>
    <xf numFmtId="176" fontId="44" fillId="0" borderId="4" xfId="3" applyNumberFormat="1" applyFont="1" applyFill="1" applyBorder="1" applyAlignment="1">
      <alignment horizontal="right" vertical="center"/>
    </xf>
    <xf numFmtId="176" fontId="44" fillId="0" borderId="9" xfId="3" applyNumberFormat="1" applyFont="1" applyFill="1" applyBorder="1" applyAlignment="1">
      <alignment horizontal="right" vertical="center"/>
    </xf>
    <xf numFmtId="0" fontId="71" fillId="0" borderId="7" xfId="3" applyNumberFormat="1" applyFont="1" applyFill="1" applyBorder="1" applyAlignment="1">
      <alignment horizontal="distributed" vertical="center" wrapText="1"/>
    </xf>
    <xf numFmtId="0" fontId="71" fillId="0" borderId="8" xfId="3" applyNumberFormat="1" applyFont="1" applyFill="1" applyBorder="1" applyAlignment="1">
      <alignment horizontal="distributed" vertical="center" wrapText="1"/>
    </xf>
    <xf numFmtId="0" fontId="73" fillId="0" borderId="5" xfId="3" applyNumberFormat="1" applyFont="1" applyFill="1" applyBorder="1" applyAlignment="1">
      <alignment horizontal="distributed" vertical="center" wrapText="1"/>
    </xf>
    <xf numFmtId="0" fontId="73" fillId="0" borderId="10" xfId="3" applyNumberFormat="1" applyFont="1" applyFill="1" applyBorder="1" applyAlignment="1">
      <alignment horizontal="distributed" vertical="center" wrapText="1"/>
    </xf>
    <xf numFmtId="0" fontId="71" fillId="0" borderId="4" xfId="3" applyNumberFormat="1" applyFont="1" applyFill="1" applyBorder="1" applyAlignment="1">
      <alignment horizontal="distributed" vertical="center"/>
    </xf>
    <xf numFmtId="0" fontId="71" fillId="0" borderId="3" xfId="3" applyNumberFormat="1" applyFont="1" applyFill="1" applyBorder="1" applyAlignment="1">
      <alignment horizontal="distributed" vertical="center"/>
    </xf>
    <xf numFmtId="0" fontId="41" fillId="0" borderId="6" xfId="3" applyNumberFormat="1" applyFont="1" applyFill="1" applyBorder="1" applyAlignment="1">
      <alignment horizontal="distributed" vertical="center"/>
    </xf>
    <xf numFmtId="0" fontId="41" fillId="0" borderId="10" xfId="3" applyNumberFormat="1" applyFont="1" applyFill="1" applyBorder="1" applyAlignment="1">
      <alignment horizontal="distributed" vertical="center"/>
    </xf>
    <xf numFmtId="0" fontId="41" fillId="0" borderId="11" xfId="3" applyNumberFormat="1" applyFont="1" applyFill="1" applyBorder="1" applyAlignment="1">
      <alignment horizontal="distributed" vertical="center"/>
    </xf>
    <xf numFmtId="0" fontId="54" fillId="0" borderId="14" xfId="8" applyFont="1" applyFill="1" applyBorder="1" applyAlignment="1">
      <alignment horizontal="center" vertical="center"/>
    </xf>
    <xf numFmtId="0" fontId="54" fillId="0" borderId="0" xfId="8" applyFont="1" applyFill="1" applyBorder="1" applyAlignment="1">
      <alignment horizontal="center" vertical="center"/>
    </xf>
    <xf numFmtId="0" fontId="61" fillId="0" borderId="1" xfId="8" applyFont="1" applyFill="1" applyBorder="1" applyAlignment="1">
      <alignment horizontal="left" vertical="distributed" wrapText="1"/>
    </xf>
    <xf numFmtId="0" fontId="61" fillId="0" borderId="0" xfId="8" applyFont="1" applyFill="1" applyBorder="1" applyAlignment="1">
      <alignment horizontal="left" vertical="distributed" wrapText="1"/>
    </xf>
    <xf numFmtId="0" fontId="61" fillId="0" borderId="20" xfId="8" applyFont="1" applyFill="1" applyBorder="1" applyAlignment="1">
      <alignment horizontal="left" vertical="distributed" wrapText="1"/>
    </xf>
    <xf numFmtId="0" fontId="61" fillId="0" borderId="1" xfId="8" applyFont="1" applyFill="1" applyBorder="1" applyAlignment="1">
      <alignment horizontal="left" vertical="center" wrapText="1"/>
    </xf>
    <xf numFmtId="0" fontId="61" fillId="0" borderId="0" xfId="8" applyFont="1" applyFill="1" applyBorder="1" applyAlignment="1">
      <alignment horizontal="left" vertical="center" wrapText="1"/>
    </xf>
    <xf numFmtId="0" fontId="61" fillId="0" borderId="20" xfId="8" applyFont="1" applyFill="1" applyBorder="1" applyAlignment="1">
      <alignment horizontal="left" vertical="center" wrapText="1"/>
    </xf>
    <xf numFmtId="0" fontId="61" fillId="0" borderId="5" xfId="8" applyFont="1" applyFill="1" applyBorder="1" applyAlignment="1">
      <alignment horizontal="left" vertical="distributed" wrapText="1"/>
    </xf>
    <xf numFmtId="0" fontId="61" fillId="0" borderId="14" xfId="8" applyFont="1" applyFill="1" applyBorder="1" applyAlignment="1">
      <alignment horizontal="left" vertical="distributed" wrapText="1"/>
    </xf>
    <xf numFmtId="0" fontId="61" fillId="0" borderId="6" xfId="8" applyFont="1" applyFill="1" applyBorder="1" applyAlignment="1">
      <alignment horizontal="left" vertical="distributed" wrapText="1"/>
    </xf>
    <xf numFmtId="0" fontId="56" fillId="0" borderId="0" xfId="8" applyFont="1" applyFill="1" applyBorder="1" applyAlignment="1">
      <alignment horizontal="left" vertical="distributed" wrapText="1" indent="1"/>
    </xf>
    <xf numFmtId="0" fontId="54" fillId="3" borderId="0" xfId="0" applyFont="1" applyFill="1" applyAlignment="1">
      <alignment vertical="center"/>
    </xf>
    <xf numFmtId="0" fontId="54" fillId="3" borderId="0" xfId="8" applyFont="1" applyFill="1" applyAlignment="1">
      <alignment vertical="center"/>
    </xf>
    <xf numFmtId="0" fontId="44" fillId="0" borderId="0" xfId="8" applyFont="1" applyFill="1" applyAlignment="1">
      <alignment horizontal="left" vertical="distributed" wrapText="1"/>
    </xf>
    <xf numFmtId="0" fontId="59" fillId="0" borderId="0" xfId="8" applyFont="1" applyAlignment="1">
      <alignment horizontal="left" vertical="top" wrapText="1"/>
    </xf>
    <xf numFmtId="0" fontId="54" fillId="3" borderId="0" xfId="8" applyFont="1" applyFill="1" applyAlignment="1">
      <alignment horizontal="left" vertical="center"/>
    </xf>
    <xf numFmtId="0" fontId="3" fillId="0" borderId="13" xfId="10" applyFill="1" applyBorder="1" applyAlignment="1">
      <alignment vertical="center"/>
    </xf>
    <xf numFmtId="0" fontId="3" fillId="0" borderId="13" xfId="10" applyFill="1" applyBorder="1" applyAlignment="1">
      <alignment horizontal="left" vertical="center"/>
    </xf>
    <xf numFmtId="0" fontId="12" fillId="0" borderId="13" xfId="10" applyFont="1" applyFill="1" applyBorder="1" applyAlignment="1">
      <alignment horizontal="left" vertical="center"/>
    </xf>
    <xf numFmtId="179" fontId="3" fillId="0" borderId="2" xfId="10" applyNumberFormat="1" applyFont="1" applyFill="1" applyBorder="1" applyAlignment="1">
      <alignment horizontal="right" vertical="top"/>
    </xf>
    <xf numFmtId="179" fontId="3" fillId="0" borderId="8" xfId="10" applyNumberFormat="1" applyFont="1" applyFill="1" applyBorder="1" applyAlignment="1">
      <alignment horizontal="right" vertical="top"/>
    </xf>
    <xf numFmtId="184" fontId="3" fillId="0" borderId="2" xfId="10" applyNumberFormat="1" applyBorder="1" applyAlignment="1">
      <alignment horizontal="right" vertical="center"/>
    </xf>
    <xf numFmtId="184" fontId="3" fillId="0" borderId="8" xfId="10" applyNumberFormat="1" applyBorder="1" applyAlignment="1">
      <alignment horizontal="right" vertical="center"/>
    </xf>
    <xf numFmtId="179" fontId="3" fillId="0" borderId="2" xfId="10" applyNumberFormat="1" applyFill="1" applyBorder="1" applyAlignment="1">
      <alignment vertical="center"/>
    </xf>
    <xf numFmtId="179" fontId="3" fillId="0" borderId="8" xfId="10" applyNumberFormat="1" applyFill="1" applyBorder="1" applyAlignment="1">
      <alignment vertical="center"/>
    </xf>
    <xf numFmtId="179" fontId="3" fillId="0" borderId="2" xfId="10" applyNumberFormat="1" applyBorder="1" applyAlignment="1">
      <alignment vertical="center"/>
    </xf>
    <xf numFmtId="179" fontId="3" fillId="0" borderId="8" xfId="10" applyNumberFormat="1" applyBorder="1" applyAlignment="1">
      <alignment vertical="center"/>
    </xf>
    <xf numFmtId="0" fontId="12" fillId="2" borderId="0" xfId="11" applyFont="1" applyFill="1" applyBorder="1" applyAlignment="1">
      <alignment horizontal="left" vertical="center"/>
    </xf>
    <xf numFmtId="0" fontId="65" fillId="0" borderId="0" xfId="8" applyFont="1" applyFill="1" applyAlignment="1">
      <alignment horizontal="left" vertical="top" wrapText="1"/>
    </xf>
    <xf numFmtId="0" fontId="63" fillId="0" borderId="3" xfId="8" applyFont="1" applyBorder="1" applyAlignment="1">
      <alignment horizontal="distributed" vertical="center"/>
    </xf>
    <xf numFmtId="0" fontId="63" fillId="0" borderId="44" xfId="8" applyFont="1" applyBorder="1" applyAlignment="1">
      <alignment horizontal="distributed" vertical="center"/>
    </xf>
    <xf numFmtId="0" fontId="63" fillId="0" borderId="13" xfId="8" applyFont="1" applyBorder="1" applyAlignment="1">
      <alignment horizontal="distributed" vertical="center" wrapText="1"/>
    </xf>
    <xf numFmtId="0" fontId="63" fillId="0" borderId="32" xfId="8" applyFont="1" applyBorder="1" applyAlignment="1">
      <alignment horizontal="distributed" vertical="center"/>
    </xf>
    <xf numFmtId="0" fontId="63" fillId="0" borderId="41" xfId="8" applyFont="1" applyBorder="1" applyAlignment="1">
      <alignment vertical="center"/>
    </xf>
    <xf numFmtId="0" fontId="63" fillId="0" borderId="46" xfId="8" applyFont="1" applyBorder="1" applyAlignment="1">
      <alignment vertical="center"/>
    </xf>
    <xf numFmtId="0" fontId="65" fillId="0" borderId="0" xfId="8" applyFont="1" applyFill="1" applyAlignment="1">
      <alignment horizontal="left" vertical="center" wrapText="1"/>
    </xf>
    <xf numFmtId="0" fontId="65" fillId="0" borderId="0" xfId="8" applyFont="1" applyAlignment="1">
      <alignment horizontal="left" vertical="center" wrapText="1"/>
    </xf>
    <xf numFmtId="0" fontId="63" fillId="0" borderId="35" xfId="8" applyFont="1" applyBorder="1" applyAlignment="1">
      <alignment horizontal="distributed" vertical="center" indent="1"/>
    </xf>
    <xf numFmtId="0" fontId="63" fillId="0" borderId="36" xfId="8" applyFont="1" applyBorder="1" applyAlignment="1">
      <alignment horizontal="distributed" indent="1"/>
    </xf>
    <xf numFmtId="0" fontId="63" fillId="0" borderId="37" xfId="8" applyFont="1" applyBorder="1" applyAlignment="1">
      <alignment horizontal="distributed" indent="1"/>
    </xf>
    <xf numFmtId="0" fontId="63" fillId="0" borderId="49" xfId="8" applyFont="1" applyBorder="1" applyAlignment="1">
      <alignment horizontal="distributed" vertical="center" justifyLastLine="1"/>
    </xf>
    <xf numFmtId="0" fontId="63" fillId="0" borderId="77" xfId="8" applyFont="1" applyBorder="1" applyAlignment="1">
      <alignment horizontal="distributed" vertical="center" justifyLastLine="1"/>
    </xf>
    <xf numFmtId="0" fontId="63" fillId="0" borderId="78" xfId="8" applyFont="1" applyBorder="1" applyAlignment="1">
      <alignment horizontal="distributed" vertical="center" justifyLastLine="1"/>
    </xf>
    <xf numFmtId="0" fontId="63" fillId="0" borderId="83" xfId="8" applyFont="1" applyBorder="1" applyAlignment="1">
      <alignment horizontal="distributed" vertical="center" justifyLastLine="1"/>
    </xf>
    <xf numFmtId="0" fontId="63" fillId="0" borderId="84" xfId="8" applyFont="1" applyBorder="1" applyAlignment="1">
      <alignment horizontal="distributed" vertical="center" justifyLastLine="1"/>
    </xf>
    <xf numFmtId="0" fontId="63" fillId="0" borderId="85" xfId="8" applyFont="1" applyBorder="1" applyAlignment="1">
      <alignment horizontal="distributed" vertical="center" justifyLastLine="1"/>
    </xf>
    <xf numFmtId="0" fontId="63" fillId="0" borderId="13" xfId="8" applyFont="1" applyBorder="1" applyAlignment="1">
      <alignment horizontal="distributed" vertical="center"/>
    </xf>
    <xf numFmtId="0" fontId="63" fillId="0" borderId="6" xfId="8" applyFont="1" applyBorder="1" applyAlignment="1">
      <alignment vertical="center"/>
    </xf>
    <xf numFmtId="0" fontId="63" fillId="0" borderId="11" xfId="8" applyFont="1" applyBorder="1" applyAlignment="1">
      <alignment vertical="center"/>
    </xf>
    <xf numFmtId="0" fontId="63" fillId="0" borderId="15" xfId="8" applyFont="1" applyBorder="1" applyAlignment="1">
      <alignment horizontal="distributed" vertical="center" wrapText="1"/>
    </xf>
    <xf numFmtId="0" fontId="63" fillId="0" borderId="2" xfId="8" applyFont="1" applyBorder="1" applyAlignment="1">
      <alignment horizontal="center" vertical="center"/>
    </xf>
    <xf numFmtId="0" fontId="63" fillId="0" borderId="7" xfId="8" applyFont="1" applyBorder="1" applyAlignment="1">
      <alignment horizontal="center" vertical="center"/>
    </xf>
    <xf numFmtId="0" fontId="63" fillId="0" borderId="8" xfId="8" applyFont="1" applyBorder="1" applyAlignment="1">
      <alignment horizontal="center" vertical="center"/>
    </xf>
    <xf numFmtId="186" fontId="81" fillId="0" borderId="0" xfId="8" applyNumberFormat="1" applyFont="1" applyBorder="1" applyAlignment="1">
      <alignment horizontal="center" vertical="center"/>
    </xf>
    <xf numFmtId="0" fontId="83" fillId="0" borderId="9" xfId="8" applyFont="1" applyBorder="1"/>
    <xf numFmtId="38" fontId="10" fillId="2" borderId="0" xfId="2" applyFont="1" applyFill="1" applyAlignment="1"/>
    <xf numFmtId="38" fontId="9" fillId="0" borderId="0" xfId="2" applyFont="1" applyAlignment="1"/>
    <xf numFmtId="177" fontId="74" fillId="0" borderId="3" xfId="0" applyNumberFormat="1" applyFont="1" applyFill="1" applyBorder="1" applyAlignment="1">
      <alignment horizontal="right" vertical="center"/>
    </xf>
    <xf numFmtId="176" fontId="74" fillId="2" borderId="22" xfId="0" applyNumberFormat="1" applyFont="1" applyFill="1" applyBorder="1" applyAlignment="1">
      <alignment horizontal="right" vertical="center"/>
    </xf>
    <xf numFmtId="176" fontId="74" fillId="2" borderId="30" xfId="0" applyNumberFormat="1" applyFont="1" applyFill="1" applyBorder="1" applyAlignment="1">
      <alignment horizontal="right" vertical="center"/>
    </xf>
    <xf numFmtId="10" fontId="10" fillId="2" borderId="0" xfId="2" applyNumberFormat="1" applyFont="1" applyFill="1" applyAlignment="1"/>
    <xf numFmtId="180" fontId="74" fillId="0" borderId="4" xfId="0" applyNumberFormat="1" applyFont="1" applyFill="1" applyBorder="1" applyAlignment="1">
      <alignment horizontal="right" vertical="center"/>
    </xf>
    <xf numFmtId="0" fontId="74" fillId="0" borderId="9" xfId="0" applyNumberFormat="1" applyFont="1" applyFill="1" applyBorder="1" applyAlignment="1">
      <alignment horizontal="left" vertical="center"/>
    </xf>
    <xf numFmtId="176" fontId="74" fillId="0" borderId="9" xfId="0" applyNumberFormat="1" applyFont="1" applyFill="1" applyBorder="1" applyAlignment="1">
      <alignment horizontal="right" vertical="center"/>
    </xf>
    <xf numFmtId="182" fontId="74" fillId="0" borderId="9" xfId="0" applyNumberFormat="1" applyFont="1" applyFill="1" applyBorder="1" applyAlignment="1">
      <alignment horizontal="right" vertical="center"/>
    </xf>
    <xf numFmtId="0" fontId="11"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11" fillId="2" borderId="1" xfId="0" applyNumberFormat="1" applyFont="1" applyFill="1" applyBorder="1" applyAlignment="1">
      <alignment horizontal="center" vertical="center"/>
    </xf>
    <xf numFmtId="0" fontId="11" fillId="2" borderId="20"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xf>
    <xf numFmtId="0" fontId="44" fillId="0" borderId="0" xfId="0" applyFont="1"/>
    <xf numFmtId="0" fontId="44" fillId="0" borderId="0" xfId="0" applyFont="1" applyAlignment="1"/>
    <xf numFmtId="0" fontId="44" fillId="0" borderId="0" xfId="0" applyFont="1" applyBorder="1" applyAlignment="1">
      <alignment horizontal="right" vertical="center"/>
    </xf>
    <xf numFmtId="0" fontId="44" fillId="0" borderId="13" xfId="0" applyFont="1" applyBorder="1" applyAlignment="1">
      <alignment horizontal="center"/>
    </xf>
    <xf numFmtId="0" fontId="44" fillId="0" borderId="0" xfId="0" applyFont="1" applyAlignment="1">
      <alignment vertical="center"/>
    </xf>
    <xf numFmtId="0" fontId="44" fillId="0" borderId="14" xfId="0" applyFont="1" applyBorder="1" applyAlignment="1">
      <alignment shrinkToFit="1"/>
    </xf>
    <xf numFmtId="0" fontId="44" fillId="0" borderId="0" xfId="0" applyFont="1" applyAlignment="1">
      <alignment horizontal="left"/>
    </xf>
    <xf numFmtId="0" fontId="37" fillId="0" borderId="41" xfId="0" applyNumberFormat="1" applyFont="1" applyBorder="1" applyAlignment="1">
      <alignment horizontal="center" vertical="center"/>
    </xf>
    <xf numFmtId="0" fontId="0" fillId="0" borderId="41" xfId="0" applyBorder="1"/>
    <xf numFmtId="176" fontId="37" fillId="0" borderId="58" xfId="0" applyNumberFormat="1" applyFont="1" applyFill="1" applyBorder="1" applyAlignment="1">
      <alignment horizontal="right" vertical="center"/>
    </xf>
    <xf numFmtId="176" fontId="37" fillId="0" borderId="64" xfId="0" applyNumberFormat="1" applyFont="1" applyFill="1" applyBorder="1" applyAlignment="1">
      <alignment horizontal="right" vertical="center"/>
    </xf>
    <xf numFmtId="0" fontId="37" fillId="0" borderId="57" xfId="0" applyNumberFormat="1" applyFont="1" applyBorder="1" applyAlignment="1">
      <alignment horizontal="center" vertical="center"/>
    </xf>
    <xf numFmtId="0" fontId="0" fillId="0" borderId="54" xfId="0" applyBorder="1"/>
    <xf numFmtId="0" fontId="0" fillId="0" borderId="46" xfId="0" applyBorder="1"/>
    <xf numFmtId="176" fontId="37" fillId="6" borderId="63" xfId="0" applyNumberFormat="1" applyFont="1" applyFill="1" applyBorder="1" applyAlignment="1">
      <alignment horizontal="right" vertical="center"/>
    </xf>
    <xf numFmtId="176" fontId="37" fillId="6" borderId="60" xfId="0" applyNumberFormat="1" applyFont="1" applyFill="1" applyBorder="1" applyAlignment="1">
      <alignment horizontal="right" vertical="center"/>
    </xf>
    <xf numFmtId="0" fontId="37" fillId="0" borderId="54" xfId="0" applyNumberFormat="1" applyFont="1" applyBorder="1" applyAlignment="1">
      <alignment horizontal="center" vertical="center"/>
    </xf>
    <xf numFmtId="0" fontId="0" fillId="0" borderId="55" xfId="0" applyBorder="1"/>
    <xf numFmtId="0" fontId="0" fillId="0" borderId="58" xfId="0" applyFill="1" applyBorder="1"/>
    <xf numFmtId="0" fontId="37" fillId="0" borderId="55" xfId="0" applyNumberFormat="1" applyFont="1" applyBorder="1" applyAlignment="1">
      <alignment horizontal="center" vertical="center"/>
    </xf>
    <xf numFmtId="176" fontId="37" fillId="0" borderId="66" xfId="0" applyNumberFormat="1" applyFont="1" applyFill="1" applyBorder="1" applyAlignment="1">
      <alignment horizontal="right" vertical="center"/>
    </xf>
    <xf numFmtId="176" fontId="37" fillId="0" borderId="65" xfId="0" applyNumberFormat="1" applyFont="1" applyFill="1" applyBorder="1" applyAlignment="1">
      <alignment horizontal="right" vertical="center"/>
    </xf>
    <xf numFmtId="0" fontId="0" fillId="0" borderId="65" xfId="0" applyFill="1" applyBorder="1"/>
    <xf numFmtId="0" fontId="0" fillId="0" borderId="63" xfId="0" applyFill="1" applyBorder="1"/>
    <xf numFmtId="0" fontId="0" fillId="0" borderId="68" xfId="0" applyFill="1" applyBorder="1"/>
    <xf numFmtId="176" fontId="37" fillId="0" borderId="64" xfId="0" applyNumberFormat="1" applyFont="1" applyBorder="1" applyAlignment="1">
      <alignment horizontal="right" vertical="center"/>
    </xf>
    <xf numFmtId="0" fontId="0" fillId="0" borderId="63" xfId="0" applyBorder="1"/>
    <xf numFmtId="0" fontId="36" fillId="5" borderId="0" xfId="0" applyFont="1" applyFill="1" applyBorder="1" applyAlignment="1">
      <alignment horizontal="center" vertical="center"/>
    </xf>
    <xf numFmtId="0" fontId="39" fillId="0" borderId="0" xfId="0" applyFont="1" applyAlignment="1">
      <alignment horizontal="center"/>
    </xf>
    <xf numFmtId="0" fontId="39" fillId="0" borderId="0" xfId="0" applyFont="1" applyAlignment="1">
      <alignment horizontal="right"/>
    </xf>
    <xf numFmtId="0" fontId="40" fillId="0" borderId="0" xfId="0" applyFont="1" applyAlignment="1">
      <alignment horizontal="left"/>
    </xf>
    <xf numFmtId="0" fontId="38" fillId="0" borderId="34" xfId="0" applyNumberFormat="1" applyFont="1" applyBorder="1" applyAlignment="1">
      <alignment horizontal="right"/>
    </xf>
    <xf numFmtId="0" fontId="37" fillId="0" borderId="75" xfId="0" applyNumberFormat="1" applyFont="1" applyBorder="1" applyAlignment="1">
      <alignment horizontal="center" vertical="center"/>
    </xf>
    <xf numFmtId="0" fontId="0" fillId="0" borderId="74" xfId="0" applyBorder="1"/>
    <xf numFmtId="0" fontId="0" fillId="0" borderId="73" xfId="0" applyBorder="1"/>
  </cellXfs>
  <cellStyles count="16">
    <cellStyle name="パーセント" xfId="1" builtinId="5"/>
    <cellStyle name="パーセント 2" xfId="14" xr:uid="{00000000-0005-0000-0000-000001000000}"/>
    <cellStyle name="パーセント 3" xfId="15" xr:uid="{00000000-0005-0000-0000-000002000000}"/>
    <cellStyle name="桁区切り" xfId="2" builtinId="6"/>
    <cellStyle name="桁区切り 2" xfId="5" xr:uid="{00000000-0005-0000-0000-000004000000}"/>
    <cellStyle name="桁区切り 3" xfId="9" xr:uid="{00000000-0005-0000-0000-000005000000}"/>
    <cellStyle name="桁区切り 4" xfId="13" xr:uid="{00000000-0005-0000-0000-000006000000}"/>
    <cellStyle name="標準" xfId="0" builtinId="0"/>
    <cellStyle name="標準 2" xfId="4" xr:uid="{00000000-0005-0000-0000-000008000000}"/>
    <cellStyle name="標準 2 2" xfId="7" xr:uid="{00000000-0005-0000-0000-000009000000}"/>
    <cellStyle name="標準 2 3" xfId="8" xr:uid="{00000000-0005-0000-0000-00000A000000}"/>
    <cellStyle name="標準 3" xfId="6" xr:uid="{00000000-0005-0000-0000-00000B000000}"/>
    <cellStyle name="標準 4" xfId="12" xr:uid="{00000000-0005-0000-0000-00000C000000}"/>
    <cellStyle name="標準_04 頁５・６ 2 2 2" xfId="11" xr:uid="{00000000-0005-0000-0000-00000D000000}"/>
    <cellStyle name="標準_04 頁５・６ 3 2" xfId="10" xr:uid="{00000000-0005-0000-0000-00000E000000}"/>
    <cellStyle name="標準_手持資料⑬" xfId="3"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5.xml"/><Relationship Id="rId12" Type="http://schemas.openxmlformats.org/officeDocument/2006/relationships/worksheet" Target="worksheets/sheet10.xml"/><Relationship Id="rId17" Type="http://schemas.openxmlformats.org/officeDocument/2006/relationships/worksheet" Target="work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9.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12.xml"/><Relationship Id="rId23" Type="http://schemas.openxmlformats.org/officeDocument/2006/relationships/theme" Target="theme/theme1.xml"/><Relationship Id="rId10" Type="http://schemas.openxmlformats.org/officeDocument/2006/relationships/worksheet" Target="worksheets/sheet8.xml"/><Relationship Id="rId19" Type="http://schemas.openxmlformats.org/officeDocument/2006/relationships/externalLink" Target="externalLinks/externalLink2.xml"/><Relationship Id="rId4" Type="http://schemas.openxmlformats.org/officeDocument/2006/relationships/chartsheet" Target="chartsheets/sheet1.xml"/><Relationship Id="rId9" Type="http://schemas.openxmlformats.org/officeDocument/2006/relationships/worksheet" Target="worksheets/sheet7.xml"/><Relationship Id="rId14" Type="http://schemas.openxmlformats.org/officeDocument/2006/relationships/chartsheet" Target="chartsheets/sheet3.xml"/><Relationship Id="rId22"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tx>
                <c:rich>
                  <a:bodyPr/>
                  <a:lstStyle/>
                  <a:p>
                    <a:fld id="{2D2EE0EC-1D4E-4031-8949-1FF45A373154}"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487-4AB1-962D-D939BF66FEA3}"/>
                </c:ext>
              </c:extLst>
            </c:dLbl>
            <c:dLbl>
              <c:idx val="1"/>
              <c:tx>
                <c:rich>
                  <a:bodyPr/>
                  <a:lstStyle/>
                  <a:p>
                    <a:fld id="{B7123A3D-10D6-4D81-A9E2-72FF5480F96A}" type="VALUE">
                      <a:rPr lang="en-US" altLang="ja-JP"/>
                      <a:pPr/>
                      <a:t>[値]</a:t>
                    </a:fld>
                    <a:endParaRPr lang="en-US" altLang="ja-JP"/>
                  </a:p>
                  <a:p>
                    <a:r>
                      <a:rPr lang="en-US" altLang="ja-JP" sz="600"/>
                      <a:t>(38.8)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487-4AB1-962D-D939BF66FEA3}"/>
                </c:ext>
              </c:extLst>
            </c:dLbl>
            <c:dLbl>
              <c:idx val="2"/>
              <c:tx>
                <c:rich>
                  <a:bodyPr/>
                  <a:lstStyle/>
                  <a:p>
                    <a:fld id="{DAEF1E06-AB20-4EBD-9E56-5F59F3B5DE69}"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8487-4AB1-962D-D939BF66FEA3}"/>
                </c:ext>
              </c:extLst>
            </c:dLbl>
            <c:dLbl>
              <c:idx val="3"/>
              <c:tx>
                <c:rich>
                  <a:bodyPr/>
                  <a:lstStyle/>
                  <a:p>
                    <a:fld id="{B3DABA0C-E074-4277-ACEC-1CA5DF677231}" type="VALUE">
                      <a:rPr lang="en-US" altLang="ja-JP"/>
                      <a:pPr/>
                      <a:t>[値]</a:t>
                    </a:fld>
                    <a:endParaRPr lang="en-US" altLang="ja-JP"/>
                  </a:p>
                  <a:p>
                    <a:r>
                      <a:rPr lang="en-US" altLang="ja-JP" sz="600"/>
                      <a:t>(44.0)</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487-4AB1-962D-D939BF66FEA3}"/>
                </c:ext>
              </c:extLst>
            </c:dLbl>
            <c:dLbl>
              <c:idx val="4"/>
              <c:layout>
                <c:manualLayout>
                  <c:x val="7.2370119175304399E-4"/>
                  <c:y val="3.8155186907082501E-3"/>
                </c:manualLayout>
              </c:layout>
              <c:tx>
                <c:rich>
                  <a:bodyPr/>
                  <a:lstStyle/>
                  <a:p>
                    <a:fld id="{A194363C-49F1-439E-814E-0C2DE2CE24EE}" type="VALUE">
                      <a:rPr lang="en-US" altLang="en-US" sz="830"/>
                      <a:pPr/>
                      <a:t>[値]</a:t>
                    </a:fld>
                    <a:endParaRPr lang="en-US" altLang="en-US" sz="830"/>
                  </a:p>
                  <a:p>
                    <a:r>
                      <a:rPr lang="en-US" altLang="en-US" sz="600"/>
                      <a:t>(36</a:t>
                    </a:r>
                    <a:r>
                      <a:rPr lang="en-US" altLang="ja-JP" sz="600"/>
                      <a:t>.4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8487-4AB1-962D-D939BF66FEA3}"/>
                </c:ext>
              </c:extLst>
            </c:dLbl>
            <c:dLbl>
              <c:idx val="5"/>
              <c:layout>
                <c:manualLayout>
                  <c:x val="2.1528365433309644E-3"/>
                  <c:y val="1.0306263116095651E-5"/>
                </c:manualLayout>
              </c:layout>
              <c:tx>
                <c:rich>
                  <a:bodyPr/>
                  <a:lstStyle/>
                  <a:p>
                    <a:fld id="{ED0FD2D9-A000-48E1-8DE8-3BC9B61712FB}" type="VALUE">
                      <a:rPr lang="en-US" altLang="en-US" sz="830"/>
                      <a:pPr/>
                      <a:t>[値]</a:t>
                    </a:fld>
                    <a:endParaRPr lang="en-US" altLang="en-US" sz="830"/>
                  </a:p>
                  <a:p>
                    <a:r>
                      <a:rPr lang="en-US" altLang="en-US" sz="600"/>
                      <a:t>(</a:t>
                    </a:r>
                    <a:r>
                      <a:rPr lang="en-US" altLang="ja-JP" sz="600"/>
                      <a:t>37.4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487-4AB1-962D-D939BF66FEA3}"/>
                </c:ext>
              </c:extLst>
            </c:dLbl>
            <c:dLbl>
              <c:idx val="6"/>
              <c:layout>
                <c:manualLayout>
                  <c:x val="-4.1093396215500648E-4"/>
                  <c:y val="-7.6225322128258277E-3"/>
                </c:manualLayout>
              </c:layout>
              <c:tx>
                <c:rich>
                  <a:bodyPr/>
                  <a:lstStyle/>
                  <a:p>
                    <a:fld id="{8900D56D-B1EB-4362-8A54-9CC1FEE343C4}" type="VALUE">
                      <a:rPr lang="en-US" altLang="ja-JP" sz="830"/>
                      <a:pPr/>
                      <a:t>[値]</a:t>
                    </a:fld>
                    <a:endParaRPr lang="en-US" altLang="en-US" sz="830"/>
                  </a:p>
                  <a:p>
                    <a:r>
                      <a:rPr lang="en-US" altLang="en-US" sz="600"/>
                      <a:t>(</a:t>
                    </a:r>
                    <a:r>
                      <a:rPr lang="en-US" altLang="ja-JP" sz="600"/>
                      <a:t>44.0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8487-4AB1-962D-D939BF66FEA3}"/>
                </c:ext>
              </c:extLst>
            </c:dLbl>
            <c:dLbl>
              <c:idx val="7"/>
              <c:layout>
                <c:manualLayout>
                  <c:x val="1.3205727471922977E-3"/>
                  <c:y val="-1.6521640200749997E-2"/>
                </c:manualLayout>
              </c:layout>
              <c:tx>
                <c:rich>
                  <a:bodyPr/>
                  <a:lstStyle/>
                  <a:p>
                    <a:fld id="{A9134E15-E0E1-4371-9340-39376DF14AC5}" type="VALUE">
                      <a:rPr lang="en-US" altLang="ja-JP" sz="830"/>
                      <a:pPr/>
                      <a:t>[値]</a:t>
                    </a:fld>
                    <a:endParaRPr lang="en-US" altLang="en-US" sz="830"/>
                  </a:p>
                  <a:p>
                    <a:r>
                      <a:rPr lang="en-US" altLang="en-US" sz="600"/>
                      <a:t>(</a:t>
                    </a:r>
                    <a:r>
                      <a:rPr lang="en-US" altLang="ja-JP" sz="600"/>
                      <a:t>36.4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頁６データ!$B$49:$J$49</c:f>
              <c:numCache>
                <c:formatCode>#,##0;"△ "#,##0</c:formatCode>
                <c:ptCount val="6"/>
                <c:pt idx="0">
                  <c:v>777637</c:v>
                </c:pt>
                <c:pt idx="1">
                  <c:v>675404</c:v>
                </c:pt>
                <c:pt idx="2">
                  <c:v>737441</c:v>
                </c:pt>
                <c:pt idx="3">
                  <c:v>776114</c:v>
                </c:pt>
                <c:pt idx="4">
                  <c:v>744663</c:v>
                </c:pt>
                <c:pt idx="5">
                  <c:v>750030</c:v>
                </c:pt>
              </c:numCache>
            </c:numRef>
          </c:val>
          <c:extLst>
            <c:ext xmlns:c16="http://schemas.microsoft.com/office/drawing/2014/chart" uri="{C3380CC4-5D6E-409C-BE32-E72D297353CC}">
              <c16:uniqueId val="{00000008-8487-4AB1-962D-D939BF66FEA3}"/>
            </c:ext>
          </c:extLst>
        </c:ser>
        <c:ser>
          <c:idx val="2"/>
          <c:order val="1"/>
          <c:tx>
            <c:v>譲与税・交付金</c:v>
          </c:tx>
          <c:spPr>
            <a:solidFill>
              <a:srgbClr val="FFFF00"/>
            </a:solidFill>
            <a:ln w="12700">
              <a:solidFill>
                <a:srgbClr val="000000"/>
              </a:solidFill>
              <a:prstDash val="solid"/>
            </a:ln>
          </c:spPr>
          <c:invertIfNegative val="0"/>
          <c:dLbls>
            <c:dLbl>
              <c:idx val="0"/>
              <c:tx>
                <c:rich>
                  <a:bodyPr/>
                  <a:lstStyle/>
                  <a:p>
                    <a:fld id="{3FAEBC26-89E8-4AEA-AEAB-ECDFC5882729}" type="VALUE">
                      <a:rPr lang="en-US" altLang="ja-JP"/>
                      <a:pPr/>
                      <a:t>[値]</a:t>
                    </a:fld>
                    <a:endParaRPr lang="en-US" altLang="ja-JP"/>
                  </a:p>
                  <a:p>
                    <a:r>
                      <a:rPr lang="en-US" altLang="ja-JP" sz="600"/>
                      <a:t>(3.9)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487-4AB1-962D-D939BF66FEA3}"/>
                </c:ext>
              </c:extLst>
            </c:dLbl>
            <c:dLbl>
              <c:idx val="1"/>
              <c:tx>
                <c:rich>
                  <a:bodyPr/>
                  <a:lstStyle/>
                  <a:p>
                    <a:fld id="{547E7926-99C0-41B5-BDA5-86B28CB4EE03}" type="VALUE">
                      <a:rPr lang="en-US" altLang="ja-JP"/>
                      <a:pPr/>
                      <a:t>[値]</a:t>
                    </a:fld>
                    <a:endParaRPr lang="en-US" altLang="ja-JP"/>
                  </a:p>
                  <a:p>
                    <a:r>
                      <a:rPr lang="en-US" altLang="ja-JP" sz="600"/>
                      <a:t>(7.9)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487-4AB1-962D-D939BF66FEA3}"/>
                </c:ext>
              </c:extLst>
            </c:dLbl>
            <c:dLbl>
              <c:idx val="2"/>
              <c:tx>
                <c:rich>
                  <a:bodyPr/>
                  <a:lstStyle/>
                  <a:p>
                    <a:fld id="{6B77F3E6-C47F-4F01-8FDD-5D7801F9AE72}" type="VALUE">
                      <a:rPr lang="en-US" altLang="ja-JP"/>
                      <a:pPr/>
                      <a:t>[値]</a:t>
                    </a:fld>
                    <a:endParaRPr lang="en-US" altLang="ja-JP"/>
                  </a:p>
                  <a:p>
                    <a:r>
                      <a:rPr lang="en-US" altLang="ja-JP" sz="600"/>
                      <a:t>(5.4)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487-4AB1-962D-D939BF66FEA3}"/>
                </c:ext>
              </c:extLst>
            </c:dLbl>
            <c:dLbl>
              <c:idx val="3"/>
              <c:tx>
                <c:rich>
                  <a:bodyPr/>
                  <a:lstStyle/>
                  <a:p>
                    <a:fld id="{EBC93248-F142-4E9D-8396-B57B45019DF4}" type="VALUE">
                      <a:rPr lang="en-US" altLang="ja-JP"/>
                      <a:pPr/>
                      <a:t>[値]</a:t>
                    </a:fld>
                    <a:endParaRPr lang="en-US" altLang="ja-JP"/>
                  </a:p>
                  <a:p>
                    <a:r>
                      <a:rPr lang="en-US" altLang="ja-JP" sz="600"/>
                      <a:t>(5.0)</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487-4AB1-962D-D939BF66FEA3}"/>
                </c:ext>
              </c:extLst>
            </c:dLbl>
            <c:dLbl>
              <c:idx val="4"/>
              <c:layout>
                <c:manualLayout>
                  <c:x val="2.609809366442898E-3"/>
                  <c:y val="3.3520370328955772E-5"/>
                </c:manualLayout>
              </c:layout>
              <c:tx>
                <c:rich>
                  <a:bodyPr/>
                  <a:lstStyle/>
                  <a:p>
                    <a:fld id="{042DF875-E0A4-47E8-B31C-F6EBA7903958}" type="VALUE">
                      <a:rPr lang="en-US" altLang="en-US" sz="830"/>
                      <a:pPr/>
                      <a:t>[値]</a:t>
                    </a:fld>
                    <a:endParaRPr lang="en-US" altLang="en-US" sz="830"/>
                  </a:p>
                  <a:p>
                    <a:r>
                      <a:rPr lang="en-US" altLang="en-US" sz="600"/>
                      <a:t>(</a:t>
                    </a:r>
                    <a:r>
                      <a:rPr lang="en-US" altLang="ja-JP" sz="600"/>
                      <a:t>5.2</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487-4AB1-962D-D939BF66FEA3}"/>
                </c:ext>
              </c:extLst>
            </c:dLbl>
            <c:dLbl>
              <c:idx val="5"/>
              <c:layout>
                <c:manualLayout>
                  <c:x val="2.6895605546161001E-4"/>
                  <c:y val="-1.3708330552476739E-5"/>
                </c:manualLayout>
              </c:layout>
              <c:tx>
                <c:rich>
                  <a:bodyPr/>
                  <a:lstStyle/>
                  <a:p>
                    <a:fld id="{DEDC7EC6-90B1-4247-86C2-2184240F784A}" type="VALUE">
                      <a:rPr lang="en-US" altLang="en-US" sz="830"/>
                      <a:pPr/>
                      <a:t>[値]</a:t>
                    </a:fld>
                    <a:endParaRPr lang="en-US" altLang="en-US" sz="830"/>
                  </a:p>
                  <a:p>
                    <a:r>
                      <a:rPr lang="en-US" altLang="en-US" sz="600"/>
                      <a:t>(6</a:t>
                    </a:r>
                    <a:r>
                      <a:rPr lang="en-US" altLang="ja-JP" sz="600"/>
                      <a:t>.6</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8487-4AB1-962D-D939BF66FEA3}"/>
                </c:ext>
              </c:extLst>
            </c:dLbl>
            <c:dLbl>
              <c:idx val="6"/>
              <c:layout>
                <c:manualLayout>
                  <c:x val="-4.0900330024376834E-4"/>
                  <c:y val="4.9940348749926019E-4"/>
                </c:manualLayout>
              </c:layout>
              <c:tx>
                <c:rich>
                  <a:bodyPr/>
                  <a:lstStyle/>
                  <a:p>
                    <a:fld id="{8C25ADFE-0CEA-4BB1-B92D-CF87565353C9}" type="VALUE">
                      <a:rPr lang="en-US" altLang="en-US" sz="830"/>
                      <a:pPr/>
                      <a:t>[値]</a:t>
                    </a:fld>
                    <a:endParaRPr lang="en-US" altLang="en-US" sz="830"/>
                  </a:p>
                  <a:p>
                    <a:r>
                      <a:rPr lang="en-US" altLang="en-US" sz="600"/>
                      <a:t>(</a:t>
                    </a:r>
                    <a:r>
                      <a:rPr lang="en-US" altLang="ja-JP" sz="600"/>
                      <a:t>5.0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8487-4AB1-962D-D939BF66FEA3}"/>
                </c:ext>
              </c:extLst>
            </c:dLbl>
            <c:dLbl>
              <c:idx val="7"/>
              <c:layout>
                <c:manualLayout>
                  <c:x val="1.3190507642377425E-3"/>
                  <c:y val="-1.2735245511005721E-3"/>
                </c:manualLayout>
              </c:layout>
              <c:tx>
                <c:rich>
                  <a:bodyPr/>
                  <a:lstStyle/>
                  <a:p>
                    <a:fld id="{1EB36ABE-D961-4004-865A-F01715EF01BF}" type="VALUE">
                      <a:rPr lang="en-US" altLang="en-US" sz="830"/>
                      <a:pPr/>
                      <a:t>[値]</a:t>
                    </a:fld>
                    <a:endParaRPr lang="en-US" altLang="en-US" sz="830"/>
                  </a:p>
                  <a:p>
                    <a:r>
                      <a:rPr lang="en-US" altLang="en-US" sz="600"/>
                      <a:t>(</a:t>
                    </a:r>
                    <a:r>
                      <a:rPr lang="en-US" altLang="ja-JP" sz="600"/>
                      <a:t>5.2</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頁６データ!$B$51:$J$51</c:f>
              <c:numCache>
                <c:formatCode>#,##0;"△ "#,##0</c:formatCode>
                <c:ptCount val="6"/>
                <c:pt idx="0">
                  <c:v>72801</c:v>
                </c:pt>
                <c:pt idx="1">
                  <c:v>137989</c:v>
                </c:pt>
                <c:pt idx="2">
                  <c:v>95356</c:v>
                </c:pt>
                <c:pt idx="3">
                  <c:v>88300</c:v>
                </c:pt>
                <c:pt idx="4">
                  <c:v>106086</c:v>
                </c:pt>
                <c:pt idx="5">
                  <c:v>131888</c:v>
                </c:pt>
              </c:numCache>
            </c:numRef>
          </c:val>
          <c:extLst>
            <c:ext xmlns:c16="http://schemas.microsoft.com/office/drawing/2014/chart" uri="{C3380CC4-5D6E-409C-BE32-E72D297353CC}">
              <c16:uniqueId val="{00000011-8487-4AB1-962D-D939BF66FEA3}"/>
            </c:ext>
          </c:extLst>
        </c:ser>
        <c:ser>
          <c:idx val="1"/>
          <c:order val="2"/>
          <c:tx>
            <c:v>地方交付税</c:v>
          </c:tx>
          <c:spPr>
            <a:solidFill>
              <a:srgbClr val="00CCFF"/>
            </a:solidFill>
            <a:ln w="12700">
              <a:solidFill>
                <a:srgbClr val="000000"/>
              </a:solidFill>
              <a:prstDash val="solid"/>
            </a:ln>
          </c:spPr>
          <c:invertIfNegative val="0"/>
          <c:dLbls>
            <c:dLbl>
              <c:idx val="0"/>
              <c:layout>
                <c:manualLayout>
                  <c:x val="-4.5139766556242723E-2"/>
                  <c:y val="-2.1534386446643624E-2"/>
                </c:manualLayout>
              </c:layout>
              <c:tx>
                <c:rich>
                  <a:bodyPr/>
                  <a:lstStyle/>
                  <a:p>
                    <a:fld id="{33C13226-C956-4624-854B-70667F6B788C}" type="VALUE">
                      <a:rPr lang="en-US" altLang="ja-JP" sz="830"/>
                      <a:pPr/>
                      <a:t>[値]</a:t>
                    </a:fld>
                    <a:endParaRPr lang="en-US" altLang="ja-JP" sz="830"/>
                  </a:p>
                  <a:p>
                    <a:r>
                      <a:rPr lang="en-US" altLang="en-US" sz="600"/>
                      <a:t>(0.7)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8487-4AB1-962D-D939BF66FEA3}"/>
                </c:ext>
              </c:extLst>
            </c:dLbl>
            <c:dLbl>
              <c:idx val="1"/>
              <c:layout>
                <c:manualLayout>
                  <c:x val="4.9150393071568738E-2"/>
                  <c:y val="-3.041059170206116E-2"/>
                </c:manualLayout>
              </c:layout>
              <c:tx>
                <c:rich>
                  <a:bodyPr/>
                  <a:lstStyle/>
                  <a:p>
                    <a:r>
                      <a:rPr lang="en-US" altLang="ja-JP" sz="830"/>
                      <a:t>528</a:t>
                    </a:r>
                    <a:endParaRPr lang="en-US" altLang="en-US" sz="830"/>
                  </a:p>
                  <a:p>
                    <a:r>
                      <a:rPr lang="en-US" altLang="en-US" sz="600"/>
                      <a:t>(</a:t>
                    </a:r>
                    <a:r>
                      <a:rPr lang="en-US" altLang="ja-JP" sz="600"/>
                      <a:t>3.0</a:t>
                    </a:r>
                    <a:r>
                      <a:rPr lang="en-US" altLang="en-US" sz="600"/>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487-4AB1-962D-D939BF66FEA3}"/>
                </c:ext>
              </c:extLst>
            </c:dLbl>
            <c:dLbl>
              <c:idx val="2"/>
              <c:layout>
                <c:manualLayout>
                  <c:x val="-4.715285287970105E-2"/>
                  <c:y val="-3.0498834141507794E-2"/>
                </c:manualLayout>
              </c:layout>
              <c:tx>
                <c:rich>
                  <a:bodyPr/>
                  <a:lstStyle/>
                  <a:p>
                    <a:fld id="{8A0313F3-9032-42CF-B8BB-47EAEF3E1A3A}" type="VALUE">
                      <a:rPr lang="en-US" altLang="ja-JP" sz="830"/>
                      <a:pPr/>
                      <a:t>[値]</a:t>
                    </a:fld>
                    <a:endParaRPr lang="en-US" altLang="ja-JP" sz="830"/>
                  </a:p>
                  <a:p>
                    <a:r>
                      <a:rPr lang="en-US" sz="600"/>
                      <a:t>(2</a:t>
                    </a:r>
                    <a:r>
                      <a:rPr lang="en-US" altLang="ja-JP" sz="600"/>
                      <a:t>.5</a:t>
                    </a:r>
                    <a:r>
                      <a:rPr 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8487-4AB1-962D-D939BF66FEA3}"/>
                </c:ext>
              </c:extLst>
            </c:dLbl>
            <c:dLbl>
              <c:idx val="3"/>
              <c:layout>
                <c:manualLayout>
                  <c:x val="-4.9158731046614577E-2"/>
                  <c:y val="-2.5333113966127759E-2"/>
                </c:manualLayout>
              </c:layout>
              <c:tx>
                <c:rich>
                  <a:bodyPr/>
                  <a:lstStyle/>
                  <a:p>
                    <a:fld id="{FBEEA526-690B-4B06-8A58-50DA864245E3}"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8487-4AB1-962D-D939BF66FEA3}"/>
                </c:ext>
              </c:extLst>
            </c:dLbl>
            <c:dLbl>
              <c:idx val="4"/>
              <c:layout>
                <c:manualLayout>
                  <c:x val="-4.6549587307202003E-2"/>
                  <c:y val="-2.1519543039186032E-2"/>
                </c:manualLayout>
              </c:layout>
              <c:tx>
                <c:rich>
                  <a:bodyPr/>
                  <a:lstStyle/>
                  <a:p>
                    <a:fld id="{80E72C14-4BB1-4AEF-B9A2-F9ECEEE33DB3}" type="VALUE">
                      <a:rPr lang="en-US" altLang="en-US" sz="830"/>
                      <a:pPr/>
                      <a:t>[値]</a:t>
                    </a:fld>
                    <a:endParaRPr lang="en-US" altLang="en-US" sz="830"/>
                  </a:p>
                  <a:p>
                    <a:r>
                      <a:rPr lang="en-US" altLang="en-US" sz="600"/>
                      <a:t>(1</a:t>
                    </a:r>
                    <a:r>
                      <a:rPr lang="en-US" altLang="ja-JP" sz="600"/>
                      <a:t>.7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8487-4AB1-962D-D939BF66FEA3}"/>
                </c:ext>
              </c:extLst>
            </c:dLbl>
            <c:dLbl>
              <c:idx val="5"/>
              <c:layout>
                <c:manualLayout>
                  <c:x val="2.4303249789472075E-4"/>
                  <c:y val="-1.1724742932908193E-3"/>
                </c:manualLayout>
              </c:layout>
              <c:tx>
                <c:rich>
                  <a:bodyPr/>
                  <a:lstStyle/>
                  <a:p>
                    <a:fld id="{FA53BE6B-CAE7-46C2-ACB9-2CB3E04DDD44}" type="VALUE">
                      <a:rPr lang="en-US" altLang="en-US" sz="830"/>
                      <a:pPr/>
                      <a:t>[値]</a:t>
                    </a:fld>
                    <a:endParaRPr lang="en-US" altLang="en-US" sz="830"/>
                  </a:p>
                  <a:p>
                    <a:r>
                      <a:rPr lang="en-US" altLang="en-US" sz="600"/>
                      <a:t>(3</a:t>
                    </a:r>
                    <a:r>
                      <a:rPr lang="en-US" altLang="ja-JP" sz="600"/>
                      <a:t>.6</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8487-4AB1-962D-D939BF66FEA3}"/>
                </c:ext>
              </c:extLst>
            </c:dLbl>
            <c:dLbl>
              <c:idx val="6"/>
              <c:layout>
                <c:manualLayout>
                  <c:x val="-4.7700221921881912E-2"/>
                  <c:y val="-2.0241522493701449E-2"/>
                </c:manualLayout>
              </c:layout>
              <c:tx>
                <c:rich>
                  <a:bodyPr/>
                  <a:lstStyle/>
                  <a:p>
                    <a:fld id="{7594A32D-444F-42A4-A95B-D664F04B9CF1}"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8487-4AB1-962D-D939BF66FEA3}"/>
                </c:ext>
              </c:extLst>
            </c:dLbl>
            <c:dLbl>
              <c:idx val="7"/>
              <c:layout>
                <c:manualLayout>
                  <c:x val="-4.7843105369197919E-2"/>
                  <c:y val="-2.1536035561476426E-2"/>
                </c:manualLayout>
              </c:layout>
              <c:tx>
                <c:rich>
                  <a:bodyPr/>
                  <a:lstStyle/>
                  <a:p>
                    <a:fld id="{89591C30-2CB9-48D5-8B96-1ABAE279377F}" type="VALUE">
                      <a:rPr lang="en-US" altLang="en-US" sz="830"/>
                      <a:pPr/>
                      <a:t>[値]</a:t>
                    </a:fld>
                    <a:endParaRPr lang="en-US" altLang="en-US" sz="830"/>
                  </a:p>
                  <a:p>
                    <a:r>
                      <a:rPr lang="en-US" altLang="en-US" sz="600"/>
                      <a:t>(</a:t>
                    </a:r>
                    <a:r>
                      <a:rPr lang="en-US" altLang="ja-JP" sz="600"/>
                      <a:t>1.7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頁６データ!$B$50:$J$50</c:f>
              <c:numCache>
                <c:formatCode>#,##0;"△ "#,##0</c:formatCode>
                <c:ptCount val="6"/>
                <c:pt idx="0">
                  <c:v>12844</c:v>
                </c:pt>
                <c:pt idx="1">
                  <c:v>52770</c:v>
                </c:pt>
                <c:pt idx="2">
                  <c:v>43642</c:v>
                </c:pt>
                <c:pt idx="3">
                  <c:v>44514</c:v>
                </c:pt>
                <c:pt idx="4">
                  <c:v>33867</c:v>
                </c:pt>
                <c:pt idx="5">
                  <c:v>72485</c:v>
                </c:pt>
              </c:numCache>
            </c:numRef>
          </c:val>
          <c:extLst>
            <c:ext xmlns:c16="http://schemas.microsoft.com/office/drawing/2014/chart" uri="{C3380CC4-5D6E-409C-BE32-E72D297353CC}">
              <c16:uniqueId val="{0000001A-8487-4AB1-962D-D939BF66FEA3}"/>
            </c:ext>
          </c:extLst>
        </c:ser>
        <c:ser>
          <c:idx val="3"/>
          <c:order val="3"/>
          <c:tx>
            <c:v>国庫支出金</c:v>
          </c:tx>
          <c:spPr>
            <a:solidFill>
              <a:srgbClr val="00FF00"/>
            </a:solidFill>
            <a:ln w="12700">
              <a:solidFill>
                <a:srgbClr val="000000"/>
              </a:solidFill>
              <a:prstDash val="solid"/>
            </a:ln>
          </c:spPr>
          <c:invertIfNegative val="0"/>
          <c:dLbls>
            <c:dLbl>
              <c:idx val="0"/>
              <c:tx>
                <c:rich>
                  <a:bodyPr/>
                  <a:lstStyle/>
                  <a:p>
                    <a:fld id="{82514D5C-E357-48EE-8525-A70D3FCE498E}" type="VALUE">
                      <a:rPr lang="en-US" altLang="ja-JP"/>
                      <a:pPr/>
                      <a:t>[値]</a:t>
                    </a:fld>
                    <a:endParaRPr lang="en-US" altLang="ja-JP"/>
                  </a:p>
                  <a:p>
                    <a:r>
                      <a:rPr lang="en-US" altLang="ja-JP" sz="600"/>
                      <a:t>(11.8)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8487-4AB1-962D-D939BF66FEA3}"/>
                </c:ext>
              </c:extLst>
            </c:dLbl>
            <c:dLbl>
              <c:idx val="1"/>
              <c:tx>
                <c:rich>
                  <a:bodyPr/>
                  <a:lstStyle/>
                  <a:p>
                    <a:fld id="{74BFC249-0BF0-4BE1-87A2-88B8C04E2403}" type="VALUE">
                      <a:rPr lang="en-US" altLang="ja-JP"/>
                      <a:pPr/>
                      <a:t>[値]</a:t>
                    </a:fld>
                    <a:endParaRPr lang="en-US" altLang="ja-JP"/>
                  </a:p>
                  <a:p>
                    <a:r>
                      <a:rPr lang="en-US" altLang="ja-JP" sz="600"/>
                      <a:t>(23.2)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8487-4AB1-962D-D939BF66FEA3}"/>
                </c:ext>
              </c:extLst>
            </c:dLbl>
            <c:dLbl>
              <c:idx val="2"/>
              <c:tx>
                <c:rich>
                  <a:bodyPr/>
                  <a:lstStyle/>
                  <a:p>
                    <a:fld id="{83D604BC-98E7-4316-B817-666F36E5CF68}" type="VALUE">
                      <a:rPr lang="en-US" altLang="ja-JP"/>
                      <a:pPr/>
                      <a:t>[値]</a:t>
                    </a:fld>
                    <a:endParaRPr lang="en-US" altLang="ja-JP"/>
                  </a:p>
                  <a:p>
                    <a:r>
                      <a:rPr lang="en-US" altLang="ja-JP" sz="600"/>
                      <a:t>(22.5)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8487-4AB1-962D-D939BF66FEA3}"/>
                </c:ext>
              </c:extLst>
            </c:dLbl>
            <c:dLbl>
              <c:idx val="3"/>
              <c:tx>
                <c:rich>
                  <a:bodyPr/>
                  <a:lstStyle/>
                  <a:p>
                    <a:r>
                      <a:rPr lang="en-US" altLang="ja-JP"/>
                      <a:t>4,212</a:t>
                    </a:r>
                  </a:p>
                  <a:p>
                    <a:r>
                      <a:rPr lang="en-US" altLang="ja-JP" sz="600"/>
                      <a:t>(23.9)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8487-4AB1-962D-D939BF66FEA3}"/>
                </c:ext>
              </c:extLst>
            </c:dLbl>
            <c:dLbl>
              <c:idx val="4"/>
              <c:layout>
                <c:manualLayout>
                  <c:x val="7.2370119175304399E-4"/>
                  <c:y val="2.5935761162058182E-3"/>
                </c:manualLayout>
              </c:layout>
              <c:tx>
                <c:rich>
                  <a:bodyPr/>
                  <a:lstStyle/>
                  <a:p>
                    <a:fld id="{E5D6E017-1F58-49A1-A593-D14A17CC364C}" type="VALUE">
                      <a:rPr lang="en-US" altLang="ja-JP" sz="830"/>
                      <a:pPr/>
                      <a:t>[値]</a:t>
                    </a:fld>
                    <a:endParaRPr lang="en-US" altLang="ja-JP" sz="830"/>
                  </a:p>
                  <a:p>
                    <a:r>
                      <a:rPr lang="en-US" altLang="ja-JP" sz="600"/>
                      <a:t>(37.7)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8487-4AB1-962D-D939BF66FEA3}"/>
                </c:ext>
              </c:extLst>
            </c:dLbl>
            <c:dLbl>
              <c:idx val="5"/>
              <c:layout>
                <c:manualLayout>
                  <c:x val="2.1543216678779641E-3"/>
                  <c:y val="-1.9619923027223642E-3"/>
                </c:manualLayout>
              </c:layout>
              <c:tx>
                <c:rich>
                  <a:bodyPr/>
                  <a:lstStyle/>
                  <a:p>
                    <a:fld id="{7A77949C-5C87-42EC-9E13-583B158451F2}" type="VALUE">
                      <a:rPr lang="en-US" altLang="en-US" sz="830"/>
                      <a:pPr/>
                      <a:t>[値]</a:t>
                    </a:fld>
                    <a:endParaRPr lang="en-US" altLang="en-US" sz="830"/>
                  </a:p>
                  <a:p>
                    <a:r>
                      <a:rPr lang="en-US" altLang="en-US" sz="600"/>
                      <a:t>(29</a:t>
                    </a:r>
                    <a:r>
                      <a:rPr lang="en-US" altLang="ja-JP" sz="600"/>
                      <a:t>.8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8487-4AB1-962D-D939BF66FEA3}"/>
                </c:ext>
              </c:extLst>
            </c:dLbl>
            <c:dLbl>
              <c:idx val="6"/>
              <c:layout>
                <c:manualLayout>
                  <c:x val="-4.1093396215500648E-4"/>
                  <c:y val="-1.2967880581028625E-3"/>
                </c:manualLayout>
              </c:layout>
              <c:tx>
                <c:rich>
                  <a:bodyPr/>
                  <a:lstStyle/>
                  <a:p>
                    <a:fld id="{A2D13AA7-C4DF-41EE-8E5D-D0B7DD14F395}" type="VALUE">
                      <a:rPr lang="en-US" altLang="en-US" sz="830"/>
                      <a:pPr/>
                      <a:t>[値]</a:t>
                    </a:fld>
                    <a:endParaRPr lang="en-US" altLang="en-US" sz="830"/>
                  </a:p>
                  <a:p>
                    <a:r>
                      <a:rPr lang="en-US" altLang="en-US" sz="600"/>
                      <a:t>(</a:t>
                    </a:r>
                    <a:r>
                      <a:rPr lang="en-US" altLang="ja-JP" sz="600"/>
                      <a:t>23.9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8487-4AB1-962D-D939BF66FEA3}"/>
                </c:ext>
              </c:extLst>
            </c:dLbl>
            <c:dLbl>
              <c:idx val="7"/>
              <c:layout>
                <c:manualLayout>
                  <c:x val="-5.6537106668306885E-4"/>
                  <c:y val="2.5649255839018188E-3"/>
                </c:manualLayout>
              </c:layout>
              <c:tx>
                <c:rich>
                  <a:bodyPr/>
                  <a:lstStyle/>
                  <a:p>
                    <a:fld id="{5B437439-F49B-418E-8F77-3BBF7E9755C3}" type="VALUE">
                      <a:rPr lang="en-US" altLang="en-US" sz="830"/>
                      <a:pPr/>
                      <a:t>[値]</a:t>
                    </a:fld>
                    <a:endParaRPr lang="en-US" altLang="en-US" sz="830"/>
                  </a:p>
                  <a:p>
                    <a:r>
                      <a:rPr lang="en-US" altLang="en-US" sz="600"/>
                      <a:t>(</a:t>
                    </a:r>
                    <a:r>
                      <a:rPr lang="en-US" altLang="ja-JP" sz="600"/>
                      <a:t>37.7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頁６データ!$B$52:$J$52</c:f>
              <c:numCache>
                <c:formatCode>#,##0;"△ "#,##0</c:formatCode>
                <c:ptCount val="6"/>
                <c:pt idx="0">
                  <c:v>219549</c:v>
                </c:pt>
                <c:pt idx="1">
                  <c:v>403887</c:v>
                </c:pt>
                <c:pt idx="2">
                  <c:v>396685</c:v>
                </c:pt>
                <c:pt idx="3">
                  <c:v>421185</c:v>
                </c:pt>
                <c:pt idx="4">
                  <c:v>770142</c:v>
                </c:pt>
                <c:pt idx="5">
                  <c:v>597577</c:v>
                </c:pt>
              </c:numCache>
            </c:numRef>
          </c:val>
          <c:extLst>
            <c:ext xmlns:c16="http://schemas.microsoft.com/office/drawing/2014/chart" uri="{C3380CC4-5D6E-409C-BE32-E72D297353CC}">
              <c16:uniqueId val="{00000023-8487-4AB1-962D-D939BF66FEA3}"/>
            </c:ext>
          </c:extLst>
        </c:ser>
        <c:ser>
          <c:idx val="4"/>
          <c:order val="4"/>
          <c:tx>
            <c:v>地方債</c:v>
          </c:tx>
          <c:spPr>
            <a:solidFill>
              <a:srgbClr val="FF9900"/>
            </a:solidFill>
            <a:ln w="12700">
              <a:solidFill>
                <a:srgbClr val="000000"/>
              </a:solidFill>
              <a:prstDash val="solid"/>
            </a:ln>
          </c:spPr>
          <c:invertIfNegative val="0"/>
          <c:dLbls>
            <c:dLbl>
              <c:idx val="0"/>
              <c:tx>
                <c:rich>
                  <a:bodyPr/>
                  <a:lstStyle/>
                  <a:p>
                    <a:fld id="{DD95751E-4ACF-4998-B061-F46352EF9ECF}" type="VALUE">
                      <a:rPr lang="en-US" altLang="ja-JP"/>
                      <a:pPr/>
                      <a:t>[値]</a:t>
                    </a:fld>
                    <a:endParaRPr lang="en-US" altLang="ja-JP"/>
                  </a:p>
                  <a:p>
                    <a:r>
                      <a:rPr lang="en-US" altLang="ja-JP" sz="600"/>
                      <a:t>(15.4)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8487-4AB1-962D-D939BF66FEA3}"/>
                </c:ext>
              </c:extLst>
            </c:dLbl>
            <c:dLbl>
              <c:idx val="1"/>
              <c:tx>
                <c:rich>
                  <a:bodyPr/>
                  <a:lstStyle/>
                  <a:p>
                    <a:fld id="{B5D7DB8E-D5BC-44CF-B278-1B536CA3528A}" type="VALUE">
                      <a:rPr lang="en-US" altLang="ja-JP"/>
                      <a:pPr/>
                      <a:t>[値]</a:t>
                    </a:fld>
                    <a:endParaRPr lang="en-US" altLang="ja-JP"/>
                  </a:p>
                  <a:p>
                    <a:r>
                      <a:rPr lang="en-US" altLang="ja-JP" sz="600"/>
                      <a:t>(6.8)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8487-4AB1-962D-D939BF66FEA3}"/>
                </c:ext>
              </c:extLst>
            </c:dLbl>
            <c:dLbl>
              <c:idx val="2"/>
              <c:tx>
                <c:rich>
                  <a:bodyPr/>
                  <a:lstStyle/>
                  <a:p>
                    <a:fld id="{2B67A21A-FD2E-42BC-B0C2-B969677F20A4}" type="VALUE">
                      <a:rPr lang="en-US" altLang="ja-JP"/>
                      <a:pPr/>
                      <a:t>[値]</a:t>
                    </a:fld>
                    <a:endParaRPr lang="en-US" altLang="ja-JP"/>
                  </a:p>
                  <a:p>
                    <a:r>
                      <a:rPr lang="en-US" altLang="ja-JP" sz="600"/>
                      <a:t>(5.9)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8487-4AB1-962D-D939BF66FEA3}"/>
                </c:ext>
              </c:extLst>
            </c:dLbl>
            <c:dLbl>
              <c:idx val="3"/>
              <c:tx>
                <c:rich>
                  <a:bodyPr/>
                  <a:lstStyle/>
                  <a:p>
                    <a:fld id="{C94760B8-F681-4EA5-B5DF-BCD7A904A8E6}" type="VALUE">
                      <a:rPr lang="en-US" altLang="ja-JP"/>
                      <a:pPr/>
                      <a:t>[値]</a:t>
                    </a:fld>
                    <a:endParaRPr lang="en-US" altLang="ja-JP"/>
                  </a:p>
                  <a:p>
                    <a:r>
                      <a:rPr lang="en-US" altLang="ja-JP" sz="600"/>
                      <a:t>(5.7)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8487-4AB1-962D-D939BF66FEA3}"/>
                </c:ext>
              </c:extLst>
            </c:dLbl>
            <c:dLbl>
              <c:idx val="4"/>
              <c:layout>
                <c:manualLayout>
                  <c:x val="7.1924581811204434E-4"/>
                  <c:y val="2.5631576308922E-3"/>
                </c:manualLayout>
              </c:layout>
              <c:tx>
                <c:rich>
                  <a:bodyPr/>
                  <a:lstStyle/>
                  <a:p>
                    <a:fld id="{3C59649E-7533-48AC-B2D1-90FDB69E19CA}" type="VALUE">
                      <a:rPr lang="en-US" altLang="en-US" sz="830"/>
                      <a:pPr/>
                      <a:t>[値]</a:t>
                    </a:fld>
                    <a:endParaRPr lang="en-US" altLang="en-US" sz="830"/>
                  </a:p>
                  <a:p>
                    <a:r>
                      <a:rPr lang="en-US" altLang="en-US" sz="600"/>
                      <a:t>(</a:t>
                    </a:r>
                    <a:r>
                      <a:rPr lang="en-US" altLang="ja-JP" sz="600"/>
                      <a:t>5.3</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8487-4AB1-962D-D939BF66FEA3}"/>
                </c:ext>
              </c:extLst>
            </c:dLbl>
            <c:dLbl>
              <c:idx val="5"/>
              <c:layout>
                <c:manualLayout>
                  <c:x val="2.6375811954711044E-4"/>
                  <c:y val="-2.8717451595334485E-5"/>
                </c:manualLayout>
              </c:layout>
              <c:tx>
                <c:rich>
                  <a:bodyPr/>
                  <a:lstStyle/>
                  <a:p>
                    <a:fld id="{649EDD80-69D6-4581-87D7-87D0E133508B}" type="VALUE">
                      <a:rPr lang="en-US" altLang="en-US" sz="830"/>
                      <a:pPr/>
                      <a:t>[値]</a:t>
                    </a:fld>
                    <a:endParaRPr lang="en-US" altLang="en-US" sz="830"/>
                  </a:p>
                  <a:p>
                    <a:r>
                      <a:rPr lang="en-US" altLang="en-US" sz="600"/>
                      <a:t>(7</a:t>
                    </a:r>
                    <a:r>
                      <a:rPr lang="en-US" altLang="ja-JP" sz="600"/>
                      <a:t>.8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8487-4AB1-962D-D939BF66FEA3}"/>
                </c:ext>
              </c:extLst>
            </c:dLbl>
            <c:dLbl>
              <c:idx val="6"/>
              <c:layout>
                <c:manualLayout>
                  <c:x val="-4.0425090169336872E-4"/>
                  <c:y val="1.2653689647198602E-3"/>
                </c:manualLayout>
              </c:layout>
              <c:tx>
                <c:rich>
                  <a:bodyPr/>
                  <a:lstStyle/>
                  <a:p>
                    <a:fld id="{4B6567C4-4D5A-4418-B64B-9860E0081C5C}" type="VALUE">
                      <a:rPr lang="en-US" altLang="en-US" sz="830"/>
                      <a:pPr/>
                      <a:t>[値]</a:t>
                    </a:fld>
                    <a:endParaRPr lang="en-US" altLang="en-US" sz="830"/>
                  </a:p>
                  <a:p>
                    <a:r>
                      <a:rPr lang="en-US" altLang="en-US" sz="600"/>
                      <a:t>(</a:t>
                    </a:r>
                    <a:r>
                      <a:rPr lang="en-US" altLang="ja-JP" sz="600"/>
                      <a:t>5.7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8487-4AB1-962D-D939BF66FEA3}"/>
                </c:ext>
              </c:extLst>
            </c:dLbl>
            <c:dLbl>
              <c:idx val="7"/>
              <c:layout>
                <c:manualLayout>
                  <c:x val="-5.6774532838042553E-4"/>
                  <c:y val="6.9908028997051476E-7"/>
                </c:manualLayout>
              </c:layout>
              <c:tx>
                <c:rich>
                  <a:bodyPr/>
                  <a:lstStyle/>
                  <a:p>
                    <a:fld id="{11370641-367B-4B48-889D-9DC38708BCCB}" type="VALUE">
                      <a:rPr lang="en-US" altLang="en-US" sz="830"/>
                      <a:pPr/>
                      <a:t>[値]</a:t>
                    </a:fld>
                    <a:endParaRPr lang="en-US" altLang="en-US" sz="830"/>
                  </a:p>
                  <a:p>
                    <a:r>
                      <a:rPr lang="en-US" altLang="en-US" sz="600"/>
                      <a:t>(</a:t>
                    </a:r>
                    <a:r>
                      <a:rPr lang="en-US" altLang="ja-JP" sz="600"/>
                      <a:t>5.3</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頁６データ!$B$53:$J$53</c:f>
              <c:numCache>
                <c:formatCode>#,##0;"△ "#,##0</c:formatCode>
                <c:ptCount val="6"/>
                <c:pt idx="0">
                  <c:v>285869</c:v>
                </c:pt>
                <c:pt idx="1">
                  <c:v>117973</c:v>
                </c:pt>
                <c:pt idx="2">
                  <c:v>103599</c:v>
                </c:pt>
                <c:pt idx="3">
                  <c:v>100265</c:v>
                </c:pt>
                <c:pt idx="4">
                  <c:v>108576</c:v>
                </c:pt>
                <c:pt idx="5">
                  <c:v>156044</c:v>
                </c:pt>
              </c:numCache>
            </c:numRef>
          </c:val>
          <c:extLst>
            <c:ext xmlns:c16="http://schemas.microsoft.com/office/drawing/2014/chart" uri="{C3380CC4-5D6E-409C-BE32-E72D297353CC}">
              <c16:uniqueId val="{0000002C-8487-4AB1-962D-D939BF66FEA3}"/>
            </c:ext>
          </c:extLst>
        </c:ser>
        <c:ser>
          <c:idx val="6"/>
          <c:order val="5"/>
          <c:tx>
            <c:v>その他</c:v>
          </c:tx>
          <c:spPr>
            <a:solidFill>
              <a:srgbClr val="CC99FF"/>
            </a:solidFill>
            <a:ln w="12700">
              <a:solidFill>
                <a:srgbClr val="000000"/>
              </a:solidFill>
              <a:prstDash val="solid"/>
            </a:ln>
          </c:spPr>
          <c:invertIfNegative val="0"/>
          <c:dLbls>
            <c:dLbl>
              <c:idx val="0"/>
              <c:tx>
                <c:rich>
                  <a:bodyPr/>
                  <a:lstStyle/>
                  <a:p>
                    <a:fld id="{16917DB7-C5E8-4B57-ACAB-DD8E89AB997C}" type="VALUE">
                      <a:rPr lang="en-US" altLang="ja-JP"/>
                      <a:pPr/>
                      <a:t>[値]</a:t>
                    </a:fld>
                    <a:endParaRPr lang="en-US" altLang="ja-JP" sz="830"/>
                  </a:p>
                  <a:p>
                    <a:r>
                      <a:rPr lang="en-US" altLang="ja-JP" sz="600"/>
                      <a:t>(26.3)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D-8487-4AB1-962D-D939BF66FEA3}"/>
                </c:ext>
              </c:extLst>
            </c:dLbl>
            <c:dLbl>
              <c:idx val="1"/>
              <c:tx>
                <c:rich>
                  <a:bodyPr/>
                  <a:lstStyle/>
                  <a:p>
                    <a:fld id="{E6E3A73A-D688-4720-8E40-3ACED6813943}" type="VALUE">
                      <a:rPr lang="en-US" altLang="ja-JP"/>
                      <a:pPr/>
                      <a:t>[値]</a:t>
                    </a:fld>
                    <a:endParaRPr lang="en-US" altLang="ja-JP"/>
                  </a:p>
                  <a:p>
                    <a:r>
                      <a:rPr lang="en-US" altLang="ja-JP" sz="600"/>
                      <a:t>(20.3)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8487-4AB1-962D-D939BF66FEA3}"/>
                </c:ext>
              </c:extLst>
            </c:dLbl>
            <c:dLbl>
              <c:idx val="2"/>
              <c:tx>
                <c:rich>
                  <a:bodyPr/>
                  <a:lstStyle/>
                  <a:p>
                    <a:fld id="{ECF2CB23-1D12-4E37-8B68-62E7E6792FA1}" type="VALUE">
                      <a:rPr lang="en-US" altLang="ja-JP" sz="830"/>
                      <a:pPr/>
                      <a:t>[値]</a:t>
                    </a:fld>
                    <a:endParaRPr lang="en-US" altLang="ja-JP" sz="830"/>
                  </a:p>
                  <a:p>
                    <a:r>
                      <a:rPr lang="en-US" altLang="ja-JP" sz="600"/>
                      <a:t>(21.8)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F-8487-4AB1-962D-D939BF66FEA3}"/>
                </c:ext>
              </c:extLst>
            </c:dLbl>
            <c:dLbl>
              <c:idx val="3"/>
              <c:tx>
                <c:rich>
                  <a:bodyPr/>
                  <a:lstStyle/>
                  <a:p>
                    <a:fld id="{D4D9B258-1052-4A22-B561-AC1B528E852C}" type="VALUE">
                      <a:rPr lang="en-US" altLang="ja-JP"/>
                      <a:pPr/>
                      <a:t>[値]</a:t>
                    </a:fld>
                    <a:endParaRPr lang="en-US" altLang="ja-JP"/>
                  </a:p>
                  <a:p>
                    <a:r>
                      <a:rPr lang="en-US" altLang="ja-JP" sz="600"/>
                      <a:t>(18.9)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0-8487-4AB1-962D-D939BF66FEA3}"/>
                </c:ext>
              </c:extLst>
            </c:dLbl>
            <c:dLbl>
              <c:idx val="4"/>
              <c:layout>
                <c:manualLayout>
                  <c:x val="-1.16389210748381E-3"/>
                  <c:y val="1.1393223662019456E-2"/>
                </c:manualLayout>
              </c:layout>
              <c:tx>
                <c:rich>
                  <a:bodyPr wrap="square" lIns="38100" tIns="19050" rIns="38100" bIns="19050" anchor="ctr">
                    <a:noAutofit/>
                  </a:bodyPr>
                  <a:lstStyle/>
                  <a:p>
                    <a:pPr>
                      <a:defRPr/>
                    </a:pPr>
                    <a:fld id="{053F42F3-2849-4CA1-8A72-1A216CB50D5C}" type="VALUE">
                      <a:rPr lang="en-US" altLang="en-US" sz="830"/>
                      <a:pPr>
                        <a:defRPr/>
                      </a:pPr>
                      <a:t>[値]</a:t>
                    </a:fld>
                    <a:endParaRPr lang="en-US" altLang="en-US" sz="830"/>
                  </a:p>
                  <a:p>
                    <a:pPr>
                      <a:defRPr/>
                    </a:pPr>
                    <a:r>
                      <a:rPr lang="en-US" altLang="en-US" sz="600"/>
                      <a:t>(</a:t>
                    </a:r>
                    <a:r>
                      <a:rPr lang="en-US" altLang="ja-JP" sz="600"/>
                      <a:t>13.7</a:t>
                    </a:r>
                    <a:r>
                      <a:rPr lang="en-US" altLang="en-US" sz="600"/>
                      <a:t>)</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8884297213817244E-2"/>
                      <c:h val="2.897360726113259E-2"/>
                    </c:manualLayout>
                  </c15:layout>
                  <c15:dlblFieldTable/>
                  <c15:showDataLabelsRange val="0"/>
                </c:ext>
                <c:ext xmlns:c16="http://schemas.microsoft.com/office/drawing/2014/chart" uri="{C3380CC4-5D6E-409C-BE32-E72D297353CC}">
                  <c16:uniqueId val="{00000031-8487-4AB1-962D-D939BF66FEA3}"/>
                </c:ext>
              </c:extLst>
            </c:dLbl>
            <c:dLbl>
              <c:idx val="5"/>
              <c:layout>
                <c:manualLayout>
                  <c:x val="2.1483811696901027E-3"/>
                  <c:y val="2.5597555634559121E-3"/>
                </c:manualLayout>
              </c:layout>
              <c:tx>
                <c:rich>
                  <a:bodyPr/>
                  <a:lstStyle/>
                  <a:p>
                    <a:fld id="{F5868ECF-847F-4836-91F2-B87AA55A57C0}" type="VALUE">
                      <a:rPr lang="en-US" altLang="en-US" sz="830"/>
                      <a:pPr/>
                      <a:t>[値]</a:t>
                    </a:fld>
                    <a:endParaRPr lang="en-US" altLang="en-US" sz="830"/>
                  </a:p>
                  <a:p>
                    <a:r>
                      <a:rPr lang="en-US" altLang="en-US" sz="600"/>
                      <a:t>(14</a:t>
                    </a:r>
                    <a:r>
                      <a:rPr lang="en-US" altLang="ja-JP" sz="600"/>
                      <a:t>.8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2-8487-4AB1-962D-D939BF66FEA3}"/>
                </c:ext>
              </c:extLst>
            </c:dLbl>
            <c:dLbl>
              <c:idx val="6"/>
              <c:layout>
                <c:manualLayout>
                  <c:x val="-4.0870627533436837E-4"/>
                  <c:y val="2.5426451654670542E-3"/>
                </c:manualLayout>
              </c:layout>
              <c:tx>
                <c:rich>
                  <a:bodyPr/>
                  <a:lstStyle/>
                  <a:p>
                    <a:fld id="{6BEE412C-F6CE-441E-9046-9DDAC6553435}" type="VALUE">
                      <a:rPr lang="en-US" altLang="ja-JP" sz="830"/>
                      <a:pPr/>
                      <a:t>[値]</a:t>
                    </a:fld>
                    <a:endParaRPr lang="en-US" altLang="ja-JP" sz="830"/>
                  </a:p>
                  <a:p>
                    <a:r>
                      <a:rPr lang="en-US" altLang="en-US" sz="600"/>
                      <a:t>(</a:t>
                    </a:r>
                    <a:r>
                      <a:rPr lang="en-US" altLang="ja-JP" sz="600"/>
                      <a:t>18.9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8487-4AB1-962D-D939BF66FEA3}"/>
                </c:ext>
              </c:extLst>
            </c:dLbl>
            <c:dLbl>
              <c:idx val="7"/>
              <c:layout>
                <c:manualLayout>
                  <c:x val="-5.6106771735660982E-4"/>
                  <c:y val="-3.8108863978549819E-3"/>
                </c:manualLayout>
              </c:layout>
              <c:tx>
                <c:rich>
                  <a:bodyPr/>
                  <a:lstStyle/>
                  <a:p>
                    <a:fld id="{0E2AD15A-737D-4CD5-A09D-8801C5637599}" type="VALUE">
                      <a:rPr lang="en-US" altLang="en-US" sz="830"/>
                      <a:pPr/>
                      <a:t>[値]</a:t>
                    </a:fld>
                    <a:endParaRPr lang="en-US" altLang="en-US" sz="830"/>
                  </a:p>
                  <a:p>
                    <a:r>
                      <a:rPr lang="en-US" altLang="en-US" sz="600"/>
                      <a:t>(</a:t>
                    </a:r>
                    <a:r>
                      <a:rPr lang="en-US" altLang="ja-JP" sz="600"/>
                      <a:t>13.7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4-8487-4AB1-962D-D939BF66FE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頁６データ!$B$48:$J$48</c:f>
              <c:strCache>
                <c:ptCount val="6"/>
                <c:pt idx="0">
                  <c:v>H８決算</c:v>
                </c:pt>
                <c:pt idx="1">
                  <c:v>H29決算</c:v>
                </c:pt>
                <c:pt idx="2">
                  <c:v>H30決算</c:v>
                </c:pt>
                <c:pt idx="3">
                  <c:v>R元決算</c:v>
                </c:pt>
                <c:pt idx="4">
                  <c:v>R２決算</c:v>
                </c:pt>
                <c:pt idx="5">
                  <c:v>R３決算</c:v>
                </c:pt>
              </c:strCache>
            </c:strRef>
          </c:cat>
          <c:val>
            <c:numRef>
              <c:f>頁６データ!$B$56:$J$56</c:f>
              <c:numCache>
                <c:formatCode>#,##0;"△ "#,##0</c:formatCode>
                <c:ptCount val="6"/>
                <c:pt idx="0">
                  <c:v>489083</c:v>
                </c:pt>
                <c:pt idx="1">
                  <c:v>354794</c:v>
                </c:pt>
                <c:pt idx="2">
                  <c:v>384415</c:v>
                </c:pt>
                <c:pt idx="3">
                  <c:v>333836</c:v>
                </c:pt>
                <c:pt idx="4">
                  <c:v>279351</c:v>
                </c:pt>
                <c:pt idx="5">
                  <c:v>295657</c:v>
                </c:pt>
              </c:numCache>
            </c:numRef>
          </c:val>
          <c:extLst>
            <c:ext xmlns:c16="http://schemas.microsoft.com/office/drawing/2014/chart" uri="{C3380CC4-5D6E-409C-BE32-E72D297353CC}">
              <c16:uniqueId val="{00000035-8487-4AB1-962D-D939BF66FEA3}"/>
            </c:ext>
          </c:extLst>
        </c:ser>
        <c:dLbls>
          <c:showLegendKey val="0"/>
          <c:showVal val="1"/>
          <c:showCatName val="0"/>
          <c:showSerName val="0"/>
          <c:showPercent val="0"/>
          <c:showBubbleSize val="0"/>
        </c:dLbls>
        <c:gapWidth val="120"/>
        <c:overlap val="100"/>
        <c:serLines>
          <c:spPr>
            <a:ln w="3175">
              <a:solidFill>
                <a:srgbClr val="000000"/>
              </a:solidFill>
              <a:prstDash val="sysDash"/>
            </a:ln>
          </c:spPr>
        </c:serLines>
        <c:axId val="400498360"/>
        <c:axId val="399532056"/>
      </c:barChart>
      <c:catAx>
        <c:axId val="400498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32056"/>
        <c:crosses val="autoZero"/>
        <c:auto val="1"/>
        <c:lblAlgn val="ctr"/>
        <c:lblOffset val="100"/>
        <c:tickLblSkip val="1"/>
        <c:tickMarkSkip val="1"/>
        <c:noMultiLvlLbl val="0"/>
      </c:catAx>
      <c:valAx>
        <c:axId val="39953205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00498360"/>
        <c:crosses val="autoZero"/>
        <c:crossBetween val="between"/>
        <c:dispUnits>
          <c:builtInUnit val="hundreds"/>
        </c:dispUnits>
      </c:valAx>
      <c:spPr>
        <a:noFill/>
        <a:ln w="25400">
          <a:solidFill>
            <a:schemeClr val="tx1"/>
          </a:solidFill>
        </a:ln>
      </c:spPr>
    </c:plotArea>
    <c:legend>
      <c:legendPos val="r"/>
      <c:layout>
        <c:manualLayout>
          <c:xMode val="edge"/>
          <c:yMode val="edge"/>
          <c:x val="0.87752173334387773"/>
          <c:y val="0.12813076506593057"/>
          <c:w val="0.10734751773049638"/>
          <c:h val="0.5828669082201253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tx>
                <c:rich>
                  <a:bodyPr/>
                  <a:lstStyle/>
                  <a:p>
                    <a:fld id="{B4C16CB2-FE71-48C2-809E-3A47BF0804B5}" type="VALUE">
                      <a:rPr lang="en-US" altLang="ja-JP"/>
                      <a:pPr/>
                      <a:t>[値]</a:t>
                    </a:fld>
                    <a:endParaRPr lang="en-US" altLang="ja-JP"/>
                  </a:p>
                  <a:p>
                    <a:r>
                      <a:rPr lang="en-US" altLang="ja-JP" sz="650"/>
                      <a:t>(18.1)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0A8-44BA-B5C2-699976EB29BF}"/>
                </c:ext>
              </c:extLst>
            </c:dLbl>
            <c:dLbl>
              <c:idx val="1"/>
              <c:tx>
                <c:rich>
                  <a:bodyPr/>
                  <a:lstStyle/>
                  <a:p>
                    <a:fld id="{E9444DEA-255E-4BCD-A09A-0AE45414CD84}"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0A8-44BA-B5C2-699976EB29BF}"/>
                </c:ext>
              </c:extLst>
            </c:dLbl>
            <c:dLbl>
              <c:idx val="2"/>
              <c:tx>
                <c:rich>
                  <a:bodyPr/>
                  <a:lstStyle/>
                  <a:p>
                    <a:fld id="{EAF14434-E757-4986-BBF7-63B40B90090F}" type="VALUE">
                      <a:rPr lang="en-US" altLang="ja-JP"/>
                      <a:pPr/>
                      <a:t>[値]</a:t>
                    </a:fld>
                    <a:endParaRPr lang="en-US" altLang="ja-JP"/>
                  </a:p>
                  <a:p>
                    <a:r>
                      <a:rPr lang="en-US" altLang="ja-JP" sz="650"/>
                      <a:t>(17.2)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80A8-44BA-B5C2-699976EB29BF}"/>
                </c:ext>
              </c:extLst>
            </c:dLbl>
            <c:dLbl>
              <c:idx val="3"/>
              <c:tx>
                <c:rich>
                  <a:bodyPr/>
                  <a:lstStyle/>
                  <a:p>
                    <a:fld id="{A5817223-D3F9-4035-B4AB-FFBF6CDA8BA9}"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0A8-44BA-B5C2-699976EB29BF}"/>
                </c:ext>
              </c:extLst>
            </c:dLbl>
            <c:dLbl>
              <c:idx val="4"/>
              <c:tx>
                <c:rich>
                  <a:bodyPr/>
                  <a:lstStyle/>
                  <a:p>
                    <a:fld id="{65FEF41C-D1D3-4E33-881D-2FB4FB9E0151}" type="VALUE">
                      <a:rPr lang="en-US" altLang="ja-JP"/>
                      <a:pPr/>
                      <a:t>[値]</a:t>
                    </a:fld>
                    <a:endParaRPr lang="en-US" altLang="ja-JP"/>
                  </a:p>
                  <a:p>
                    <a:r>
                      <a:rPr lang="en-US" altLang="ja-JP" sz="650"/>
                      <a:t>(15.2)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80A8-44BA-B5C2-699976EB29BF}"/>
                </c:ext>
              </c:extLst>
            </c:dLbl>
            <c:dLbl>
              <c:idx val="5"/>
              <c:tx>
                <c:rich>
                  <a:bodyPr/>
                  <a:lstStyle/>
                  <a:p>
                    <a:fld id="{51F243E8-0CED-45D4-B32E-70C3431392EB}" type="VALUE">
                      <a:rPr lang="en-US" altLang="ja-JP"/>
                      <a:pPr/>
                      <a:t>[値]</a:t>
                    </a:fld>
                    <a:endParaRPr lang="en-US" altLang="ja-JP"/>
                  </a:p>
                  <a:p>
                    <a:r>
                      <a:rPr lang="en-US" altLang="ja-JP" sz="650"/>
                      <a:t>(15.7)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0A8-44BA-B5C2-699976EB29BF}"/>
                </c:ext>
              </c:extLst>
            </c:dLbl>
            <c:dLbl>
              <c:idx val="6"/>
              <c:tx>
                <c:rich>
                  <a:bodyPr/>
                  <a:lstStyle/>
                  <a:p>
                    <a:fld id="{0EFD63D4-930C-4AE8-99DC-257DCCFEB58A}"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80A8-44BA-B5C2-699976EB29BF}"/>
                </c:ext>
              </c:extLst>
            </c:dLbl>
            <c:dLbl>
              <c:idx val="7"/>
              <c:tx>
                <c:rich>
                  <a:bodyPr/>
                  <a:lstStyle/>
                  <a:p>
                    <a:fld id="{42FDFD2F-D1CA-4D56-9648-63352C0C6F89}" type="VALUE">
                      <a:rPr lang="en-US" altLang="ja-JP"/>
                      <a:pPr/>
                      <a:t>[値]</a:t>
                    </a:fld>
                    <a:endParaRPr lang="en-US" altLang="ja-JP"/>
                  </a:p>
                  <a:p>
                    <a:r>
                      <a:rPr lang="en-US" altLang="ja-JP" sz="650"/>
                      <a:t>(15.2)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0A8-44BA-B5C2-699976EB29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頁４データ!$C$48:$O$48</c:f>
              <c:strCache>
                <c:ptCount val="6"/>
                <c:pt idx="0">
                  <c:v>H８決算</c:v>
                </c:pt>
                <c:pt idx="1">
                  <c:v>H29決算</c:v>
                </c:pt>
                <c:pt idx="2">
                  <c:v>H30決算</c:v>
                </c:pt>
                <c:pt idx="3">
                  <c:v>R元決算</c:v>
                </c:pt>
                <c:pt idx="4">
                  <c:v>R２決算</c:v>
                </c:pt>
                <c:pt idx="5">
                  <c:v>R３決算</c:v>
                </c:pt>
              </c:strCache>
            </c:strRef>
          </c:cat>
          <c:val>
            <c:numRef>
              <c:f>頁４データ!$C$44:$O$44</c:f>
              <c:numCache>
                <c:formatCode>#,##0;"△ "#,##0</c:formatCode>
                <c:ptCount val="6"/>
                <c:pt idx="0">
                  <c:v>333494</c:v>
                </c:pt>
                <c:pt idx="1">
                  <c:v>300874</c:v>
                </c:pt>
                <c:pt idx="2">
                  <c:v>302071</c:v>
                </c:pt>
                <c:pt idx="3">
                  <c:v>304487</c:v>
                </c:pt>
                <c:pt idx="4">
                  <c:v>305796</c:v>
                </c:pt>
                <c:pt idx="5">
                  <c:v>307225</c:v>
                </c:pt>
              </c:numCache>
            </c:numRef>
          </c:val>
          <c:extLst>
            <c:ext xmlns:c16="http://schemas.microsoft.com/office/drawing/2014/chart" uri="{C3380CC4-5D6E-409C-BE32-E72D297353CC}">
              <c16:uniqueId val="{00000008-80A8-44BA-B5C2-699976EB29BF}"/>
            </c:ext>
          </c:extLst>
        </c:ser>
        <c:ser>
          <c:idx val="3"/>
          <c:order val="1"/>
          <c:tx>
            <c:v>扶助費</c:v>
          </c:tx>
          <c:spPr>
            <a:solidFill>
              <a:srgbClr val="00CCFF"/>
            </a:solidFill>
            <a:ln w="12700">
              <a:solidFill>
                <a:srgbClr val="000000"/>
              </a:solidFill>
              <a:prstDash val="solid"/>
            </a:ln>
          </c:spPr>
          <c:invertIfNegative val="0"/>
          <c:dLbls>
            <c:dLbl>
              <c:idx val="0"/>
              <c:tx>
                <c:rich>
                  <a:bodyPr/>
                  <a:lstStyle/>
                  <a:p>
                    <a:fld id="{F5CBA0D5-9570-41F6-96EE-7020D437C56D}" type="VALUE">
                      <a:rPr lang="en-US" altLang="ja-JP"/>
                      <a:pPr/>
                      <a:t>[値]</a:t>
                    </a:fld>
                    <a:endParaRPr lang="en-US" altLang="ja-JP"/>
                  </a:p>
                  <a:p>
                    <a:r>
                      <a:rPr lang="en-US" altLang="ja-JP" sz="650"/>
                      <a:t>(11.8)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0A8-44BA-B5C2-699976EB29BF}"/>
                </c:ext>
              </c:extLst>
            </c:dLbl>
            <c:dLbl>
              <c:idx val="1"/>
              <c:tx>
                <c:rich>
                  <a:bodyPr/>
                  <a:lstStyle/>
                  <a:p>
                    <a:fld id="{C6B3A1D4-F96F-48D3-938C-B9499D512593}" type="VALUE">
                      <a:rPr lang="en-US" altLang="ja-JP"/>
                      <a:pPr/>
                      <a:t>[値]</a:t>
                    </a:fld>
                    <a:endParaRPr lang="en-US" altLang="ja-JP"/>
                  </a:p>
                  <a:p>
                    <a:r>
                      <a:rPr lang="en-US" altLang="ja-JP" sz="650"/>
                      <a:t>(31.7)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0A8-44BA-B5C2-699976EB29BF}"/>
                </c:ext>
              </c:extLst>
            </c:dLbl>
            <c:dLbl>
              <c:idx val="2"/>
              <c:tx>
                <c:rich>
                  <a:bodyPr/>
                  <a:lstStyle/>
                  <a:p>
                    <a:fld id="{5B8190F0-9499-430C-AF37-142E545C4984}" type="VALUE">
                      <a:rPr lang="en-US" altLang="ja-JP"/>
                      <a:pPr/>
                      <a:t>[値]</a:t>
                    </a:fld>
                    <a:endParaRPr lang="en-US" altLang="ja-JP"/>
                  </a:p>
                  <a:p>
                    <a:r>
                      <a:rPr lang="en-US" altLang="ja-JP" sz="650"/>
                      <a:t>(31.5)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0A8-44BA-B5C2-699976EB29BF}"/>
                </c:ext>
              </c:extLst>
            </c:dLbl>
            <c:dLbl>
              <c:idx val="3"/>
              <c:tx>
                <c:rich>
                  <a:bodyPr/>
                  <a:lstStyle/>
                  <a:p>
                    <a:fld id="{C6C2A84E-5AC3-4F33-ACE9-CB8C89916FF9}" type="VALUE">
                      <a:rPr lang="en-US" altLang="ja-JP"/>
                      <a:pPr/>
                      <a:t>[値]</a:t>
                    </a:fld>
                    <a:endParaRPr lang="en-US" altLang="ja-JP"/>
                  </a:p>
                  <a:p>
                    <a:r>
                      <a:rPr lang="en-US" altLang="ja-JP" sz="650"/>
                      <a:t>(32.6)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0A8-44BA-B5C2-699976EB29BF}"/>
                </c:ext>
              </c:extLst>
            </c:dLbl>
            <c:dLbl>
              <c:idx val="4"/>
              <c:tx>
                <c:rich>
                  <a:bodyPr/>
                  <a:lstStyle/>
                  <a:p>
                    <a:fld id="{E1B9E250-87A8-4F9D-B196-F117E05AA500}" type="VALUE">
                      <a:rPr lang="en-US" altLang="ja-JP"/>
                      <a:pPr/>
                      <a:t>[値]</a:t>
                    </a:fld>
                    <a:endParaRPr lang="en-US" altLang="ja-JP"/>
                  </a:p>
                  <a:p>
                    <a:r>
                      <a:rPr lang="en-US" altLang="ja-JP" sz="650"/>
                      <a:t>(29.3)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0A8-44BA-B5C2-699976EB29BF}"/>
                </c:ext>
              </c:extLst>
            </c:dLbl>
            <c:dLbl>
              <c:idx val="5"/>
              <c:tx>
                <c:rich>
                  <a:bodyPr wrap="square" lIns="38100" tIns="19050" rIns="38100" bIns="19050" anchor="ctr">
                    <a:noAutofit/>
                  </a:bodyPr>
                  <a:lstStyle/>
                  <a:p>
                    <a:pPr>
                      <a:defRPr/>
                    </a:pPr>
                    <a:r>
                      <a:rPr lang="en-US" altLang="ja-JP"/>
                      <a:t>6,753</a:t>
                    </a:r>
                  </a:p>
                  <a:p>
                    <a:pPr>
                      <a:defRPr/>
                    </a:pPr>
                    <a:r>
                      <a:rPr lang="en-US" altLang="ja-JP" sz="650"/>
                      <a:t>(34.4)</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E-80A8-44BA-B5C2-699976EB29BF}"/>
                </c:ext>
              </c:extLst>
            </c:dLbl>
            <c:dLbl>
              <c:idx val="6"/>
              <c:tx>
                <c:rich>
                  <a:bodyPr/>
                  <a:lstStyle/>
                  <a:p>
                    <a:fld id="{44136E58-E51F-401F-AA99-C17F5521B7D1}" type="VALUE">
                      <a:rPr lang="en-US" altLang="ja-JP"/>
                      <a:pPr/>
                      <a:t>[値]</a:t>
                    </a:fld>
                    <a:endParaRPr lang="en-US" altLang="ja-JP"/>
                  </a:p>
                  <a:p>
                    <a:r>
                      <a:rPr lang="en-US" altLang="ja-JP" sz="650"/>
                      <a:t>(32.6)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80A8-44BA-B5C2-699976EB29BF}"/>
                </c:ext>
              </c:extLst>
            </c:dLbl>
            <c:dLbl>
              <c:idx val="7"/>
              <c:tx>
                <c:rich>
                  <a:bodyPr/>
                  <a:lstStyle/>
                  <a:p>
                    <a:fld id="{1AFBA10A-883D-48E3-989A-B2735C84B865}" type="VALUE">
                      <a:rPr lang="en-US" altLang="ja-JP"/>
                      <a:pPr/>
                      <a:t>[値]</a:t>
                    </a:fld>
                    <a:endParaRPr lang="en-US" altLang="ja-JP"/>
                  </a:p>
                  <a:p>
                    <a:r>
                      <a:rPr lang="en-US" altLang="ja-JP" sz="650"/>
                      <a:t>(29.3)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80A8-44BA-B5C2-699976EB29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頁４データ!$C$48:$O$48</c:f>
              <c:strCache>
                <c:ptCount val="6"/>
                <c:pt idx="0">
                  <c:v>H８決算</c:v>
                </c:pt>
                <c:pt idx="1">
                  <c:v>H29決算</c:v>
                </c:pt>
                <c:pt idx="2">
                  <c:v>H30決算</c:v>
                </c:pt>
                <c:pt idx="3">
                  <c:v>R元決算</c:v>
                </c:pt>
                <c:pt idx="4">
                  <c:v>R２決算</c:v>
                </c:pt>
                <c:pt idx="5">
                  <c:v>R３決算</c:v>
                </c:pt>
              </c:strCache>
            </c:strRef>
          </c:cat>
          <c:val>
            <c:numRef>
              <c:f>頁４データ!$C$43:$O$43</c:f>
              <c:numCache>
                <c:formatCode>#,##0;"△ "#,##0</c:formatCode>
                <c:ptCount val="6"/>
                <c:pt idx="0">
                  <c:v>217325</c:v>
                </c:pt>
                <c:pt idx="1">
                  <c:v>552538</c:v>
                </c:pt>
                <c:pt idx="2">
                  <c:v>553538</c:v>
                </c:pt>
                <c:pt idx="3">
                  <c:v>572052</c:v>
                </c:pt>
                <c:pt idx="4">
                  <c:v>589363</c:v>
                </c:pt>
                <c:pt idx="5">
                  <c:v>675283</c:v>
                </c:pt>
              </c:numCache>
            </c:numRef>
          </c:val>
          <c:extLst>
            <c:ext xmlns:c16="http://schemas.microsoft.com/office/drawing/2014/chart" uri="{C3380CC4-5D6E-409C-BE32-E72D297353CC}">
              <c16:uniqueId val="{00000011-80A8-44BA-B5C2-699976EB29BF}"/>
            </c:ext>
          </c:extLst>
        </c:ser>
        <c:ser>
          <c:idx val="2"/>
          <c:order val="2"/>
          <c:tx>
            <c:v>公債費</c:v>
          </c:tx>
          <c:spPr>
            <a:solidFill>
              <a:srgbClr val="FFFF00"/>
            </a:solidFill>
            <a:ln w="12700">
              <a:solidFill>
                <a:srgbClr val="000000"/>
              </a:solidFill>
              <a:prstDash val="solid"/>
            </a:ln>
          </c:spPr>
          <c:invertIfNegative val="0"/>
          <c:dLbls>
            <c:dLbl>
              <c:idx val="0"/>
              <c:tx>
                <c:rich>
                  <a:bodyPr/>
                  <a:lstStyle/>
                  <a:p>
                    <a:fld id="{62985294-11E3-4D1C-8E14-ECBD1C02013F}" type="VALUE">
                      <a:rPr lang="en-US" altLang="ja-JP"/>
                      <a:pPr/>
                      <a:t>[値]</a:t>
                    </a:fld>
                    <a:endParaRPr lang="en-US" altLang="ja-JP"/>
                  </a:p>
                  <a:p>
                    <a:r>
                      <a:rPr lang="en-US" altLang="ja-JP" sz="650"/>
                      <a:t>(7.9)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80A8-44BA-B5C2-699976EB29BF}"/>
                </c:ext>
              </c:extLst>
            </c:dLbl>
            <c:dLbl>
              <c:idx val="1"/>
              <c:tx>
                <c:rich>
                  <a:bodyPr/>
                  <a:lstStyle/>
                  <a:p>
                    <a:fld id="{1CCF28F3-7BA4-41A0-A18C-4808AB3DE1C6}" type="VALUE">
                      <a:rPr lang="en-US" altLang="ja-JP"/>
                      <a:pPr/>
                      <a:t>[値]</a:t>
                    </a:fld>
                    <a:endParaRPr lang="en-US" altLang="ja-JP"/>
                  </a:p>
                  <a:p>
                    <a:r>
                      <a:rPr lang="en-US" altLang="ja-JP" sz="650"/>
                      <a:t>(15.1)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80A8-44BA-B5C2-699976EB29BF}"/>
                </c:ext>
              </c:extLst>
            </c:dLbl>
            <c:dLbl>
              <c:idx val="2"/>
              <c:tx>
                <c:rich>
                  <a:bodyPr/>
                  <a:lstStyle/>
                  <a:p>
                    <a:r>
                      <a:rPr lang="en-US" altLang="ja-JP" sz="830"/>
                      <a:t>2,923</a:t>
                    </a:r>
                    <a:br>
                      <a:rPr lang="en-US" altLang="ja-JP" sz="650"/>
                    </a:br>
                    <a:r>
                      <a:rPr lang="en-US" altLang="ja-JP" sz="650"/>
                      <a:t>(16.6)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80A8-44BA-B5C2-699976EB29BF}"/>
                </c:ext>
              </c:extLst>
            </c:dLbl>
            <c:dLbl>
              <c:idx val="3"/>
              <c:tx>
                <c:rich>
                  <a:bodyPr/>
                  <a:lstStyle/>
                  <a:p>
                    <a:fld id="{54921AB3-A59F-4BB3-A514-5547A28389BF}"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80A8-44BA-B5C2-699976EB29BF}"/>
                </c:ext>
              </c:extLst>
            </c:dLbl>
            <c:dLbl>
              <c:idx val="4"/>
              <c:tx>
                <c:rich>
                  <a:bodyPr/>
                  <a:lstStyle/>
                  <a:p>
                    <a:r>
                      <a:rPr lang="en-US" altLang="ja-JP"/>
                      <a:t>1,955</a:t>
                    </a:r>
                  </a:p>
                  <a:p>
                    <a:r>
                      <a:rPr lang="en-US" altLang="ja-JP" sz="650"/>
                      <a:t>(9.7)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0A8-44BA-B5C2-699976EB29BF}"/>
                </c:ext>
              </c:extLst>
            </c:dLbl>
            <c:dLbl>
              <c:idx val="5"/>
              <c:tx>
                <c:rich>
                  <a:bodyPr/>
                  <a:lstStyle/>
                  <a:p>
                    <a:r>
                      <a:rPr lang="en-US" altLang="ja-JP" sz="830"/>
                      <a:t>2,046</a:t>
                    </a:r>
                    <a:br>
                      <a:rPr lang="en-US" altLang="ja-JP" sz="650"/>
                    </a:br>
                    <a:r>
                      <a:rPr lang="en-US" altLang="ja-JP" sz="650"/>
                      <a:t>(10.4)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0A8-44BA-B5C2-699976EB29BF}"/>
                </c:ext>
              </c:extLst>
            </c:dLbl>
            <c:dLbl>
              <c:idx val="6"/>
              <c:tx>
                <c:rich>
                  <a:bodyPr/>
                  <a:lstStyle/>
                  <a:p>
                    <a:fld id="{E02A656F-5DE2-4962-A3DD-AAE6EA06ED6F}"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80A8-44BA-B5C2-699976EB29BF}"/>
                </c:ext>
              </c:extLst>
            </c:dLbl>
            <c:dLbl>
              <c:idx val="7"/>
              <c:tx>
                <c:rich>
                  <a:bodyPr/>
                  <a:lstStyle/>
                  <a:p>
                    <a:fld id="{A0A376BB-87F3-4ABB-B2FF-FA6B0E22E02D}" type="VALUE">
                      <a:rPr lang="en-US" altLang="ja-JP"/>
                      <a:pPr/>
                      <a:t>[値]</a:t>
                    </a:fld>
                    <a:endParaRPr lang="en-US" altLang="ja-JP"/>
                  </a:p>
                  <a:p>
                    <a:r>
                      <a:rPr lang="en-US" altLang="ja-JP" sz="650"/>
                      <a:t>(9.7)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80A8-44BA-B5C2-699976EB29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頁４データ!$C$48:$O$48</c:f>
              <c:strCache>
                <c:ptCount val="6"/>
                <c:pt idx="0">
                  <c:v>H８決算</c:v>
                </c:pt>
                <c:pt idx="1">
                  <c:v>H29決算</c:v>
                </c:pt>
                <c:pt idx="2">
                  <c:v>H30決算</c:v>
                </c:pt>
                <c:pt idx="3">
                  <c:v>R元決算</c:v>
                </c:pt>
                <c:pt idx="4">
                  <c:v>R２決算</c:v>
                </c:pt>
                <c:pt idx="5">
                  <c:v>R３決算</c:v>
                </c:pt>
              </c:strCache>
            </c:strRef>
          </c:cat>
          <c:val>
            <c:numRef>
              <c:f>頁４データ!$C$42:$O$42</c:f>
              <c:numCache>
                <c:formatCode>#,##0;"△ "#,##0</c:formatCode>
                <c:ptCount val="6"/>
                <c:pt idx="0">
                  <c:v>145516</c:v>
                </c:pt>
                <c:pt idx="1">
                  <c:v>262980</c:v>
                </c:pt>
                <c:pt idx="2">
                  <c:v>292271</c:v>
                </c:pt>
                <c:pt idx="3">
                  <c:v>225144</c:v>
                </c:pt>
                <c:pt idx="4">
                  <c:v>195501</c:v>
                </c:pt>
                <c:pt idx="5">
                  <c:v>204626</c:v>
                </c:pt>
              </c:numCache>
            </c:numRef>
          </c:val>
          <c:extLst>
            <c:ext xmlns:c16="http://schemas.microsoft.com/office/drawing/2014/chart" uri="{C3380CC4-5D6E-409C-BE32-E72D297353CC}">
              <c16:uniqueId val="{0000001A-80A8-44BA-B5C2-699976EB29BF}"/>
            </c:ext>
          </c:extLst>
        </c:ser>
        <c:ser>
          <c:idx val="0"/>
          <c:order val="3"/>
          <c:tx>
            <c:v>投資的経費</c:v>
          </c:tx>
          <c:spPr>
            <a:solidFill>
              <a:srgbClr val="00FF00"/>
            </a:solidFill>
            <a:ln w="12700">
              <a:solidFill>
                <a:srgbClr val="000000"/>
              </a:solidFill>
              <a:prstDash val="solid"/>
            </a:ln>
          </c:spPr>
          <c:invertIfNegative val="0"/>
          <c:dLbls>
            <c:dLbl>
              <c:idx val="0"/>
              <c:tx>
                <c:rich>
                  <a:bodyPr/>
                  <a:lstStyle/>
                  <a:p>
                    <a:fld id="{425D04FE-9480-4F5E-8B69-47C5E0E4AC3A}" type="VALUE">
                      <a:rPr lang="en-US" altLang="ja-JP"/>
                      <a:pPr/>
                      <a:t>[値]</a:t>
                    </a:fld>
                    <a:endParaRPr lang="en-US" altLang="ja-JP"/>
                  </a:p>
                  <a:p>
                    <a:r>
                      <a:rPr lang="en-US" altLang="ja-JP" sz="650"/>
                      <a:t>(26.6)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80A8-44BA-B5C2-699976EB29BF}"/>
                </c:ext>
              </c:extLst>
            </c:dLbl>
            <c:dLbl>
              <c:idx val="1"/>
              <c:tx>
                <c:rich>
                  <a:bodyPr/>
                  <a:lstStyle/>
                  <a:p>
                    <a:fld id="{476BD570-808B-4ACA-93A3-F6CAC36DB9E0}" type="VALUE">
                      <a:rPr lang="en-US" altLang="ja-JP"/>
                      <a:pPr/>
                      <a:t>[値]</a:t>
                    </a:fld>
                    <a:endParaRPr lang="en-US" altLang="ja-JP"/>
                  </a:p>
                  <a:p>
                    <a:r>
                      <a:rPr lang="en-US" altLang="ja-JP" sz="650"/>
                      <a:t>(6.7)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80A8-44BA-B5C2-699976EB29BF}"/>
                </c:ext>
              </c:extLst>
            </c:dLbl>
            <c:dLbl>
              <c:idx val="2"/>
              <c:tx>
                <c:rich>
                  <a:bodyPr/>
                  <a:lstStyle/>
                  <a:p>
                    <a:fld id="{23D99510-6FC5-4CFF-8D07-01D08347F5D4}" type="VALUE">
                      <a:rPr lang="en-US" altLang="ja-JP"/>
                      <a:pPr/>
                      <a:t>[値]</a:t>
                    </a:fld>
                    <a:endParaRPr lang="en-US" altLang="ja-JP"/>
                  </a:p>
                  <a:p>
                    <a:r>
                      <a:rPr lang="en-US" altLang="ja-JP" sz="650"/>
                      <a:t>(7.1)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80A8-44BA-B5C2-699976EB29BF}"/>
                </c:ext>
              </c:extLst>
            </c:dLbl>
            <c:dLbl>
              <c:idx val="3"/>
              <c:tx>
                <c:rich>
                  <a:bodyPr/>
                  <a:lstStyle/>
                  <a:p>
                    <a:fld id="{8871A093-7F30-40FF-AD25-8EB831645B7A}" type="VALUE">
                      <a:rPr lang="en-US" altLang="ja-JP"/>
                      <a:pPr/>
                      <a:t>[値]</a:t>
                    </a:fld>
                    <a:endParaRPr lang="en-US" altLang="ja-JP"/>
                  </a:p>
                  <a:p>
                    <a:r>
                      <a:rPr lang="en-US" altLang="ja-JP" sz="650"/>
                      <a:t>(9.0)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80A8-44BA-B5C2-699976EB29BF}"/>
                </c:ext>
              </c:extLst>
            </c:dLbl>
            <c:dLbl>
              <c:idx val="4"/>
              <c:tx>
                <c:rich>
                  <a:bodyPr/>
                  <a:lstStyle/>
                  <a:p>
                    <a:r>
                      <a:rPr lang="en-US" altLang="ja-JP"/>
                      <a:t>1,778</a:t>
                    </a:r>
                  </a:p>
                  <a:p>
                    <a:r>
                      <a:rPr lang="en-US" altLang="ja-JP" sz="650"/>
                      <a:t>(8.8)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80A8-44BA-B5C2-699976EB29BF}"/>
                </c:ext>
              </c:extLst>
            </c:dLbl>
            <c:dLbl>
              <c:idx val="5"/>
              <c:tx>
                <c:rich>
                  <a:bodyPr/>
                  <a:lstStyle/>
                  <a:p>
                    <a:fld id="{83DF3102-C2A2-4FDD-BB8B-97287F99B7A0}" type="VALUE">
                      <a:rPr lang="en-US" altLang="ja-JP"/>
                      <a:pPr/>
                      <a:t>[値]</a:t>
                    </a:fld>
                    <a:endParaRPr lang="en-US" altLang="ja-JP"/>
                  </a:p>
                  <a:p>
                    <a:r>
                      <a:rPr lang="en-US" altLang="ja-JP" sz="650"/>
                      <a:t>(10.9)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80A8-44BA-B5C2-699976EB29BF}"/>
                </c:ext>
              </c:extLst>
            </c:dLbl>
            <c:dLbl>
              <c:idx val="6"/>
              <c:tx>
                <c:rich>
                  <a:bodyPr/>
                  <a:lstStyle/>
                  <a:p>
                    <a:fld id="{216D7904-7F4E-4272-BAE8-7307A0C28773}" type="VALUE">
                      <a:rPr lang="en-US" altLang="ja-JP"/>
                      <a:pPr/>
                      <a:t>[値]</a:t>
                    </a:fld>
                    <a:endParaRPr lang="en-US" altLang="ja-JP"/>
                  </a:p>
                  <a:p>
                    <a:r>
                      <a:rPr lang="en-US" altLang="ja-JP" sz="650"/>
                      <a:t>(9.0)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80A8-44BA-B5C2-699976EB29BF}"/>
                </c:ext>
              </c:extLst>
            </c:dLbl>
            <c:dLbl>
              <c:idx val="7"/>
              <c:tx>
                <c:rich>
                  <a:bodyPr/>
                  <a:lstStyle/>
                  <a:p>
                    <a:fld id="{F3888839-E5B0-4F1E-978B-F2B5B7B31B14}" type="VALUE">
                      <a:rPr lang="en-US" altLang="ja-JP"/>
                      <a:pPr/>
                      <a:t>[値]</a:t>
                    </a:fld>
                    <a:endParaRPr lang="en-US" altLang="ja-JP"/>
                  </a:p>
                  <a:p>
                    <a:r>
                      <a:rPr lang="en-US" altLang="ja-JP" sz="650"/>
                      <a:t>(8.8)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80A8-44BA-B5C2-699976EB29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頁４データ!$C$48:$O$48</c:f>
              <c:strCache>
                <c:ptCount val="6"/>
                <c:pt idx="0">
                  <c:v>H８決算</c:v>
                </c:pt>
                <c:pt idx="1">
                  <c:v>H29決算</c:v>
                </c:pt>
                <c:pt idx="2">
                  <c:v>H30決算</c:v>
                </c:pt>
                <c:pt idx="3">
                  <c:v>R元決算</c:v>
                </c:pt>
                <c:pt idx="4">
                  <c:v>R２決算</c:v>
                </c:pt>
                <c:pt idx="5">
                  <c:v>R３決算</c:v>
                </c:pt>
              </c:strCache>
            </c:strRef>
          </c:cat>
          <c:val>
            <c:numRef>
              <c:f>頁４データ!$C$40:$O$40</c:f>
              <c:numCache>
                <c:formatCode>#,##0;"△ "#,##0</c:formatCode>
                <c:ptCount val="6"/>
                <c:pt idx="0">
                  <c:v>490419</c:v>
                </c:pt>
                <c:pt idx="1">
                  <c:v>115757</c:v>
                </c:pt>
                <c:pt idx="2">
                  <c:v>124704</c:v>
                </c:pt>
                <c:pt idx="3">
                  <c:v>157306</c:v>
                </c:pt>
                <c:pt idx="4">
                  <c:v>177781</c:v>
                </c:pt>
                <c:pt idx="5">
                  <c:v>213390</c:v>
                </c:pt>
              </c:numCache>
            </c:numRef>
          </c:val>
          <c:extLst>
            <c:ext xmlns:c16="http://schemas.microsoft.com/office/drawing/2014/chart" uri="{C3380CC4-5D6E-409C-BE32-E72D297353CC}">
              <c16:uniqueId val="{00000023-80A8-44BA-B5C2-699976EB29BF}"/>
            </c:ext>
          </c:extLst>
        </c:ser>
        <c:ser>
          <c:idx val="1"/>
          <c:order val="4"/>
          <c:tx>
            <c:v>その他</c:v>
          </c:tx>
          <c:spPr>
            <a:solidFill>
              <a:srgbClr val="FF9900"/>
            </a:solidFill>
            <a:ln w="12700">
              <a:solidFill>
                <a:srgbClr val="000000"/>
              </a:solidFill>
              <a:prstDash val="solid"/>
            </a:ln>
          </c:spPr>
          <c:invertIfNegative val="0"/>
          <c:dLbls>
            <c:dLbl>
              <c:idx val="0"/>
              <c:tx>
                <c:rich>
                  <a:bodyPr/>
                  <a:lstStyle/>
                  <a:p>
                    <a:fld id="{B4FA9C7C-EF64-46E3-BCE6-1C097AEBE5DF}" type="VALUE">
                      <a:rPr lang="en-US" altLang="ja-JP"/>
                      <a:pPr/>
                      <a:t>[値]</a:t>
                    </a:fld>
                    <a:endParaRPr lang="en-US" altLang="ja-JP"/>
                  </a:p>
                  <a:p>
                    <a:r>
                      <a:rPr lang="en-US" altLang="ja-JP" sz="650"/>
                      <a:t>(35.6)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80A8-44BA-B5C2-699976EB29BF}"/>
                </c:ext>
              </c:extLst>
            </c:dLbl>
            <c:dLbl>
              <c:idx val="1"/>
              <c:tx>
                <c:rich>
                  <a:bodyPr/>
                  <a:lstStyle/>
                  <a:p>
                    <a:fld id="{21036389-3015-4797-B1C9-B103C7F6BEB6}" type="VALUE">
                      <a:rPr lang="en-US" altLang="ja-JP"/>
                      <a:pPr/>
                      <a:t>[値]</a:t>
                    </a:fld>
                    <a:endParaRPr lang="en-US" altLang="ja-JP"/>
                  </a:p>
                  <a:p>
                    <a:r>
                      <a:rPr lang="en-US" altLang="ja-JP" sz="650"/>
                      <a:t>(29.2)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80A8-44BA-B5C2-699976EB29BF}"/>
                </c:ext>
              </c:extLst>
            </c:dLbl>
            <c:dLbl>
              <c:idx val="2"/>
              <c:tx>
                <c:rich>
                  <a:bodyPr/>
                  <a:lstStyle/>
                  <a:p>
                    <a:fld id="{5F26E05B-C194-4979-A76B-1721FFAA0492}" type="VALUE">
                      <a:rPr lang="en-US" altLang="ja-JP"/>
                      <a:pPr/>
                      <a:t>[値]</a:t>
                    </a:fld>
                    <a:endParaRPr lang="en-US" altLang="ja-JP"/>
                  </a:p>
                  <a:p>
                    <a:r>
                      <a:rPr lang="en-US" altLang="ja-JP" sz="650"/>
                      <a:t>(27.6)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80A8-44BA-B5C2-699976EB29BF}"/>
                </c:ext>
              </c:extLst>
            </c:dLbl>
            <c:dLbl>
              <c:idx val="3"/>
              <c:tx>
                <c:rich>
                  <a:bodyPr/>
                  <a:lstStyle/>
                  <a:p>
                    <a:fld id="{6A13F071-6F43-4CAC-8658-23CB2D814513}" type="VALUE">
                      <a:rPr lang="en-US" altLang="ja-JP"/>
                      <a:pPr/>
                      <a:t>[値]</a:t>
                    </a:fld>
                    <a:endParaRPr lang="en-US" altLang="ja-JP"/>
                  </a:p>
                  <a:p>
                    <a:r>
                      <a:rPr lang="en-US" altLang="ja-JP" sz="650"/>
                      <a:t>(28.3)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80A8-44BA-B5C2-699976EB29BF}"/>
                </c:ext>
              </c:extLst>
            </c:dLbl>
            <c:dLbl>
              <c:idx val="4"/>
              <c:tx>
                <c:rich>
                  <a:bodyPr/>
                  <a:lstStyle/>
                  <a:p>
                    <a:fld id="{C8687222-571C-4C3C-8BAE-481C6D1CA4B3}" type="VALUE">
                      <a:rPr lang="en-US" altLang="ja-JP"/>
                      <a:pPr/>
                      <a:t>[値]</a:t>
                    </a:fld>
                    <a:endParaRPr lang="en-US" altLang="ja-JP"/>
                  </a:p>
                  <a:p>
                    <a:r>
                      <a:rPr lang="en-US" altLang="ja-JP" sz="650"/>
                      <a:t>(37.0</a:t>
                    </a:r>
                    <a:r>
                      <a:rPr lang="ja-JP" altLang="en-US" sz="650"/>
                      <a:t>）</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80A8-44BA-B5C2-699976EB29BF}"/>
                </c:ext>
              </c:extLst>
            </c:dLbl>
            <c:dLbl>
              <c:idx val="5"/>
              <c:tx>
                <c:rich>
                  <a:bodyPr/>
                  <a:lstStyle/>
                  <a:p>
                    <a:fld id="{F9AE1164-4F1D-4A74-B4A6-E68E5F5811FB}" type="VALUE">
                      <a:rPr lang="en-US" altLang="ja-JP"/>
                      <a:pPr/>
                      <a:t>[値]</a:t>
                    </a:fld>
                    <a:endParaRPr lang="en-US" altLang="ja-JP"/>
                  </a:p>
                  <a:p>
                    <a:r>
                      <a:rPr lang="en-US" altLang="ja-JP" sz="650"/>
                      <a:t>(28.6)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80A8-44BA-B5C2-699976EB29BF}"/>
                </c:ext>
              </c:extLst>
            </c:dLbl>
            <c:dLbl>
              <c:idx val="6"/>
              <c:tx>
                <c:rich>
                  <a:bodyPr/>
                  <a:lstStyle/>
                  <a:p>
                    <a:fld id="{98832D6F-19AA-4844-A646-911341FD50AD}" type="VALUE">
                      <a:rPr lang="en-US" altLang="ja-JP"/>
                      <a:pPr/>
                      <a:t>[値]</a:t>
                    </a:fld>
                    <a:endParaRPr lang="en-US" altLang="ja-JP"/>
                  </a:p>
                  <a:p>
                    <a:r>
                      <a:rPr lang="en-US" altLang="ja-JP" sz="650"/>
                      <a:t>(28.3)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80A8-44BA-B5C2-699976EB29BF}"/>
                </c:ext>
              </c:extLst>
            </c:dLbl>
            <c:dLbl>
              <c:idx val="7"/>
              <c:tx>
                <c:rich>
                  <a:bodyPr/>
                  <a:lstStyle/>
                  <a:p>
                    <a:fld id="{6E05717D-7EFD-40B0-8DA0-6DAF1D1F7575}" type="VALUE">
                      <a:rPr lang="en-US" altLang="ja-JP"/>
                      <a:pPr/>
                      <a:t>[値]</a:t>
                    </a:fld>
                    <a:endParaRPr lang="en-US" altLang="ja-JP"/>
                  </a:p>
                  <a:p>
                    <a:r>
                      <a:rPr lang="en-US" altLang="ja-JP" sz="650"/>
                      <a:t>(37.0)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80A8-44BA-B5C2-699976EB29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頁４データ!$C$48:$O$48</c:f>
              <c:strCache>
                <c:ptCount val="6"/>
                <c:pt idx="0">
                  <c:v>H８決算</c:v>
                </c:pt>
                <c:pt idx="1">
                  <c:v>H29決算</c:v>
                </c:pt>
                <c:pt idx="2">
                  <c:v>H30決算</c:v>
                </c:pt>
                <c:pt idx="3">
                  <c:v>R元決算</c:v>
                </c:pt>
                <c:pt idx="4">
                  <c:v>R２決算</c:v>
                </c:pt>
                <c:pt idx="5">
                  <c:v>R３決算</c:v>
                </c:pt>
              </c:strCache>
            </c:strRef>
          </c:cat>
          <c:val>
            <c:numRef>
              <c:f>頁４データ!$C$41:$O$41</c:f>
              <c:numCache>
                <c:formatCode>#,##0;"△ "#,##0</c:formatCode>
                <c:ptCount val="6"/>
                <c:pt idx="0">
                  <c:v>657571</c:v>
                </c:pt>
                <c:pt idx="1">
                  <c:v>508666</c:v>
                </c:pt>
                <c:pt idx="2">
                  <c:v>485989</c:v>
                </c:pt>
                <c:pt idx="3">
                  <c:v>497800</c:v>
                </c:pt>
                <c:pt idx="4">
                  <c:v>746213</c:v>
                </c:pt>
                <c:pt idx="5">
                  <c:v>561632</c:v>
                </c:pt>
              </c:numCache>
            </c:numRef>
          </c:val>
          <c:extLst>
            <c:ext xmlns:c16="http://schemas.microsoft.com/office/drawing/2014/chart" uri="{C3380CC4-5D6E-409C-BE32-E72D297353CC}">
              <c16:uniqueId val="{0000002C-80A8-44BA-B5C2-699976EB29BF}"/>
            </c:ext>
          </c:extLst>
        </c:ser>
        <c:dLbls>
          <c:dLblPos val="ctr"/>
          <c:showLegendKey val="0"/>
          <c:showVal val="1"/>
          <c:showCatName val="0"/>
          <c:showSerName val="0"/>
          <c:showPercent val="0"/>
          <c:showBubbleSize val="0"/>
        </c:dLbls>
        <c:gapWidth val="120"/>
        <c:overlap val="100"/>
        <c:serLines>
          <c:spPr>
            <a:ln w="3175">
              <a:solidFill>
                <a:srgbClr val="000000"/>
              </a:solidFill>
              <a:prstDash val="sysDash"/>
            </a:ln>
          </c:spPr>
        </c:serLines>
        <c:axId val="399928888"/>
        <c:axId val="399556016"/>
      </c:barChart>
      <c:catAx>
        <c:axId val="399928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56016"/>
        <c:crosses val="autoZero"/>
        <c:auto val="1"/>
        <c:lblAlgn val="ctr"/>
        <c:lblOffset val="100"/>
        <c:tickLblSkip val="1"/>
        <c:tickMarkSkip val="1"/>
        <c:noMultiLvlLbl val="0"/>
      </c:catAx>
      <c:valAx>
        <c:axId val="39955601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928888"/>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6310754067015"/>
          <c:y val="0.23471161197950063"/>
          <c:w val="9.1796206325274743E-2"/>
          <c:h val="0.5809751809603275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65556672842391"/>
          <c:h val="0.59159332651008389"/>
        </c:manualLayout>
      </c:layout>
      <c:barChart>
        <c:barDir val="col"/>
        <c:grouping val="stacked"/>
        <c:varyColors val="0"/>
        <c:ser>
          <c:idx val="2"/>
          <c:order val="0"/>
          <c:tx>
            <c:strRef>
              <c:f>'8 グラフ用'!$A$5</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グラフ用'!$B$2:$J$2</c:f>
              <c:strCache>
                <c:ptCount val="9"/>
                <c:pt idx="0">
                  <c:v>H8年度</c:v>
                </c:pt>
                <c:pt idx="1">
                  <c:v>H20年度</c:v>
                </c:pt>
                <c:pt idx="2">
                  <c:v>H21年度</c:v>
                </c:pt>
                <c:pt idx="3">
                  <c:v>H22年度</c:v>
                </c:pt>
                <c:pt idx="5">
                  <c:v>H30年度</c:v>
                </c:pt>
                <c:pt idx="6">
                  <c:v>R元年度</c:v>
                </c:pt>
                <c:pt idx="7">
                  <c:v>R２年度</c:v>
                </c:pt>
                <c:pt idx="8">
                  <c:v>R３年度
（見込）</c:v>
                </c:pt>
              </c:strCache>
            </c:strRef>
          </c:cat>
          <c:val>
            <c:numRef>
              <c:f>'8 グラフ用'!$B$5:$J$5</c:f>
              <c:numCache>
                <c:formatCode>#,##0;"▲ "#,##0</c:formatCode>
                <c:ptCount val="9"/>
                <c:pt idx="0">
                  <c:v>4296</c:v>
                </c:pt>
                <c:pt idx="1">
                  <c:v>3242</c:v>
                </c:pt>
                <c:pt idx="2" formatCode="#,##0_);[Red]\(#,##0\)">
                  <c:v>3302</c:v>
                </c:pt>
                <c:pt idx="3" formatCode="#,##0_);[Red]\(#,##0\)">
                  <c:v>3363</c:v>
                </c:pt>
                <c:pt idx="5">
                  <c:v>3408</c:v>
                </c:pt>
                <c:pt idx="6">
                  <c:v>3552</c:v>
                </c:pt>
                <c:pt idx="7">
                  <c:v>3591</c:v>
                </c:pt>
                <c:pt idx="8">
                  <c:v>3637</c:v>
                </c:pt>
              </c:numCache>
            </c:numRef>
          </c:val>
          <c:extLst>
            <c:ext xmlns:c16="http://schemas.microsoft.com/office/drawing/2014/chart" uri="{C3380CC4-5D6E-409C-BE32-E72D297353CC}">
              <c16:uniqueId val="{00000000-322F-4D2D-8A2C-6DC1D82E7C40}"/>
            </c:ext>
          </c:extLst>
        </c:ser>
        <c:ser>
          <c:idx val="1"/>
          <c:order val="1"/>
          <c:tx>
            <c:strRef>
              <c:f>'8 グラフ用'!$A$4</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dLbl>
              <c:idx val="2"/>
              <c:layout>
                <c:manualLayout>
                  <c:x val="1.2651713013605431E-7"/>
                  <c:y val="-2.6350461133069856E-3"/>
                </c:manualLayout>
              </c:layout>
              <c:showLegendKey val="0"/>
              <c:showVal val="1"/>
              <c:showCatName val="0"/>
              <c:showSerName val="0"/>
              <c:showPercent val="0"/>
              <c:showBubbleSize val="0"/>
              <c:extLst>
                <c:ext xmlns:c15="http://schemas.microsoft.com/office/drawing/2012/chart" uri="{CE6537A1-D6FC-4f65-9D91-7224C49458BB}">
                  <c15:layout>
                    <c:manualLayout>
                      <c:w val="4.9646966599983702E-2"/>
                      <c:h val="6.3399209486166008E-2"/>
                    </c:manualLayout>
                  </c15:layout>
                </c:ext>
                <c:ext xmlns:c16="http://schemas.microsoft.com/office/drawing/2014/chart" uri="{C3380CC4-5D6E-409C-BE32-E72D297353CC}">
                  <c16:uniqueId val="{00000001-322F-4D2D-8A2C-6DC1D82E7C40}"/>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グラフ用'!$B$2:$J$2</c:f>
              <c:strCache>
                <c:ptCount val="9"/>
                <c:pt idx="0">
                  <c:v>H8年度</c:v>
                </c:pt>
                <c:pt idx="1">
                  <c:v>H20年度</c:v>
                </c:pt>
                <c:pt idx="2">
                  <c:v>H21年度</c:v>
                </c:pt>
                <c:pt idx="3">
                  <c:v>H22年度</c:v>
                </c:pt>
                <c:pt idx="5">
                  <c:v>H30年度</c:v>
                </c:pt>
                <c:pt idx="6">
                  <c:v>R元年度</c:v>
                </c:pt>
                <c:pt idx="7">
                  <c:v>R２年度</c:v>
                </c:pt>
                <c:pt idx="8">
                  <c:v>R３年度
（見込）</c:v>
                </c:pt>
              </c:strCache>
            </c:strRef>
          </c:cat>
          <c:val>
            <c:numRef>
              <c:f>'8 グラフ用'!$B$4:$J$4</c:f>
              <c:numCache>
                <c:formatCode>#,##0;"▲ "#,##0</c:formatCode>
                <c:ptCount val="9"/>
                <c:pt idx="0">
                  <c:v>1643</c:v>
                </c:pt>
                <c:pt idx="1">
                  <c:v>1544</c:v>
                </c:pt>
                <c:pt idx="2" formatCode="#,##0_);[Red]\(#,##0\)">
                  <c:v>1034</c:v>
                </c:pt>
                <c:pt idx="3" formatCode="#,##0_);[Red]\(#,##0\)">
                  <c:v>1081</c:v>
                </c:pt>
                <c:pt idx="5">
                  <c:v>1388</c:v>
                </c:pt>
                <c:pt idx="6">
                  <c:v>1499</c:v>
                </c:pt>
                <c:pt idx="7">
                  <c:v>1094</c:v>
                </c:pt>
                <c:pt idx="8">
                  <c:v>1083</c:v>
                </c:pt>
              </c:numCache>
            </c:numRef>
          </c:val>
          <c:extLst>
            <c:ext xmlns:c16="http://schemas.microsoft.com/office/drawing/2014/chart" uri="{C3380CC4-5D6E-409C-BE32-E72D297353CC}">
              <c16:uniqueId val="{00000002-322F-4D2D-8A2C-6DC1D82E7C40}"/>
            </c:ext>
          </c:extLst>
        </c:ser>
        <c:ser>
          <c:idx val="0"/>
          <c:order val="2"/>
          <c:tx>
            <c:strRef>
              <c:f>'8 グラフ用'!$A$3</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2F-4D2D-8A2C-6DC1D82E7C40}"/>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グラフ用'!$B$2:$J$2</c:f>
              <c:strCache>
                <c:ptCount val="9"/>
                <c:pt idx="0">
                  <c:v>H8年度</c:v>
                </c:pt>
                <c:pt idx="1">
                  <c:v>H20年度</c:v>
                </c:pt>
                <c:pt idx="2">
                  <c:v>H21年度</c:v>
                </c:pt>
                <c:pt idx="3">
                  <c:v>H22年度</c:v>
                </c:pt>
                <c:pt idx="5">
                  <c:v>H30年度</c:v>
                </c:pt>
                <c:pt idx="6">
                  <c:v>R元年度</c:v>
                </c:pt>
                <c:pt idx="7">
                  <c:v>R２年度</c:v>
                </c:pt>
                <c:pt idx="8">
                  <c:v>R３年度
（見込）</c:v>
                </c:pt>
              </c:strCache>
            </c:strRef>
          </c:cat>
          <c:val>
            <c:numRef>
              <c:f>'8 グラフ用'!$B$3:$J$3</c:f>
              <c:numCache>
                <c:formatCode>#,##0;"▲ "#,##0</c:formatCode>
                <c:ptCount val="9"/>
                <c:pt idx="0">
                  <c:v>1294</c:v>
                </c:pt>
                <c:pt idx="1">
                  <c:v>1400</c:v>
                </c:pt>
                <c:pt idx="2" formatCode="#,##0_);[Red]\(#,##0\)">
                  <c:v>1389</c:v>
                </c:pt>
                <c:pt idx="3" formatCode="#,##0_);[Red]\(#,##0\)">
                  <c:v>1306</c:v>
                </c:pt>
                <c:pt idx="5">
                  <c:v>1993</c:v>
                </c:pt>
                <c:pt idx="6">
                  <c:v>2120</c:v>
                </c:pt>
                <c:pt idx="7">
                  <c:v>2199</c:v>
                </c:pt>
                <c:pt idx="8">
                  <c:v>2194</c:v>
                </c:pt>
              </c:numCache>
            </c:numRef>
          </c:val>
          <c:extLst>
            <c:ext xmlns:c16="http://schemas.microsoft.com/office/drawing/2014/chart" uri="{C3380CC4-5D6E-409C-BE32-E72D297353CC}">
              <c16:uniqueId val="{00000004-322F-4D2D-8A2C-6DC1D82E7C40}"/>
            </c:ext>
          </c:extLst>
        </c:ser>
        <c:ser>
          <c:idx val="3"/>
          <c:order val="3"/>
          <c:tx>
            <c:strRef>
              <c:f>'8 グラフ用'!$A$6</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グラフ用'!$B$2:$J$2</c:f>
              <c:strCache>
                <c:ptCount val="9"/>
                <c:pt idx="0">
                  <c:v>H8年度</c:v>
                </c:pt>
                <c:pt idx="1">
                  <c:v>H20年度</c:v>
                </c:pt>
                <c:pt idx="2">
                  <c:v>H21年度</c:v>
                </c:pt>
                <c:pt idx="3">
                  <c:v>H22年度</c:v>
                </c:pt>
                <c:pt idx="5">
                  <c:v>H30年度</c:v>
                </c:pt>
                <c:pt idx="6">
                  <c:v>R元年度</c:v>
                </c:pt>
                <c:pt idx="7">
                  <c:v>R２年度</c:v>
                </c:pt>
                <c:pt idx="8">
                  <c:v>R３年度
（見込）</c:v>
                </c:pt>
              </c:strCache>
            </c:strRef>
          </c:cat>
          <c:val>
            <c:numRef>
              <c:f>'8 グラフ用'!$B$6:$J$6</c:f>
              <c:numCache>
                <c:formatCode>#,##0;"▲ "#,##0</c:formatCode>
                <c:ptCount val="9"/>
                <c:pt idx="0">
                  <c:v>543</c:v>
                </c:pt>
                <c:pt idx="1">
                  <c:v>522</c:v>
                </c:pt>
                <c:pt idx="2" formatCode="#,##0_);[Red]\(#,##0\)">
                  <c:v>511</c:v>
                </c:pt>
                <c:pt idx="3" formatCode="#,##0_);[Red]\(#,##0\)">
                  <c:v>510</c:v>
                </c:pt>
                <c:pt idx="5">
                  <c:v>585</c:v>
                </c:pt>
                <c:pt idx="6">
                  <c:v>590</c:v>
                </c:pt>
                <c:pt idx="7">
                  <c:v>562</c:v>
                </c:pt>
                <c:pt idx="8">
                  <c:v>587</c:v>
                </c:pt>
              </c:numCache>
            </c:numRef>
          </c:val>
          <c:extLst>
            <c:ext xmlns:c16="http://schemas.microsoft.com/office/drawing/2014/chart" uri="{C3380CC4-5D6E-409C-BE32-E72D297353CC}">
              <c16:uniqueId val="{00000005-322F-4D2D-8A2C-6DC1D82E7C40}"/>
            </c:ext>
          </c:extLst>
        </c:ser>
        <c:ser>
          <c:idx val="4"/>
          <c:order val="4"/>
          <c:tx>
            <c:strRef>
              <c:f>'8 グラフ用'!$A$7</c:f>
              <c:strCache>
                <c:ptCount val="1"/>
                <c:pt idx="0">
                  <c:v>市税総計</c:v>
                </c:pt>
              </c:strCache>
            </c:strRef>
          </c:tx>
          <c:spPr>
            <a:noFill/>
            <a:ln w="25400">
              <a:noFill/>
            </a:ln>
          </c:spPr>
          <c:invertIfNegative val="0"/>
          <c:dLbls>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グラフ用'!$B$2:$J$2</c:f>
              <c:strCache>
                <c:ptCount val="9"/>
                <c:pt idx="0">
                  <c:v>H8年度</c:v>
                </c:pt>
                <c:pt idx="1">
                  <c:v>H20年度</c:v>
                </c:pt>
                <c:pt idx="2">
                  <c:v>H21年度</c:v>
                </c:pt>
                <c:pt idx="3">
                  <c:v>H22年度</c:v>
                </c:pt>
                <c:pt idx="5">
                  <c:v>H30年度</c:v>
                </c:pt>
                <c:pt idx="6">
                  <c:v>R元年度</c:v>
                </c:pt>
                <c:pt idx="7">
                  <c:v>R２年度</c:v>
                </c:pt>
                <c:pt idx="8">
                  <c:v>R３年度
（見込）</c:v>
                </c:pt>
              </c:strCache>
            </c:strRef>
          </c:cat>
          <c:val>
            <c:numRef>
              <c:f>'8 グラフ用'!$B$7:$J$7</c:f>
              <c:numCache>
                <c:formatCode>#,##0;"▲ "#,##0</c:formatCode>
                <c:ptCount val="9"/>
                <c:pt idx="0">
                  <c:v>7776</c:v>
                </c:pt>
                <c:pt idx="1">
                  <c:v>6708</c:v>
                </c:pt>
                <c:pt idx="2">
                  <c:v>6236</c:v>
                </c:pt>
                <c:pt idx="3">
                  <c:v>6260</c:v>
                </c:pt>
                <c:pt idx="5">
                  <c:v>7374</c:v>
                </c:pt>
                <c:pt idx="6">
                  <c:v>7761</c:v>
                </c:pt>
                <c:pt idx="7">
                  <c:v>7447</c:v>
                </c:pt>
                <c:pt idx="8">
                  <c:v>7500</c:v>
                </c:pt>
              </c:numCache>
            </c:numRef>
          </c:val>
          <c:extLst>
            <c:ext xmlns:c16="http://schemas.microsoft.com/office/drawing/2014/chart" uri="{C3380CC4-5D6E-409C-BE32-E72D297353CC}">
              <c16:uniqueId val="{00000006-322F-4D2D-8A2C-6DC1D82E7C40}"/>
            </c:ext>
          </c:extLst>
        </c:ser>
        <c:dLbls>
          <c:showLegendKey val="0"/>
          <c:showVal val="1"/>
          <c:showCatName val="0"/>
          <c:showSerName val="0"/>
          <c:showPercent val="0"/>
          <c:showBubbleSize val="0"/>
        </c:dLbls>
        <c:gapWidth val="29"/>
        <c:overlap val="100"/>
        <c:axId val="427682208"/>
        <c:axId val="427682600"/>
      </c:barChart>
      <c:catAx>
        <c:axId val="42768220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600"/>
        <c:crosses val="autoZero"/>
        <c:auto val="1"/>
        <c:lblAlgn val="ctr"/>
        <c:lblOffset val="100"/>
        <c:tickLblSkip val="1"/>
        <c:tickMarkSkip val="1"/>
        <c:noMultiLvlLbl val="0"/>
      </c:catAx>
      <c:valAx>
        <c:axId val="427682600"/>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2.94800469495968E-2"/>
              <c:y val="6.9359638595361456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208"/>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sz="1400" baseline="0">
                <a:latin typeface="メイリオ" panose="020B0604030504040204" pitchFamily="50" charset="-128"/>
                <a:ea typeface="メイリオ" panose="020B0604030504040204" pitchFamily="50" charset="-128"/>
              </a:rPr>
              <a:t>①収納率及び未収金の推移（平成</a:t>
            </a:r>
            <a:r>
              <a:rPr lang="en-US" altLang="ja-JP" sz="1400" baseline="0">
                <a:latin typeface="メイリオ" panose="020B0604030504040204" pitchFamily="50" charset="-128"/>
                <a:ea typeface="メイリオ" panose="020B0604030504040204" pitchFamily="50" charset="-128"/>
              </a:rPr>
              <a:t>29</a:t>
            </a:r>
            <a:r>
              <a:rPr lang="ja-JP" altLang="en-US" sz="1400" baseline="0">
                <a:latin typeface="メイリオ" panose="020B0604030504040204" pitchFamily="50" charset="-128"/>
                <a:ea typeface="メイリオ" panose="020B0604030504040204" pitchFamily="50" charset="-128"/>
              </a:rPr>
              <a:t>～令和</a:t>
            </a:r>
            <a:r>
              <a:rPr lang="en-US" altLang="ja-JP" sz="1400" baseline="0">
                <a:latin typeface="メイリオ" panose="020B0604030504040204" pitchFamily="50" charset="-128"/>
                <a:ea typeface="メイリオ" panose="020B0604030504040204" pitchFamily="50" charset="-128"/>
              </a:rPr>
              <a:t>3</a:t>
            </a:r>
            <a:r>
              <a:rPr lang="ja-JP" altLang="en-US" sz="1400" baseline="0">
                <a:latin typeface="メイリオ" panose="020B0604030504040204" pitchFamily="50" charset="-128"/>
                <a:ea typeface="メイリオ" panose="020B0604030504040204" pitchFamily="50" charset="-128"/>
              </a:rPr>
              <a:t>年度）</a:t>
            </a:r>
          </a:p>
        </c:rich>
      </c:tx>
      <c:layout>
        <c:manualLayout>
          <c:xMode val="edge"/>
          <c:yMode val="edge"/>
          <c:x val="4.593642272906517E-3"/>
          <c:y val="1.2386647545345492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税BD!$A$6:$B$6</c:f>
              <c:strCache>
                <c:ptCount val="2"/>
                <c:pt idx="0">
                  <c:v>滞納繰越分の未収金</c:v>
                </c:pt>
              </c:strCache>
            </c:strRef>
          </c:tx>
          <c:spPr>
            <a:solidFill>
              <a:srgbClr val="FFC000"/>
            </a:solidFill>
            <a:ln w="12700">
              <a:solidFill>
                <a:srgbClr val="000000"/>
              </a:solidFill>
              <a:prstDash val="solid"/>
            </a:ln>
          </c:spPr>
          <c:invertIfNegative val="0"/>
          <c:dLbls>
            <c:dLbl>
              <c:idx val="0"/>
              <c:layout>
                <c:manualLayout>
                  <c:x val="-1.9744880503552815E-17"/>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04-41F8-B706-D90FFD0B6409}"/>
                </c:ext>
              </c:extLst>
            </c:dLbl>
            <c:dLbl>
              <c:idx val="1"/>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04-41F8-B706-D90FFD0B6409}"/>
                </c:ext>
              </c:extLst>
            </c:dLbl>
            <c:dLbl>
              <c:idx val="2"/>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04-41F8-B706-D90FFD0B6409}"/>
                </c:ext>
              </c:extLst>
            </c:dLbl>
            <c:dLbl>
              <c:idx val="3"/>
              <c:layout>
                <c:manualLayout>
                  <c:x val="0"/>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04-41F8-B706-D90FFD0B6409}"/>
                </c:ext>
              </c:extLst>
            </c:dLbl>
            <c:dLbl>
              <c:idx val="4"/>
              <c:layout>
                <c:manualLayout>
                  <c:x val="-1.5795904402842252E-16"/>
                  <c:y val="-2.7491408934707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04-41F8-B706-D90FFD0B6409}"/>
                </c:ext>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税BD!$C$3:$H$3</c:f>
              <c:strCache>
                <c:ptCount val="6"/>
                <c:pt idx="0">
                  <c:v>29年度</c:v>
                </c:pt>
                <c:pt idx="1">
                  <c:v>30年度</c:v>
                </c:pt>
                <c:pt idx="2">
                  <c:v>元年度</c:v>
                </c:pt>
                <c:pt idx="3">
                  <c:v>２年度</c:v>
                </c:pt>
                <c:pt idx="4">
                  <c:v>２年度</c:v>
                </c:pt>
                <c:pt idx="5">
                  <c:v>３年度（見込）</c:v>
                </c:pt>
              </c:strCache>
            </c:strRef>
          </c:cat>
          <c:val>
            <c:numRef>
              <c:f>税BD!$C$6:$H$6</c:f>
              <c:numCache>
                <c:formatCode>General</c:formatCode>
                <c:ptCount val="6"/>
                <c:pt idx="0">
                  <c:v>63</c:v>
                </c:pt>
                <c:pt idx="1">
                  <c:v>52</c:v>
                </c:pt>
                <c:pt idx="2">
                  <c:v>49</c:v>
                </c:pt>
                <c:pt idx="3">
                  <c:v>54</c:v>
                </c:pt>
                <c:pt idx="4">
                  <c:v>53</c:v>
                </c:pt>
                <c:pt idx="5">
                  <c:v>57</c:v>
                </c:pt>
              </c:numCache>
            </c:numRef>
          </c:val>
          <c:extLst>
            <c:ext xmlns:c16="http://schemas.microsoft.com/office/drawing/2014/chart" uri="{C3380CC4-5D6E-409C-BE32-E72D297353CC}">
              <c16:uniqueId val="{00000005-E804-41F8-B706-D90FFD0B6409}"/>
            </c:ext>
          </c:extLst>
        </c:ser>
        <c:ser>
          <c:idx val="0"/>
          <c:order val="1"/>
          <c:tx>
            <c:strRef>
              <c:f>税BD!$A$5:$B$5</c:f>
              <c:strCache>
                <c:ptCount val="2"/>
                <c:pt idx="0">
                  <c:v>現年課税分の未収金</c:v>
                </c:pt>
              </c:strCache>
            </c:strRef>
          </c:tx>
          <c:spPr>
            <a:solidFill>
              <a:srgbClr val="FFFF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税BD!$C$3:$H$3</c:f>
              <c:strCache>
                <c:ptCount val="6"/>
                <c:pt idx="0">
                  <c:v>29年度</c:v>
                </c:pt>
                <c:pt idx="1">
                  <c:v>30年度</c:v>
                </c:pt>
                <c:pt idx="2">
                  <c:v>元年度</c:v>
                </c:pt>
                <c:pt idx="3">
                  <c:v>２年度</c:v>
                </c:pt>
                <c:pt idx="4">
                  <c:v>２年度</c:v>
                </c:pt>
                <c:pt idx="5">
                  <c:v>３年度（見込）</c:v>
                </c:pt>
              </c:strCache>
            </c:strRef>
          </c:cat>
          <c:val>
            <c:numRef>
              <c:f>税BD!$C$5:$H$5</c:f>
              <c:numCache>
                <c:formatCode>General</c:formatCode>
                <c:ptCount val="6"/>
                <c:pt idx="0">
                  <c:v>38</c:v>
                </c:pt>
                <c:pt idx="1">
                  <c:v>44</c:v>
                </c:pt>
                <c:pt idx="2">
                  <c:v>52</c:v>
                </c:pt>
                <c:pt idx="3">
                  <c:v>145</c:v>
                </c:pt>
                <c:pt idx="4">
                  <c:v>45</c:v>
                </c:pt>
                <c:pt idx="5">
                  <c:v>38</c:v>
                </c:pt>
              </c:numCache>
            </c:numRef>
          </c:val>
          <c:extLst>
            <c:ext xmlns:c16="http://schemas.microsoft.com/office/drawing/2014/chart" uri="{C3380CC4-5D6E-409C-BE32-E72D297353CC}">
              <c16:uniqueId val="{00000006-E804-41F8-B706-D90FFD0B6409}"/>
            </c:ext>
          </c:extLst>
        </c:ser>
        <c:dLbls>
          <c:showLegendKey val="0"/>
          <c:showVal val="0"/>
          <c:showCatName val="0"/>
          <c:showSerName val="0"/>
          <c:showPercent val="0"/>
          <c:showBubbleSize val="0"/>
        </c:dLbls>
        <c:gapWidth val="100"/>
        <c:overlap val="100"/>
        <c:axId val="667923384"/>
        <c:axId val="667921816"/>
      </c:barChart>
      <c:lineChart>
        <c:grouping val="standard"/>
        <c:varyColors val="0"/>
        <c:ser>
          <c:idx val="1"/>
          <c:order val="4"/>
          <c:tx>
            <c:strRef>
              <c:f>税BD!$A$4:$B$4</c:f>
              <c:strCache>
                <c:ptCount val="2"/>
                <c:pt idx="0">
                  <c:v>市税総額の未収金</c:v>
                </c:pt>
              </c:strCache>
            </c:strRef>
          </c:tx>
          <c:spPr>
            <a:ln w="28575">
              <a:noFill/>
            </a:ln>
          </c:spPr>
          <c:marker>
            <c:symbol val="none"/>
          </c:marker>
          <c:dLbls>
            <c:spPr>
              <a:noFill/>
              <a:ln w="3175">
                <a:solidFill>
                  <a:srgbClr val="000000"/>
                </a:solidFill>
                <a:prstDash val="solid"/>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税BD!$C$3:$G$3</c:f>
              <c:strCache>
                <c:ptCount val="5"/>
                <c:pt idx="0">
                  <c:v>29年度</c:v>
                </c:pt>
                <c:pt idx="1">
                  <c:v>30年度</c:v>
                </c:pt>
                <c:pt idx="2">
                  <c:v>元年度</c:v>
                </c:pt>
                <c:pt idx="3">
                  <c:v>２年度</c:v>
                </c:pt>
                <c:pt idx="4">
                  <c:v>２年度</c:v>
                </c:pt>
              </c:strCache>
            </c:strRef>
          </c:cat>
          <c:val>
            <c:numRef>
              <c:f>税BD!$C$4:$H$4</c:f>
              <c:numCache>
                <c:formatCode>General</c:formatCode>
                <c:ptCount val="6"/>
                <c:pt idx="0">
                  <c:v>101</c:v>
                </c:pt>
                <c:pt idx="1">
                  <c:v>96</c:v>
                </c:pt>
                <c:pt idx="2">
                  <c:v>101</c:v>
                </c:pt>
                <c:pt idx="3">
                  <c:v>199</c:v>
                </c:pt>
                <c:pt idx="4">
                  <c:v>98</c:v>
                </c:pt>
                <c:pt idx="5">
                  <c:v>95</c:v>
                </c:pt>
              </c:numCache>
            </c:numRef>
          </c:val>
          <c:smooth val="0"/>
          <c:extLst>
            <c:ext xmlns:c16="http://schemas.microsoft.com/office/drawing/2014/chart" uri="{C3380CC4-5D6E-409C-BE32-E72D297353CC}">
              <c16:uniqueId val="{00000007-E804-41F8-B706-D90FFD0B6409}"/>
            </c:ext>
          </c:extLst>
        </c:ser>
        <c:dLbls>
          <c:showLegendKey val="0"/>
          <c:showVal val="0"/>
          <c:showCatName val="0"/>
          <c:showSerName val="0"/>
          <c:showPercent val="0"/>
          <c:showBubbleSize val="0"/>
        </c:dLbls>
        <c:marker val="1"/>
        <c:smooth val="0"/>
        <c:axId val="667923384"/>
        <c:axId val="667921816"/>
      </c:lineChart>
      <c:lineChart>
        <c:grouping val="standard"/>
        <c:varyColors val="0"/>
        <c:ser>
          <c:idx val="2"/>
          <c:order val="2"/>
          <c:tx>
            <c:strRef>
              <c:f>税BD!$A$7:$B$7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8.6160473882606545E-3"/>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04-41F8-B706-D90FFD0B6409}"/>
                </c:ext>
              </c:extLst>
            </c:dLbl>
            <c:dLbl>
              <c:idx val="1"/>
              <c:layout>
                <c:manualLayout>
                  <c:x val="-1.9386106623586429E-2"/>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04-41F8-B706-D90FFD0B6409}"/>
                </c:ext>
              </c:extLst>
            </c:dLbl>
            <c:dLbl>
              <c:idx val="2"/>
              <c:layout>
                <c:manualLayout>
                  <c:x val="-3.4464189553042542E-2"/>
                  <c:y val="-3.4364261168384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04-41F8-B706-D90FFD0B6409}"/>
                </c:ext>
              </c:extLst>
            </c:dLbl>
            <c:dLbl>
              <c:idx val="3"/>
              <c:layout>
                <c:manualLayout>
                  <c:x val="-2.8002154011847143E-2"/>
                  <c:y val="-3.4364261168384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04-41F8-B706-D90FFD0B6409}"/>
                </c:ext>
              </c:extLst>
            </c:dLbl>
            <c:dLbl>
              <c:idx val="4"/>
              <c:layout>
                <c:manualLayout>
                  <c:x val="-5.1696284329563816E-2"/>
                  <c:y val="-3.207331042382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04-41F8-B706-D90FFD0B6409}"/>
                </c:ext>
              </c:extLst>
            </c:dLbl>
            <c:spPr>
              <a:noFill/>
              <a:ln>
                <a:noFill/>
              </a:ln>
              <a:effectLst/>
            </c:spPr>
            <c:txPr>
              <a:bodyPr wrap="square" lIns="38100" tIns="19050" rIns="38100" bIns="19050" anchor="ctr" anchorCtr="0">
                <a:spAutoFit/>
              </a:bodyPr>
              <a:lstStyle/>
              <a:p>
                <a:pPr algn="l" rtl="0">
                  <a:defRPr lang="ja-JP" altLang="en-US" sz="110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税BD!$C$3:$G$3</c:f>
              <c:strCache>
                <c:ptCount val="5"/>
                <c:pt idx="0">
                  <c:v>29年度</c:v>
                </c:pt>
                <c:pt idx="1">
                  <c:v>30年度</c:v>
                </c:pt>
                <c:pt idx="2">
                  <c:v>元年度</c:v>
                </c:pt>
                <c:pt idx="3">
                  <c:v>２年度</c:v>
                </c:pt>
                <c:pt idx="4">
                  <c:v>２年度</c:v>
                </c:pt>
              </c:strCache>
            </c:strRef>
          </c:cat>
          <c:val>
            <c:numRef>
              <c:f>税BD!$C$7:$H$7</c:f>
              <c:numCache>
                <c:formatCode>0.0%</c:formatCode>
                <c:ptCount val="6"/>
                <c:pt idx="0">
                  <c:v>0.99399999999999999</c:v>
                </c:pt>
                <c:pt idx="1">
                  <c:v>0.99399999999999999</c:v>
                </c:pt>
                <c:pt idx="2">
                  <c:v>0.99299999999999999</c:v>
                </c:pt>
                <c:pt idx="3">
                  <c:v>0.98099999999999998</c:v>
                </c:pt>
                <c:pt idx="4">
                  <c:v>0.99399999999999999</c:v>
                </c:pt>
                <c:pt idx="5">
                  <c:v>0.995</c:v>
                </c:pt>
              </c:numCache>
            </c:numRef>
          </c:val>
          <c:smooth val="0"/>
          <c:extLst>
            <c:ext xmlns:c16="http://schemas.microsoft.com/office/drawing/2014/chart" uri="{C3380CC4-5D6E-409C-BE32-E72D297353CC}">
              <c16:uniqueId val="{0000000D-E804-41F8-B706-D90FFD0B6409}"/>
            </c:ext>
          </c:extLst>
        </c:ser>
        <c:ser>
          <c:idx val="3"/>
          <c:order val="3"/>
          <c:tx>
            <c:strRef>
              <c:f>税BD!$A$8:$B$8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solidFill>
                <a:srgbClr val="FFFFFF"/>
              </a:solidFill>
              <a:ln w="25400">
                <a:noFill/>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税BD!$C$3:$G$3</c:f>
              <c:strCache>
                <c:ptCount val="5"/>
                <c:pt idx="0">
                  <c:v>29年度</c:v>
                </c:pt>
                <c:pt idx="1">
                  <c:v>30年度</c:v>
                </c:pt>
                <c:pt idx="2">
                  <c:v>元年度</c:v>
                </c:pt>
                <c:pt idx="3">
                  <c:v>２年度</c:v>
                </c:pt>
                <c:pt idx="4">
                  <c:v>２年度</c:v>
                </c:pt>
              </c:strCache>
            </c:strRef>
          </c:cat>
          <c:val>
            <c:numRef>
              <c:f>税BD!$C$8:$H$8</c:f>
              <c:numCache>
                <c:formatCode>0.0%</c:formatCode>
                <c:ptCount val="6"/>
                <c:pt idx="0">
                  <c:v>0.98199999999999998</c:v>
                </c:pt>
                <c:pt idx="1">
                  <c:v>0.98499999999999999</c:v>
                </c:pt>
                <c:pt idx="2">
                  <c:v>0.98599999999999999</c:v>
                </c:pt>
                <c:pt idx="3">
                  <c:v>0.97299999999999998</c:v>
                </c:pt>
                <c:pt idx="4">
                  <c:v>0.98599999999999999</c:v>
                </c:pt>
                <c:pt idx="5">
                  <c:v>0.98599999999999999</c:v>
                </c:pt>
              </c:numCache>
            </c:numRef>
          </c:val>
          <c:smooth val="0"/>
          <c:extLst>
            <c:ext xmlns:c16="http://schemas.microsoft.com/office/drawing/2014/chart" uri="{C3380CC4-5D6E-409C-BE32-E72D297353CC}">
              <c16:uniqueId val="{0000000E-E804-41F8-B706-D90FFD0B6409}"/>
            </c:ext>
          </c:extLst>
        </c:ser>
        <c:dLbls>
          <c:showLegendKey val="0"/>
          <c:showVal val="0"/>
          <c:showCatName val="0"/>
          <c:showSerName val="0"/>
          <c:showPercent val="0"/>
          <c:showBubbleSize val="0"/>
        </c:dLbls>
        <c:marker val="1"/>
        <c:smooth val="0"/>
        <c:axId val="669590224"/>
        <c:axId val="669590616"/>
      </c:lineChart>
      <c:catAx>
        <c:axId val="6679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1816"/>
        <c:crosses val="autoZero"/>
        <c:auto val="0"/>
        <c:lblAlgn val="ctr"/>
        <c:lblOffset val="100"/>
        <c:tickLblSkip val="1"/>
        <c:tickMarkSkip val="1"/>
        <c:noMultiLvlLbl val="0"/>
      </c:catAx>
      <c:valAx>
        <c:axId val="667921816"/>
        <c:scaling>
          <c:orientation val="minMax"/>
          <c:max val="300"/>
          <c:min val="0"/>
        </c:scaling>
        <c:delete val="0"/>
        <c:axPos val="l"/>
        <c:title>
          <c:tx>
            <c:rich>
              <a:bodyPr rot="0" vert="horz"/>
              <a:lstStyle/>
              <a:p>
                <a:pPr algn="ctr">
                  <a:defRPr sz="1000" b="0" i="0" u="none" strike="noStrike" baseline="0">
                    <a:solidFill>
                      <a:srgbClr val="000000"/>
                    </a:solidFill>
                    <a:latin typeface="HG丸ｺﾞｼｯｸM-PRO" pitchFamily="50" charset="-128"/>
                    <a:ea typeface="HG丸ｺﾞｼｯｸM-PRO" pitchFamily="50" charset="-128"/>
                    <a:cs typeface="ＭＳ Ｐゴシック"/>
                  </a:defRPr>
                </a:pPr>
                <a:r>
                  <a:rPr lang="ja-JP" altLang="en-US">
                    <a:latin typeface="HG丸ｺﾞｼｯｸM-PRO" pitchFamily="50" charset="-128"/>
                    <a:ea typeface="HG丸ｺﾞｼｯｸM-PRO"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3384"/>
        <c:crosses val="autoZero"/>
        <c:crossBetween val="between"/>
        <c:majorUnit val="100"/>
      </c:valAx>
      <c:catAx>
        <c:axId val="669590224"/>
        <c:scaling>
          <c:orientation val="minMax"/>
        </c:scaling>
        <c:delete val="1"/>
        <c:axPos val="t"/>
        <c:numFmt formatCode="General" sourceLinked="1"/>
        <c:majorTickMark val="none"/>
        <c:minorTickMark val="none"/>
        <c:tickLblPos val="none"/>
        <c:crossAx val="669590616"/>
        <c:crosses val="max"/>
        <c:auto val="0"/>
        <c:lblAlgn val="ctr"/>
        <c:lblOffset val="100"/>
        <c:noMultiLvlLbl val="0"/>
      </c:catAx>
      <c:valAx>
        <c:axId val="669590616"/>
        <c:scaling>
          <c:orientation val="minMax"/>
          <c:max val="1"/>
          <c:min val="0.70000000000000062"/>
        </c:scaling>
        <c:delete val="0"/>
        <c:axPos val="r"/>
        <c:numFmt formatCode="0.0%" sourceLinked="1"/>
        <c:majorTickMark val="none"/>
        <c:minorTickMark val="none"/>
        <c:tickLblPos val="none"/>
        <c:spPr>
          <a:ln w="9525">
            <a:noFill/>
          </a:ln>
        </c:spPr>
        <c:crossAx val="669590224"/>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sz="1400" baseline="0">
                <a:latin typeface="メイリオ" panose="020B0604030504040204" pitchFamily="50" charset="-128"/>
                <a:ea typeface="メイリオ" panose="020B0604030504040204" pitchFamily="50" charset="-128"/>
              </a:rPr>
              <a:t>②課税年度別収納率の状況（平成</a:t>
            </a:r>
            <a:r>
              <a:rPr lang="en-US" altLang="ja-JP" sz="1400" baseline="0">
                <a:latin typeface="メイリオ" panose="020B0604030504040204" pitchFamily="50" charset="-128"/>
                <a:ea typeface="メイリオ" panose="020B0604030504040204" pitchFamily="50" charset="-128"/>
              </a:rPr>
              <a:t>29</a:t>
            </a:r>
            <a:r>
              <a:rPr lang="ja-JP" altLang="en-US" sz="1400" baseline="0">
                <a:latin typeface="メイリオ" panose="020B0604030504040204" pitchFamily="50" charset="-128"/>
                <a:ea typeface="メイリオ" panose="020B0604030504040204" pitchFamily="50" charset="-128"/>
              </a:rPr>
              <a:t>～令和</a:t>
            </a:r>
            <a:r>
              <a:rPr lang="en-US" altLang="ja-JP" sz="1400" baseline="0">
                <a:latin typeface="メイリオ" panose="020B0604030504040204" pitchFamily="50" charset="-128"/>
                <a:ea typeface="メイリオ" panose="020B0604030504040204" pitchFamily="50" charset="-128"/>
              </a:rPr>
              <a:t>3</a:t>
            </a:r>
            <a:r>
              <a:rPr lang="ja-JP" altLang="en-US" sz="1400" baseline="0">
                <a:latin typeface="メイリオ" panose="020B0604030504040204" pitchFamily="50" charset="-128"/>
                <a:ea typeface="メイリオ" panose="020B0604030504040204" pitchFamily="50" charset="-128"/>
              </a:rPr>
              <a:t>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080709329613746"/>
          <c:y val="0.16982100921595328"/>
          <c:w val="0.75773889636609304"/>
          <c:h val="0.75066978469796553"/>
        </c:manualLayout>
      </c:layout>
      <c:barChart>
        <c:barDir val="col"/>
        <c:grouping val="stacked"/>
        <c:varyColors val="0"/>
        <c:ser>
          <c:idx val="0"/>
          <c:order val="0"/>
          <c:tx>
            <c:strRef>
              <c:f>税BD!$B$11</c:f>
              <c:strCache>
                <c:ptCount val="1"/>
                <c:pt idx="0">
                  <c:v>課税年度</c:v>
                </c:pt>
              </c:strCache>
            </c:strRef>
          </c:tx>
          <c:spPr>
            <a:solidFill>
              <a:srgbClr val="9999FF"/>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税BD!$A$35:$A$40</c:f>
              <c:strCache>
                <c:ptCount val="6"/>
                <c:pt idx="0">
                  <c:v>29年度</c:v>
                </c:pt>
                <c:pt idx="1">
                  <c:v>30年度</c:v>
                </c:pt>
                <c:pt idx="2">
                  <c:v>元年度</c:v>
                </c:pt>
                <c:pt idx="3">
                  <c:v>２年度</c:v>
                </c:pt>
                <c:pt idx="4">
                  <c:v>２年度</c:v>
                </c:pt>
                <c:pt idx="5">
                  <c:v>３年度（見込）</c:v>
                </c:pt>
              </c:strCache>
            </c:strRef>
          </c:cat>
          <c:val>
            <c:numRef>
              <c:f>税BD!$B$35:$B$40</c:f>
              <c:numCache>
                <c:formatCode>0.0%</c:formatCode>
                <c:ptCount val="6"/>
                <c:pt idx="0">
                  <c:v>0.99429999999999996</c:v>
                </c:pt>
                <c:pt idx="1">
                  <c:v>0.99399999999999999</c:v>
                </c:pt>
                <c:pt idx="2">
                  <c:v>0.99299999999999999</c:v>
                </c:pt>
                <c:pt idx="3">
                  <c:v>0.98080000000000001</c:v>
                </c:pt>
                <c:pt idx="4">
                  <c:v>0.99399999999999999</c:v>
                </c:pt>
                <c:pt idx="5">
                  <c:v>0.995</c:v>
                </c:pt>
              </c:numCache>
            </c:numRef>
          </c:val>
          <c:extLst>
            <c:ext xmlns:c16="http://schemas.microsoft.com/office/drawing/2014/chart" uri="{C3380CC4-5D6E-409C-BE32-E72D297353CC}">
              <c16:uniqueId val="{00000000-A084-4BC2-B55A-C5664D76EA53}"/>
            </c:ext>
          </c:extLst>
        </c:ser>
        <c:ser>
          <c:idx val="1"/>
          <c:order val="1"/>
          <c:tx>
            <c:strRef>
              <c:f>税BD!$C$11</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A084-4BC2-B55A-C5664D76EA53}"/>
                </c:ext>
              </c:extLst>
            </c:dLbl>
            <c:dLbl>
              <c:idx val="5"/>
              <c:delete val="1"/>
              <c:extLst>
                <c:ext xmlns:c15="http://schemas.microsoft.com/office/drawing/2012/chart" uri="{CE6537A1-D6FC-4f65-9D91-7224C49458BB}"/>
                <c:ext xmlns:c16="http://schemas.microsoft.com/office/drawing/2014/chart" uri="{C3380CC4-5D6E-409C-BE32-E72D297353CC}">
                  <c16:uniqueId val="{00000002-A084-4BC2-B55A-C5664D76EA53}"/>
                </c:ext>
              </c:extLst>
            </c:dLbl>
            <c:spPr>
              <a:solidFill>
                <a:srgbClr val="FFFFFF"/>
              </a:solidFill>
              <a:ln w="25400">
                <a:noFill/>
              </a:ln>
            </c:spPr>
            <c:txPr>
              <a:bodyPr/>
              <a:lstStyle/>
              <a:p>
                <a:pPr>
                  <a:defRPr sz="9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税BD!$A$35:$A$40</c:f>
              <c:strCache>
                <c:ptCount val="6"/>
                <c:pt idx="0">
                  <c:v>29年度</c:v>
                </c:pt>
                <c:pt idx="1">
                  <c:v>30年度</c:v>
                </c:pt>
                <c:pt idx="2">
                  <c:v>元年度</c:v>
                </c:pt>
                <c:pt idx="3">
                  <c:v>２年度</c:v>
                </c:pt>
                <c:pt idx="4">
                  <c:v>２年度</c:v>
                </c:pt>
                <c:pt idx="5">
                  <c:v>３年度（見込）</c:v>
                </c:pt>
              </c:strCache>
            </c:strRef>
          </c:cat>
          <c:val>
            <c:numRef>
              <c:f>税BD!$C$12:$C$38</c:f>
              <c:numCache>
                <c:formatCode>0.0%</c:formatCode>
                <c:ptCount val="4"/>
                <c:pt idx="0">
                  <c:v>2.8E-3</c:v>
                </c:pt>
                <c:pt idx="1">
                  <c:v>2.8999999999999998E-3</c:v>
                </c:pt>
                <c:pt idx="2">
                  <c:v>3.5999999999999999E-3</c:v>
                </c:pt>
                <c:pt idx="3">
                  <c:v>1.4999999999999999E-2</c:v>
                </c:pt>
              </c:numCache>
            </c:numRef>
          </c:val>
          <c:extLst>
            <c:ext xmlns:c16="http://schemas.microsoft.com/office/drawing/2014/chart" uri="{C3380CC4-5D6E-409C-BE32-E72D297353CC}">
              <c16:uniqueId val="{00000003-A084-4BC2-B55A-C5664D76EA53}"/>
            </c:ext>
          </c:extLst>
        </c:ser>
        <c:ser>
          <c:idx val="2"/>
          <c:order val="2"/>
          <c:tx>
            <c:strRef>
              <c:f>税BD!$D$11</c:f>
              <c:strCache>
                <c:ptCount val="1"/>
                <c:pt idx="0">
                  <c:v>繰越 ２年目</c:v>
                </c:pt>
              </c:strCache>
            </c:strRef>
          </c:tx>
          <c:spPr>
            <a:solidFill>
              <a:srgbClr val="FFFFCC"/>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84-4BC2-B55A-C5664D76EA53}"/>
                </c:ext>
              </c:extLst>
            </c:dLbl>
            <c:dLbl>
              <c:idx val="3"/>
              <c:delete val="1"/>
              <c:extLst>
                <c:ext xmlns:c15="http://schemas.microsoft.com/office/drawing/2012/chart" uri="{CE6537A1-D6FC-4f65-9D91-7224C49458BB}"/>
                <c:ext xmlns:c16="http://schemas.microsoft.com/office/drawing/2014/chart" uri="{C3380CC4-5D6E-409C-BE32-E72D297353CC}">
                  <c16:uniqueId val="{00000005-A084-4BC2-B55A-C5664D76EA53}"/>
                </c:ext>
              </c:extLst>
            </c:dLbl>
            <c:dLbl>
              <c:idx val="4"/>
              <c:delete val="1"/>
              <c:extLst>
                <c:ext xmlns:c15="http://schemas.microsoft.com/office/drawing/2012/chart" uri="{CE6537A1-D6FC-4f65-9D91-7224C49458BB}"/>
                <c:ext xmlns:c16="http://schemas.microsoft.com/office/drawing/2014/chart" uri="{C3380CC4-5D6E-409C-BE32-E72D297353CC}">
                  <c16:uniqueId val="{00000006-A084-4BC2-B55A-C5664D76EA53}"/>
                </c:ext>
              </c:extLst>
            </c:dLbl>
            <c:dLbl>
              <c:idx val="5"/>
              <c:delete val="1"/>
              <c:extLst>
                <c:ext xmlns:c15="http://schemas.microsoft.com/office/drawing/2012/chart" uri="{CE6537A1-D6FC-4f65-9D91-7224C49458BB}"/>
                <c:ext xmlns:c16="http://schemas.microsoft.com/office/drawing/2014/chart" uri="{C3380CC4-5D6E-409C-BE32-E72D297353CC}">
                  <c16:uniqueId val="{00000007-A084-4BC2-B55A-C5664D76EA53}"/>
                </c:ext>
              </c:extLst>
            </c:dLbl>
            <c:spPr>
              <a:noFill/>
              <a:ln w="25400">
                <a:noFill/>
              </a:ln>
            </c:spPr>
            <c:txPr>
              <a:bodyPr/>
              <a:lstStyle/>
              <a:p>
                <a:pPr>
                  <a:defRPr sz="9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税BD!$A$35:$A$40</c:f>
              <c:strCache>
                <c:ptCount val="6"/>
                <c:pt idx="0">
                  <c:v>29年度</c:v>
                </c:pt>
                <c:pt idx="1">
                  <c:v>30年度</c:v>
                </c:pt>
                <c:pt idx="2">
                  <c:v>元年度</c:v>
                </c:pt>
                <c:pt idx="3">
                  <c:v>２年度</c:v>
                </c:pt>
                <c:pt idx="4">
                  <c:v>２年度</c:v>
                </c:pt>
                <c:pt idx="5">
                  <c:v>３年度（見込）</c:v>
                </c:pt>
              </c:strCache>
            </c:strRef>
          </c:cat>
          <c:val>
            <c:numRef>
              <c:f>税BD!$D$12:$D$38</c:f>
              <c:numCache>
                <c:formatCode>0.0%</c:formatCode>
                <c:ptCount val="4"/>
                <c:pt idx="0">
                  <c:v>1E-3</c:v>
                </c:pt>
                <c:pt idx="1">
                  <c:v>8.0000000000000004E-4</c:v>
                </c:pt>
                <c:pt idx="2">
                  <c:v>1E-3</c:v>
                </c:pt>
              </c:numCache>
            </c:numRef>
          </c:val>
          <c:extLst>
            <c:ext xmlns:c16="http://schemas.microsoft.com/office/drawing/2014/chart" uri="{C3380CC4-5D6E-409C-BE32-E72D297353CC}">
              <c16:uniqueId val="{00000008-A084-4BC2-B55A-C5664D76EA53}"/>
            </c:ext>
          </c:extLst>
        </c:ser>
        <c:ser>
          <c:idx val="3"/>
          <c:order val="3"/>
          <c:tx>
            <c:strRef>
              <c:f>税BD!$E$11</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A084-4BC2-B55A-C5664D76EA53}"/>
                </c:ext>
              </c:extLst>
            </c:dLbl>
            <c:dLbl>
              <c:idx val="1"/>
              <c:layout>
                <c:manualLayout>
                  <c:x val="7.0267906074494499E-2"/>
                  <c:y val="5.01253132832075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84-4BC2-B55A-C5664D76EA53}"/>
                </c:ext>
              </c:extLst>
            </c:dLbl>
            <c:dLbl>
              <c:idx val="2"/>
              <c:delete val="1"/>
              <c:extLst>
                <c:ext xmlns:c15="http://schemas.microsoft.com/office/drawing/2012/chart" uri="{CE6537A1-D6FC-4f65-9D91-7224C49458BB}"/>
                <c:ext xmlns:c16="http://schemas.microsoft.com/office/drawing/2014/chart" uri="{C3380CC4-5D6E-409C-BE32-E72D297353CC}">
                  <c16:uniqueId val="{0000000B-A084-4BC2-B55A-C5664D76EA53}"/>
                </c:ext>
              </c:extLst>
            </c:dLbl>
            <c:dLbl>
              <c:idx val="3"/>
              <c:delete val="1"/>
              <c:extLst>
                <c:ext xmlns:c15="http://schemas.microsoft.com/office/drawing/2012/chart" uri="{CE6537A1-D6FC-4f65-9D91-7224C49458BB}"/>
                <c:ext xmlns:c16="http://schemas.microsoft.com/office/drawing/2014/chart" uri="{C3380CC4-5D6E-409C-BE32-E72D297353CC}">
                  <c16:uniqueId val="{0000000C-A084-4BC2-B55A-C5664D76EA53}"/>
                </c:ext>
              </c:extLst>
            </c:dLbl>
            <c:dLbl>
              <c:idx val="4"/>
              <c:delete val="1"/>
              <c:extLst>
                <c:ext xmlns:c15="http://schemas.microsoft.com/office/drawing/2012/chart" uri="{CE6537A1-D6FC-4f65-9D91-7224C49458BB}"/>
                <c:ext xmlns:c16="http://schemas.microsoft.com/office/drawing/2014/chart" uri="{C3380CC4-5D6E-409C-BE32-E72D297353CC}">
                  <c16:uniqueId val="{0000000D-A084-4BC2-B55A-C5664D76EA53}"/>
                </c:ext>
              </c:extLst>
            </c:dLbl>
            <c:spPr>
              <a:noFill/>
              <a:ln>
                <a:noFill/>
              </a:ln>
              <a:effectLst/>
            </c:spPr>
            <c:txPr>
              <a:bodyPr wrap="square" lIns="38100" tIns="19050" rIns="38100" bIns="19050" anchor="ctr">
                <a:spAutoFit/>
              </a:bodyPr>
              <a:lstStyle/>
              <a:p>
                <a:pPr>
                  <a:defRPr sz="900">
                    <a:latin typeface="HG丸ｺﾞｼｯｸM-PRO" panose="020F0600000000000000" pitchFamily="50" charset="-128"/>
                    <a:ea typeface="HG丸ｺﾞｼｯｸM-PRO" panose="020F0600000000000000"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税BD!$A$35:$A$40</c:f>
              <c:strCache>
                <c:ptCount val="6"/>
                <c:pt idx="0">
                  <c:v>29年度</c:v>
                </c:pt>
                <c:pt idx="1">
                  <c:v>30年度</c:v>
                </c:pt>
                <c:pt idx="2">
                  <c:v>元年度</c:v>
                </c:pt>
                <c:pt idx="3">
                  <c:v>２年度</c:v>
                </c:pt>
                <c:pt idx="4">
                  <c:v>２年度</c:v>
                </c:pt>
                <c:pt idx="5">
                  <c:v>３年度（見込）</c:v>
                </c:pt>
              </c:strCache>
            </c:strRef>
          </c:cat>
          <c:val>
            <c:numRef>
              <c:f>税BD!$E$12:$E$38</c:f>
              <c:numCache>
                <c:formatCode>0.00%</c:formatCode>
                <c:ptCount val="4"/>
                <c:pt idx="0">
                  <c:v>2.9999999999999997E-4</c:v>
                </c:pt>
                <c:pt idx="1">
                  <c:v>2.9999999999999997E-4</c:v>
                </c:pt>
              </c:numCache>
            </c:numRef>
          </c:val>
          <c:extLst>
            <c:ext xmlns:c16="http://schemas.microsoft.com/office/drawing/2014/chart" uri="{C3380CC4-5D6E-409C-BE32-E72D297353CC}">
              <c16:uniqueId val="{0000000E-A084-4BC2-B55A-C5664D76EA53}"/>
            </c:ext>
          </c:extLst>
        </c:ser>
        <c:ser>
          <c:idx val="4"/>
          <c:order val="4"/>
          <c:tx>
            <c:strRef>
              <c:f>税BD!$F$11</c:f>
              <c:strCache>
                <c:ptCount val="1"/>
                <c:pt idx="0">
                  <c:v>繰越 ４年目</c:v>
                </c:pt>
              </c:strCache>
            </c:strRef>
          </c:tx>
          <c:spPr>
            <a:solidFill>
              <a:srgbClr val="66FFCC"/>
            </a:solidFill>
            <a:ln w="12700">
              <a:solidFill>
                <a:srgbClr val="000000"/>
              </a:solidFill>
              <a:prstDash val="solid"/>
            </a:ln>
          </c:spPr>
          <c:invertIfNegative val="0"/>
          <c:dLbls>
            <c:dLbl>
              <c:idx val="0"/>
              <c:layout>
                <c:manualLayout>
                  <c:x val="5.9727720163320286E-2"/>
                  <c:y val="-7.5187969924812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84-4BC2-B55A-C5664D76EA53}"/>
                </c:ext>
              </c:extLst>
            </c:dLbl>
            <c:dLbl>
              <c:idx val="1"/>
              <c:delete val="1"/>
              <c:extLst>
                <c:ext xmlns:c15="http://schemas.microsoft.com/office/drawing/2012/chart" uri="{CE6537A1-D6FC-4f65-9D91-7224C49458BB}"/>
                <c:ext xmlns:c16="http://schemas.microsoft.com/office/drawing/2014/chart" uri="{C3380CC4-5D6E-409C-BE32-E72D297353CC}">
                  <c16:uniqueId val="{00000010-A084-4BC2-B55A-C5664D76EA53}"/>
                </c:ext>
              </c:extLst>
            </c:dLbl>
            <c:dLbl>
              <c:idx val="2"/>
              <c:delete val="1"/>
              <c:extLst>
                <c:ext xmlns:c15="http://schemas.microsoft.com/office/drawing/2012/chart" uri="{CE6537A1-D6FC-4f65-9D91-7224C49458BB}"/>
                <c:ext xmlns:c16="http://schemas.microsoft.com/office/drawing/2014/chart" uri="{C3380CC4-5D6E-409C-BE32-E72D297353CC}">
                  <c16:uniqueId val="{00000011-A084-4BC2-B55A-C5664D76EA53}"/>
                </c:ext>
              </c:extLst>
            </c:dLbl>
            <c:dLbl>
              <c:idx val="3"/>
              <c:delete val="1"/>
              <c:extLst>
                <c:ext xmlns:c15="http://schemas.microsoft.com/office/drawing/2012/chart" uri="{CE6537A1-D6FC-4f65-9D91-7224C49458BB}"/>
                <c:ext xmlns:c16="http://schemas.microsoft.com/office/drawing/2014/chart" uri="{C3380CC4-5D6E-409C-BE32-E72D297353CC}">
                  <c16:uniqueId val="{00000012-A084-4BC2-B55A-C5664D76EA53}"/>
                </c:ext>
              </c:extLst>
            </c:dLbl>
            <c:dLbl>
              <c:idx val="4"/>
              <c:delete val="1"/>
              <c:extLst>
                <c:ext xmlns:c15="http://schemas.microsoft.com/office/drawing/2012/chart" uri="{CE6537A1-D6FC-4f65-9D91-7224C49458BB}"/>
                <c:ext xmlns:c16="http://schemas.microsoft.com/office/drawing/2014/chart" uri="{C3380CC4-5D6E-409C-BE32-E72D297353CC}">
                  <c16:uniqueId val="{00000013-A084-4BC2-B55A-C5664D76EA53}"/>
                </c:ext>
              </c:extLst>
            </c:dLbl>
            <c:spPr>
              <a:noFill/>
              <a:ln>
                <a:noFill/>
              </a:ln>
              <a:effectLst/>
            </c:spPr>
            <c:txPr>
              <a:bodyPr wrap="square" lIns="38100" tIns="19050" rIns="38100" bIns="19050" anchor="ctr" anchorCtr="0">
                <a:spAutoFit/>
              </a:bodyPr>
              <a:lstStyle/>
              <a:p>
                <a:pPr algn="ctr">
                  <a:defRPr lang="ja-JP" altLang="en-US" sz="90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税BD!$A$35:$A$40</c:f>
              <c:strCache>
                <c:ptCount val="6"/>
                <c:pt idx="0">
                  <c:v>29年度</c:v>
                </c:pt>
                <c:pt idx="1">
                  <c:v>30年度</c:v>
                </c:pt>
                <c:pt idx="2">
                  <c:v>元年度</c:v>
                </c:pt>
                <c:pt idx="3">
                  <c:v>２年度</c:v>
                </c:pt>
                <c:pt idx="4">
                  <c:v>２年度</c:v>
                </c:pt>
                <c:pt idx="5">
                  <c:v>３年度（見込）</c:v>
                </c:pt>
              </c:strCache>
            </c:strRef>
          </c:cat>
          <c:val>
            <c:numRef>
              <c:f>税BD!$F$12:$F$38</c:f>
              <c:numCache>
                <c:formatCode>0.0%</c:formatCode>
                <c:ptCount val="4"/>
                <c:pt idx="0" formatCode="0.00%">
                  <c:v>2.0000000000000001E-4</c:v>
                </c:pt>
              </c:numCache>
            </c:numRef>
          </c:val>
          <c:extLst>
            <c:ext xmlns:c16="http://schemas.microsoft.com/office/drawing/2014/chart" uri="{C3380CC4-5D6E-409C-BE32-E72D297353CC}">
              <c16:uniqueId val="{00000014-A084-4BC2-B55A-C5664D76EA53}"/>
            </c:ext>
          </c:extLst>
        </c:ser>
        <c:dLbls>
          <c:showLegendKey val="0"/>
          <c:showVal val="1"/>
          <c:showCatName val="0"/>
          <c:showSerName val="0"/>
          <c:showPercent val="0"/>
          <c:showBubbleSize val="0"/>
        </c:dLbls>
        <c:gapWidth val="100"/>
        <c:overlap val="100"/>
        <c:axId val="661884408"/>
        <c:axId val="661881272"/>
      </c:barChart>
      <c:lineChart>
        <c:grouping val="standard"/>
        <c:varyColors val="0"/>
        <c:ser>
          <c:idx val="5"/>
          <c:order val="5"/>
          <c:tx>
            <c:strRef>
              <c:f>税BD!$G$11</c:f>
              <c:strCache>
                <c:ptCount val="1"/>
                <c:pt idx="0">
                  <c:v>合計</c:v>
                </c:pt>
              </c:strCache>
            </c:strRef>
          </c:tx>
          <c:spPr>
            <a:ln w="28575">
              <a:noFill/>
            </a:ln>
          </c:spPr>
          <c:marker>
            <c:symbol val="none"/>
          </c:marker>
          <c:dPt>
            <c:idx val="0"/>
            <c:bubble3D val="0"/>
            <c:extLst>
              <c:ext xmlns:c16="http://schemas.microsoft.com/office/drawing/2014/chart" uri="{C3380CC4-5D6E-409C-BE32-E72D297353CC}">
                <c16:uniqueId val="{00000015-A084-4BC2-B55A-C5664D76EA53}"/>
              </c:ext>
            </c:extLst>
          </c:dPt>
          <c:dLbls>
            <c:dLbl>
              <c:idx val="0"/>
              <c:layout>
                <c:manualLayout>
                  <c:x val="-9.0978956422002488E-2"/>
                  <c:y val="-2.800929489077023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714009898922107"/>
                      <c:h val="4.6741854636591473E-2"/>
                    </c:manualLayout>
                  </c15:layout>
                </c:ext>
                <c:ext xmlns:c16="http://schemas.microsoft.com/office/drawing/2014/chart" uri="{C3380CC4-5D6E-409C-BE32-E72D297353CC}">
                  <c16:uniqueId val="{00000015-A084-4BC2-B55A-C5664D76EA53}"/>
                </c:ext>
              </c:extLst>
            </c:dLbl>
            <c:dLbl>
              <c:idx val="1"/>
              <c:layout>
                <c:manualLayout>
                  <c:x val="-4.4418169288664711E-2"/>
                  <c:y val="-2.963649280682020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025921387918399E-2"/>
                      <c:h val="5.1754385964912282E-2"/>
                    </c:manualLayout>
                  </c15:layout>
                </c:ext>
                <c:ext xmlns:c16="http://schemas.microsoft.com/office/drawing/2014/chart" uri="{C3380CC4-5D6E-409C-BE32-E72D297353CC}">
                  <c16:uniqueId val="{00000016-A084-4BC2-B55A-C5664D76EA53}"/>
                </c:ext>
              </c:extLst>
            </c:dLbl>
            <c:dLbl>
              <c:idx val="2"/>
              <c:layout>
                <c:manualLayout>
                  <c:x val="-4.5022085977486116E-2"/>
                  <c:y val="-3.60470072819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084-4BC2-B55A-C5664D76EA53}"/>
                </c:ext>
              </c:extLst>
            </c:dLbl>
            <c:dLbl>
              <c:idx val="3"/>
              <c:layout>
                <c:manualLayout>
                  <c:x val="-4.91053705981929E-2"/>
                  <c:y val="-2.619462040929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084-4BC2-B55A-C5664D76EA53}"/>
                </c:ext>
              </c:extLst>
            </c:dLbl>
            <c:dLbl>
              <c:idx val="4"/>
              <c:spPr>
                <a:solidFill>
                  <a:srgbClr val="FFFFFF"/>
                </a:solidFill>
                <a:ln w="3175">
                  <a:noFill/>
                  <a:prstDash val="solid"/>
                </a:ln>
              </c:spPr>
              <c:txPr>
                <a:bodyPr/>
                <a:lstStyle/>
                <a:p>
                  <a:pPr>
                    <a:defRPr sz="9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A084-4BC2-B55A-C5664D76EA53}"/>
                </c:ext>
              </c:extLst>
            </c:dLbl>
            <c:spPr>
              <a:noFill/>
              <a:ln w="3175">
                <a:noFill/>
                <a:prstDash val="solid"/>
              </a:ln>
            </c:spPr>
            <c:txPr>
              <a:bodyPr/>
              <a:lstStyle/>
              <a:p>
                <a:pPr>
                  <a:defRPr sz="9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税BD!$A$12:$A$38</c:f>
              <c:strCache>
                <c:ptCount val="4"/>
                <c:pt idx="0">
                  <c:v>29年度</c:v>
                </c:pt>
                <c:pt idx="1">
                  <c:v>30年度</c:v>
                </c:pt>
                <c:pt idx="2">
                  <c:v>元年度</c:v>
                </c:pt>
                <c:pt idx="3">
                  <c:v>２年度</c:v>
                </c:pt>
              </c:strCache>
            </c:strRef>
          </c:cat>
          <c:val>
            <c:numRef>
              <c:f>税BD!$G$35:$G$40</c:f>
              <c:numCache>
                <c:formatCode>0.0%</c:formatCode>
                <c:ptCount val="6"/>
                <c:pt idx="0">
                  <c:v>0.99859999999999993</c:v>
                </c:pt>
                <c:pt idx="1">
                  <c:v>0.998</c:v>
                </c:pt>
                <c:pt idx="2">
                  <c:v>0.99760000000000004</c:v>
                </c:pt>
                <c:pt idx="3">
                  <c:v>0.99580000000000002</c:v>
                </c:pt>
                <c:pt idx="4">
                  <c:v>0.99399999999999999</c:v>
                </c:pt>
                <c:pt idx="5">
                  <c:v>0.995</c:v>
                </c:pt>
              </c:numCache>
            </c:numRef>
          </c:val>
          <c:smooth val="0"/>
          <c:extLst>
            <c:ext xmlns:c16="http://schemas.microsoft.com/office/drawing/2014/chart" uri="{C3380CC4-5D6E-409C-BE32-E72D297353CC}">
              <c16:uniqueId val="{0000001A-A084-4BC2-B55A-C5664D76EA53}"/>
            </c:ext>
          </c:extLst>
        </c:ser>
        <c:dLbls>
          <c:showLegendKey val="0"/>
          <c:showVal val="1"/>
          <c:showCatName val="0"/>
          <c:showSerName val="0"/>
          <c:showPercent val="0"/>
          <c:showBubbleSize val="0"/>
        </c:dLbls>
        <c:marker val="1"/>
        <c:smooth val="0"/>
        <c:axId val="661884408"/>
        <c:axId val="661881272"/>
      </c:lineChart>
      <c:catAx>
        <c:axId val="661884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1272"/>
        <c:crosses val="autoZero"/>
        <c:auto val="1"/>
        <c:lblAlgn val="ctr"/>
        <c:lblOffset val="100"/>
        <c:tickLblSkip val="1"/>
        <c:tickMarkSkip val="1"/>
        <c:noMultiLvlLbl val="0"/>
      </c:catAx>
      <c:valAx>
        <c:axId val="661881272"/>
        <c:scaling>
          <c:orientation val="minMax"/>
          <c:max val="0.999"/>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4408"/>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no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7.5400282171935715E-2"/>
          <c:y val="0.10629067245119694"/>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頁11データ!$C$13:$AB$13</c:f>
              <c:strCache>
                <c:ptCount val="26"/>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strCache>
            </c:strRef>
          </c:cat>
          <c:val>
            <c:numRef>
              <c:f>頁11データ!$C$14:$AB$14</c:f>
              <c:numCache>
                <c:formatCode>#,##0.0;[Red]\-#,##0.0</c:formatCode>
                <c:ptCount val="26"/>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pt idx="22">
                  <c:v>94.831007269458638</c:v>
                </c:pt>
                <c:pt idx="23">
                  <c:v>99.80415026548377</c:v>
                </c:pt>
                <c:pt idx="24">
                  <c:v>95.759718223284125</c:v>
                </c:pt>
                <c:pt idx="25">
                  <c:v>96.44988600079472</c:v>
                </c:pt>
              </c:numCache>
            </c:numRef>
          </c:val>
          <c:smooth val="0"/>
          <c:extLst>
            <c:ext xmlns:c16="http://schemas.microsoft.com/office/drawing/2014/chart" uri="{C3380CC4-5D6E-409C-BE32-E72D297353CC}">
              <c16:uniqueId val="{00000000-CA4A-4367-BC85-9D64D4B658E5}"/>
            </c:ext>
          </c:extLst>
        </c:ser>
        <c:ser>
          <c:idx val="1"/>
          <c:order val="1"/>
          <c:spPr>
            <a:ln w="12700">
              <a:solidFill>
                <a:srgbClr val="00B050"/>
              </a:solidFill>
              <a:prstDash val="solid"/>
            </a:ln>
          </c:spPr>
          <c:marker>
            <c:symbol val="none"/>
          </c:marker>
          <c:cat>
            <c:strRef>
              <c:f>頁11データ!$C$13:$AB$13</c:f>
              <c:strCache>
                <c:ptCount val="26"/>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strCache>
            </c:strRef>
          </c:cat>
          <c:val>
            <c:numRef>
              <c:f>頁11データ!$C$15:$AB$15</c:f>
              <c:numCache>
                <c:formatCode>#,##0.0;[Red]\-#,##0.0</c:formatCode>
                <c:ptCount val="26"/>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pt idx="22">
                  <c:v>90.577641576760001</c:v>
                </c:pt>
                <c:pt idx="23">
                  <c:v>91.302092391467312</c:v>
                </c:pt>
                <c:pt idx="24">
                  <c:v>91.694603201256996</c:v>
                </c:pt>
                <c:pt idx="25">
                  <c:v>92.123096667406315</c:v>
                </c:pt>
              </c:numCache>
            </c:numRef>
          </c:val>
          <c:smooth val="0"/>
          <c:extLst>
            <c:ext xmlns:c16="http://schemas.microsoft.com/office/drawing/2014/chart" uri="{C3380CC4-5D6E-409C-BE32-E72D297353CC}">
              <c16:uniqueId val="{00000001-CA4A-4367-BC85-9D64D4B658E5}"/>
            </c:ext>
          </c:extLst>
        </c:ser>
        <c:ser>
          <c:idx val="2"/>
          <c:order val="2"/>
          <c:spPr>
            <a:ln w="12700">
              <a:solidFill>
                <a:srgbClr val="FF6600"/>
              </a:solidFill>
              <a:prstDash val="sysDash"/>
            </a:ln>
          </c:spPr>
          <c:marker>
            <c:symbol val="none"/>
          </c:marker>
          <c:cat>
            <c:strRef>
              <c:f>頁11データ!$C$13:$AB$13</c:f>
              <c:strCache>
                <c:ptCount val="26"/>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strCache>
            </c:strRef>
          </c:cat>
          <c:val>
            <c:numRef>
              <c:f>頁11データ!$C$16:$AB$16</c:f>
              <c:numCache>
                <c:formatCode>#,##0.0;[Red]\-#,##0.0</c:formatCode>
                <c:ptCount val="26"/>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pt idx="22">
                  <c:v>254.70516507534796</c:v>
                </c:pt>
                <c:pt idx="23">
                  <c:v>263.22420338203153</c:v>
                </c:pt>
                <c:pt idx="24">
                  <c:v>271.18969285632119</c:v>
                </c:pt>
                <c:pt idx="25">
                  <c:v>310.72495111008863</c:v>
                </c:pt>
              </c:numCache>
            </c:numRef>
          </c:val>
          <c:smooth val="0"/>
          <c:extLst>
            <c:ext xmlns:c16="http://schemas.microsoft.com/office/drawing/2014/chart" uri="{C3380CC4-5D6E-409C-BE32-E72D297353CC}">
              <c16:uniqueId val="{00000002-CA4A-4367-BC85-9D64D4B658E5}"/>
            </c:ext>
          </c:extLst>
        </c:ser>
        <c:ser>
          <c:idx val="4"/>
          <c:order val="3"/>
          <c:spPr>
            <a:ln w="38100">
              <a:pattFill prst="pct50">
                <a:fgClr>
                  <a:srgbClr val="00CCFF"/>
                </a:fgClr>
                <a:bgClr>
                  <a:srgbClr val="FFFFFF"/>
                </a:bgClr>
              </a:pattFill>
              <a:prstDash val="solid"/>
            </a:ln>
          </c:spPr>
          <c:marker>
            <c:symbol val="none"/>
          </c:marker>
          <c:cat>
            <c:strRef>
              <c:f>頁11データ!$C$13:$AB$13</c:f>
              <c:strCache>
                <c:ptCount val="26"/>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strCache>
            </c:strRef>
          </c:cat>
          <c:val>
            <c:numRef>
              <c:f>頁11データ!$C$18:$AB$18</c:f>
              <c:numCache>
                <c:formatCode>#,##0.0;[Red]\-#,##0.0</c:formatCode>
                <c:ptCount val="26"/>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pt idx="22">
                  <c:v>200.85145276120838</c:v>
                </c:pt>
                <c:pt idx="23">
                  <c:v>154.72113032243877</c:v>
                </c:pt>
                <c:pt idx="24">
                  <c:v>134.35017455125208</c:v>
                </c:pt>
                <c:pt idx="25">
                  <c:v>140.62096264328321</c:v>
                </c:pt>
              </c:numCache>
            </c:numRef>
          </c:val>
          <c:smooth val="0"/>
          <c:extLst>
            <c:ext xmlns:c16="http://schemas.microsoft.com/office/drawing/2014/chart" uri="{C3380CC4-5D6E-409C-BE32-E72D297353CC}">
              <c16:uniqueId val="{00000003-CA4A-4367-BC85-9D64D4B658E5}"/>
            </c:ext>
          </c:extLst>
        </c:ser>
        <c:ser>
          <c:idx val="5"/>
          <c:order val="4"/>
          <c:spPr>
            <a:ln w="12700">
              <a:solidFill>
                <a:srgbClr val="3366FF"/>
              </a:solidFill>
              <a:prstDash val="solid"/>
            </a:ln>
          </c:spPr>
          <c:marker>
            <c:symbol val="none"/>
          </c:marker>
          <c:cat>
            <c:strRef>
              <c:f>頁11データ!$C$13:$AB$13</c:f>
              <c:strCache>
                <c:ptCount val="26"/>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strCache>
            </c:strRef>
          </c:cat>
          <c:val>
            <c:numRef>
              <c:f>頁11データ!$C$19:$AB$19</c:f>
              <c:numCache>
                <c:formatCode>#,##0.0;[Red]\-#,##0.0</c:formatCode>
                <c:ptCount val="26"/>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pt idx="22">
                  <c:v>25.428052338918356</c:v>
                </c:pt>
                <c:pt idx="23">
                  <c:v>32.075837192278442</c:v>
                </c:pt>
                <c:pt idx="24">
                  <c:v>36.250838568652519</c:v>
                </c:pt>
                <c:pt idx="25">
                  <c:v>43.511772586298655</c:v>
                </c:pt>
              </c:numCache>
            </c:numRef>
          </c:val>
          <c:smooth val="0"/>
          <c:extLst>
            <c:ext xmlns:c16="http://schemas.microsoft.com/office/drawing/2014/chart" uri="{C3380CC4-5D6E-409C-BE32-E72D297353CC}">
              <c16:uniqueId val="{00000004-CA4A-4367-BC85-9D64D4B658E5}"/>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300-000000000000}">
  <sheetPr>
    <tabColor rgb="FFFF0000"/>
  </sheetPr>
  <sheetViews>
    <sheetView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400-000000000000}">
  <sheetPr>
    <tabColor rgb="FFFF0000"/>
  </sheetPr>
  <sheetViews>
    <sheetView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tabColor rgb="FFFF0000"/>
  </sheetPr>
  <sheetViews>
    <sheetView workbookViewId="0"/>
  </sheetViews>
  <pageMargins left="0.64" right="0.56000000000000005" top="0.98425196850393704" bottom="0.76"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609600" y="161925"/>
          <a:ext cx="5486400" cy="438150"/>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令和３年度　普通会計決算見込のポイント</a:t>
          </a:r>
        </a:p>
      </xdr:txBody>
    </xdr:sp>
    <xdr:clientData/>
  </xdr:twoCellAnchor>
  <mc:AlternateContent xmlns:mc="http://schemas.openxmlformats.org/markup-compatibility/2006">
    <mc:Choice xmlns:a14="http://schemas.microsoft.com/office/drawing/2010/main" Requires="a14">
      <xdr:oneCellAnchor>
        <xdr:from>
          <xdr:col>1</xdr:col>
          <xdr:colOff>19050</xdr:colOff>
          <xdr:row>140</xdr:row>
          <xdr:rowOff>19050</xdr:rowOff>
        </xdr:from>
        <xdr:ext cx="5961529" cy="2005853"/>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REF!" spid="_x0000_s402654"/>
                </a:ext>
              </a:extLst>
            </xdr:cNvPicPr>
          </xdr:nvPicPr>
          <xdr:blipFill>
            <a:blip xmlns:r="http://schemas.openxmlformats.org/officeDocument/2006/relationships" r:embed="rId1"/>
            <a:srcRect/>
            <a:stretch>
              <a:fillRect/>
            </a:stretch>
          </xdr:blipFill>
          <xdr:spPr bwMode="auto">
            <a:xfrm>
              <a:off x="209550" y="35804475"/>
              <a:ext cx="5961529" cy="2005853"/>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oneCellAnchor>
    </mc:Choice>
    <mc:Fallback/>
  </mc:AlternateContent>
  <xdr:twoCellAnchor>
    <xdr:from>
      <xdr:col>1</xdr:col>
      <xdr:colOff>8283</xdr:colOff>
      <xdr:row>20</xdr:row>
      <xdr:rowOff>67918</xdr:rowOff>
    </xdr:from>
    <xdr:to>
      <xdr:col>2</xdr:col>
      <xdr:colOff>43608</xdr:colOff>
      <xdr:row>22</xdr:row>
      <xdr:rowOff>152818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98783" y="4668493"/>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歳出</a:t>
          </a:r>
        </a:p>
      </xdr:txBody>
    </xdr:sp>
    <xdr:clientData/>
  </xdr:twoCellAnchor>
  <xdr:twoCellAnchor>
    <xdr:from>
      <xdr:col>1</xdr:col>
      <xdr:colOff>7039</xdr:colOff>
      <xdr:row>33</xdr:row>
      <xdr:rowOff>209550</xdr:rowOff>
    </xdr:from>
    <xdr:to>
      <xdr:col>2</xdr:col>
      <xdr:colOff>42364</xdr:colOff>
      <xdr:row>36</xdr:row>
      <xdr:rowOff>46800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97539" y="7839075"/>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経常収支</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比　　率</a:t>
          </a:r>
        </a:p>
      </xdr:txBody>
    </xdr:sp>
    <xdr:clientData/>
  </xdr:twoCellAnchor>
  <xdr:twoCellAnchor>
    <xdr:from>
      <xdr:col>1</xdr:col>
      <xdr:colOff>8283</xdr:colOff>
      <xdr:row>43</xdr:row>
      <xdr:rowOff>39343</xdr:rowOff>
    </xdr:from>
    <xdr:to>
      <xdr:col>2</xdr:col>
      <xdr:colOff>43608</xdr:colOff>
      <xdr:row>45</xdr:row>
      <xdr:rowOff>124243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98783" y="9973918"/>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地方債</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残　高</a:t>
          </a:r>
        </a:p>
      </xdr:txBody>
    </xdr:sp>
    <xdr:clientData/>
  </xdr:twoCellAnchor>
  <xdr:twoCellAnchor>
    <xdr:from>
      <xdr:col>1</xdr:col>
      <xdr:colOff>17808</xdr:colOff>
      <xdr:row>28</xdr:row>
      <xdr:rowOff>1243</xdr:rowOff>
    </xdr:from>
    <xdr:to>
      <xdr:col>2</xdr:col>
      <xdr:colOff>53133</xdr:colOff>
      <xdr:row>30</xdr:row>
      <xdr:rowOff>9943</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208308" y="6335368"/>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実質収支</a:t>
          </a:r>
        </a:p>
      </xdr:txBody>
    </xdr:sp>
    <xdr:clientData/>
  </xdr:twoCellAnchor>
  <xdr:twoCellAnchor>
    <xdr:from>
      <xdr:col>1</xdr:col>
      <xdr:colOff>8283</xdr:colOff>
      <xdr:row>10</xdr:row>
      <xdr:rowOff>58393</xdr:rowOff>
    </xdr:from>
    <xdr:to>
      <xdr:col>2</xdr:col>
      <xdr:colOff>43608</xdr:colOff>
      <xdr:row>12</xdr:row>
      <xdr:rowOff>143293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198783" y="2353918"/>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歳入</a:t>
          </a:r>
        </a:p>
      </xdr:txBody>
    </xdr:sp>
    <xdr:clientData/>
  </xdr:twoCellAnchor>
  <xdr:twoCellAnchor>
    <xdr:from>
      <xdr:col>1</xdr:col>
      <xdr:colOff>19049</xdr:colOff>
      <xdr:row>36</xdr:row>
      <xdr:rowOff>133349</xdr:rowOff>
    </xdr:from>
    <xdr:to>
      <xdr:col>2</xdr:col>
      <xdr:colOff>0</xdr:colOff>
      <xdr:row>38</xdr:row>
      <xdr:rowOff>201299</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bwMode="auto">
        <a:xfrm>
          <a:off x="209549" y="8353424"/>
          <a:ext cx="809626" cy="4870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36000" rIns="0" bIns="0" rtlCol="0" anchor="ctr" upright="1"/>
        <a:lstStyle/>
        <a:p>
          <a:pPr algn="ctr">
            <a:lnSpc>
              <a:spcPts val="1200"/>
            </a:lnSpc>
          </a:pPr>
          <a:r>
            <a:rPr kumimoji="1" lang="ja-JP" altLang="en-US" sz="1000">
              <a:latin typeface="メイリオ" panose="020B0604030504040204" pitchFamily="50" charset="-128"/>
              <a:ea typeface="メイリオ" panose="020B0604030504040204" pitchFamily="50" charset="-128"/>
            </a:rPr>
            <a:t>財 政 構 造</a:t>
          </a:r>
          <a:endParaRPr kumimoji="1" lang="en-US" altLang="ja-JP" sz="1000">
            <a:latin typeface="メイリオ" panose="020B0604030504040204" pitchFamily="50" charset="-128"/>
            <a:ea typeface="メイリオ" panose="020B0604030504040204" pitchFamily="50" charset="-128"/>
          </a:endParaRPr>
        </a:p>
        <a:p>
          <a:pPr algn="ctr">
            <a:lnSpc>
              <a:spcPts val="1200"/>
            </a:lnSpc>
          </a:pPr>
          <a:r>
            <a:rPr kumimoji="1" lang="ja-JP" altLang="en-US" sz="1000">
              <a:latin typeface="メイリオ" panose="020B0604030504040204" pitchFamily="50" charset="-128"/>
              <a:ea typeface="メイリオ" panose="020B0604030504040204" pitchFamily="50" charset="-128"/>
            </a:rPr>
            <a:t>の 弾 力 性</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6357937" cy="8983266"/>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0.9024</cdr:x>
      <cdr:y>0.18337</cdr:y>
    </cdr:from>
    <cdr:to>
      <cdr:x>0.98373</cdr:x>
      <cdr:y>0.20891</cdr:y>
    </cdr:to>
    <cdr:sp macro="" textlink="">
      <cdr:nvSpPr>
        <cdr:cNvPr id="21509" name="Text Box 5"/>
        <cdr:cNvSpPr txBox="1">
          <a:spLocks xmlns:a="http://schemas.openxmlformats.org/drawingml/2006/main" noChangeArrowheads="1"/>
        </cdr:cNvSpPr>
      </cdr:nvSpPr>
      <cdr:spPr bwMode="auto">
        <a:xfrm xmlns:a="http://schemas.openxmlformats.org/drawingml/2006/main">
          <a:off x="5724525" y="1647051"/>
          <a:ext cx="515888" cy="2293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310.7</a:t>
          </a:r>
        </a:p>
      </cdr:txBody>
    </cdr:sp>
  </cdr:relSizeAnchor>
  <cdr:relSizeAnchor xmlns:cdr="http://schemas.openxmlformats.org/drawingml/2006/chartDrawing">
    <cdr:from>
      <cdr:x>0.90523</cdr:x>
      <cdr:y>0.60712</cdr:y>
    </cdr:from>
    <cdr:to>
      <cdr:x>0.97857</cdr:x>
      <cdr:y>0.63586</cdr:y>
    </cdr:to>
    <cdr:sp macro="" textlink="">
      <cdr:nvSpPr>
        <cdr:cNvPr id="21511" name="Text Box 7"/>
        <cdr:cNvSpPr txBox="1">
          <a:spLocks xmlns:a="http://schemas.openxmlformats.org/drawingml/2006/main" noChangeArrowheads="1"/>
        </cdr:cNvSpPr>
      </cdr:nvSpPr>
      <cdr:spPr bwMode="auto">
        <a:xfrm xmlns:a="http://schemas.openxmlformats.org/drawingml/2006/main">
          <a:off x="5755385" y="5453950"/>
          <a:ext cx="466292" cy="25818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140.6</a:t>
          </a:r>
        </a:p>
      </cdr:txBody>
    </cdr:sp>
  </cdr:relSizeAnchor>
  <cdr:relSizeAnchor xmlns:cdr="http://schemas.openxmlformats.org/drawingml/2006/chartDrawing">
    <cdr:from>
      <cdr:x>0.91587</cdr:x>
      <cdr:y>0.68996</cdr:y>
    </cdr:from>
    <cdr:to>
      <cdr:x>0.98237</cdr:x>
      <cdr:y>0.71157</cdr:y>
    </cdr:to>
    <cdr:sp macro="" textlink="">
      <cdr:nvSpPr>
        <cdr:cNvPr id="21512" name="Text Box 8"/>
        <cdr:cNvSpPr txBox="1">
          <a:spLocks xmlns:a="http://schemas.openxmlformats.org/drawingml/2006/main" noChangeArrowheads="1"/>
        </cdr:cNvSpPr>
      </cdr:nvSpPr>
      <cdr:spPr bwMode="auto">
        <a:xfrm xmlns:a="http://schemas.openxmlformats.org/drawingml/2006/main">
          <a:off x="5823068" y="6198052"/>
          <a:ext cx="422803" cy="1941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96.4</a:t>
          </a:r>
        </a:p>
      </cdr:txBody>
    </cdr:sp>
  </cdr:relSizeAnchor>
  <cdr:relSizeAnchor xmlns:cdr="http://schemas.openxmlformats.org/drawingml/2006/chartDrawing">
    <cdr:from>
      <cdr:x>0.89259</cdr:x>
      <cdr:y>0.75332</cdr:y>
    </cdr:from>
    <cdr:to>
      <cdr:x>0.95783</cdr:x>
      <cdr:y>0.78009</cdr:y>
    </cdr:to>
    <cdr:sp macro="" textlink="">
      <cdr:nvSpPr>
        <cdr:cNvPr id="21513" name="Text Box 9"/>
        <cdr:cNvSpPr txBox="1">
          <a:spLocks xmlns:a="http://schemas.openxmlformats.org/drawingml/2006/main" noChangeArrowheads="1"/>
        </cdr:cNvSpPr>
      </cdr:nvSpPr>
      <cdr:spPr bwMode="auto">
        <a:xfrm xmlns:a="http://schemas.openxmlformats.org/drawingml/2006/main">
          <a:off x="5675015" y="6767261"/>
          <a:ext cx="414792" cy="2404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92.1</a:t>
          </a:r>
        </a:p>
      </cdr:txBody>
    </cdr:sp>
  </cdr:relSizeAnchor>
  <cdr:relSizeAnchor xmlns:cdr="http://schemas.openxmlformats.org/drawingml/2006/chartDrawing">
    <cdr:from>
      <cdr:x>0.91903</cdr:x>
      <cdr:y>0.87911</cdr:y>
    </cdr:from>
    <cdr:to>
      <cdr:x>0.98003</cdr:x>
      <cdr:y>0.90122</cdr:y>
    </cdr:to>
    <cdr:sp macro="" textlink="">
      <cdr:nvSpPr>
        <cdr:cNvPr id="21515" name="Text Box 11"/>
        <cdr:cNvSpPr txBox="1">
          <a:spLocks xmlns:a="http://schemas.openxmlformats.org/drawingml/2006/main" noChangeArrowheads="1"/>
        </cdr:cNvSpPr>
      </cdr:nvSpPr>
      <cdr:spPr bwMode="auto">
        <a:xfrm xmlns:a="http://schemas.openxmlformats.org/drawingml/2006/main">
          <a:off x="5843158" y="7897271"/>
          <a:ext cx="387834" cy="19862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43.5</a:t>
          </a:r>
        </a:p>
      </cdr:txBody>
    </cdr:sp>
  </cdr:relSizeAnchor>
  <cdr:relSizeAnchor xmlns:cdr="http://schemas.openxmlformats.org/drawingml/2006/chartDrawing">
    <cdr:from>
      <cdr:x>0.90156</cdr:x>
      <cdr:y>0.16559</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5719181" y="1487342"/>
          <a:ext cx="593131" cy="213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0.90809</cdr:x>
      <cdr:y>0.59081</cdr:y>
    </cdr:from>
    <cdr:to>
      <cdr:x>1</cdr:x>
      <cdr:y>0.61373</cdr:y>
    </cdr:to>
    <cdr:sp macro="" textlink="">
      <cdr:nvSpPr>
        <cdr:cNvPr id="21518" name="Text Box 14"/>
        <cdr:cNvSpPr txBox="1">
          <a:spLocks xmlns:a="http://schemas.openxmlformats.org/drawingml/2006/main" noChangeArrowheads="1"/>
        </cdr:cNvSpPr>
      </cdr:nvSpPr>
      <cdr:spPr bwMode="auto">
        <a:xfrm xmlns:a="http://schemas.openxmlformats.org/drawingml/2006/main">
          <a:off x="5773579" y="5307399"/>
          <a:ext cx="584358" cy="2058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0.81383</cdr:x>
      <cdr:y>0.67059</cdr:y>
    </cdr:from>
    <cdr:to>
      <cdr:x>0.9835</cdr:x>
      <cdr:y>0.69922</cdr:y>
    </cdr:to>
    <cdr:sp macro="" textlink="">
      <cdr:nvSpPr>
        <cdr:cNvPr id="21519" name="Text Box 15"/>
        <cdr:cNvSpPr txBox="1">
          <a:spLocks xmlns:a="http://schemas.openxmlformats.org/drawingml/2006/main" noChangeArrowheads="1"/>
        </cdr:cNvSpPr>
      </cdr:nvSpPr>
      <cdr:spPr bwMode="auto">
        <a:xfrm xmlns:a="http://schemas.openxmlformats.org/drawingml/2006/main">
          <a:off x="5174260" y="6024112"/>
          <a:ext cx="1078752" cy="25719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0.8718</cdr:x>
      <cdr:y>0.73234</cdr:y>
    </cdr:from>
    <cdr:to>
      <cdr:x>0.96255</cdr:x>
      <cdr:y>0.76219</cdr:y>
    </cdr:to>
    <cdr:sp macro="" textlink="">
      <cdr:nvSpPr>
        <cdr:cNvPr id="21520" name="Text Box 16"/>
        <cdr:cNvSpPr txBox="1">
          <a:spLocks xmlns:a="http://schemas.openxmlformats.org/drawingml/2006/main" noChangeArrowheads="1"/>
        </cdr:cNvSpPr>
      </cdr:nvSpPr>
      <cdr:spPr bwMode="auto">
        <a:xfrm xmlns:a="http://schemas.openxmlformats.org/drawingml/2006/main">
          <a:off x="5542828" y="6578815"/>
          <a:ext cx="576983" cy="26815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0.86576</cdr:x>
      <cdr:y>0.86144</cdr:y>
    </cdr:from>
    <cdr:to>
      <cdr:x>0.99251</cdr:x>
      <cdr:y>0.88194</cdr:y>
    </cdr:to>
    <cdr:sp macro="" textlink="">
      <cdr:nvSpPr>
        <cdr:cNvPr id="21523" name="Text Box 19"/>
        <cdr:cNvSpPr txBox="1">
          <a:spLocks xmlns:a="http://schemas.openxmlformats.org/drawingml/2006/main" noChangeArrowheads="1"/>
        </cdr:cNvSpPr>
      </cdr:nvSpPr>
      <cdr:spPr bwMode="auto">
        <a:xfrm xmlns:a="http://schemas.openxmlformats.org/drawingml/2006/main">
          <a:off x="5504443" y="7738575"/>
          <a:ext cx="805869" cy="1841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dr:relSizeAnchor xmlns:cdr="http://schemas.openxmlformats.org/drawingml/2006/chartDrawing">
    <cdr:from>
      <cdr:x>0.02244</cdr:x>
      <cdr:y>0.92512</cdr:y>
    </cdr:from>
    <cdr:to>
      <cdr:x>0.67319</cdr:x>
      <cdr:y>0.99205</cdr:y>
    </cdr:to>
    <cdr:sp macro="" textlink="">
      <cdr:nvSpPr>
        <cdr:cNvPr id="2" name="テキスト ボックス 1"/>
        <cdr:cNvSpPr txBox="1"/>
      </cdr:nvSpPr>
      <cdr:spPr bwMode="auto">
        <a:xfrm xmlns:a="http://schemas.openxmlformats.org/drawingml/2006/main">
          <a:off x="142408" y="8310562"/>
          <a:ext cx="4129674" cy="6012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rtlCol="0" anchor="b" upright="1"/>
        <a:lstStyle xmlns:a="http://schemas.openxmlformats.org/drawingml/2006/main"/>
        <a:p xmlns:a="http://schemas.openxmlformats.org/drawingml/2006/main">
          <a:pPr algn="ctr" rtl="0"/>
          <a:r>
            <a:rPr lang="en-US" altLang="ja-JP" sz="6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600" b="0" i="0" u="none" strike="noStrike" baseline="0">
              <a:solidFill>
                <a:srgbClr val="000000"/>
              </a:solidFill>
              <a:latin typeface="ＭＳ 明朝" panose="02020609040205080304" pitchFamily="17" charset="-128"/>
              <a:ea typeface="ＭＳ 明朝" panose="02020609040205080304" pitchFamily="17" charset="-128"/>
            </a:rPr>
            <a:t>人件費（平成</a:t>
          </a:r>
          <a:r>
            <a:rPr lang="en-US" altLang="ja-JP" sz="600" b="0" i="0" u="none" strike="noStrike" baseline="0">
              <a:solidFill>
                <a:srgbClr val="000000"/>
              </a:solidFill>
              <a:latin typeface="ＭＳ 明朝" panose="02020609040205080304" pitchFamily="17" charset="-128"/>
              <a:ea typeface="ＭＳ 明朝" panose="02020609040205080304" pitchFamily="17" charset="-128"/>
            </a:rPr>
            <a:t>29</a:t>
          </a:r>
          <a:r>
            <a:rPr lang="ja-JP" altLang="en-US" sz="600" b="0" i="0" u="none" strike="noStrike" baseline="0">
              <a:solidFill>
                <a:srgbClr val="000000"/>
              </a:solidFill>
              <a:latin typeface="ＭＳ 明朝" panose="02020609040205080304" pitchFamily="17" charset="-128"/>
              <a:ea typeface="ＭＳ 明朝" panose="02020609040205080304" pitchFamily="17" charset="-128"/>
            </a:rPr>
            <a:t>年度）は府費負担教職員制度の見直しに伴い増加している。</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xdr:cNvSpPr>
      </xdr:nvSpPr>
      <xdr:spPr bwMode="auto">
        <a:xfrm>
          <a:off x="1495425" y="2228850"/>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152399</xdr:colOff>
      <xdr:row>18</xdr:row>
      <xdr:rowOff>161927</xdr:rowOff>
    </xdr:from>
    <xdr:to>
      <xdr:col>7</xdr:col>
      <xdr:colOff>485774</xdr:colOff>
      <xdr:row>21</xdr:row>
      <xdr:rowOff>85725</xdr:rowOff>
    </xdr:to>
    <xdr:sp macro="" textlink="">
      <xdr:nvSpPr>
        <xdr:cNvPr id="3" name="AutoShape 2">
          <a:extLst>
            <a:ext uri="{FF2B5EF4-FFF2-40B4-BE49-F238E27FC236}">
              <a16:creationId xmlns:a16="http://schemas.microsoft.com/office/drawing/2014/main" id="{00000000-0008-0000-0F00-000003000000}"/>
            </a:ext>
          </a:extLst>
        </xdr:cNvPr>
        <xdr:cNvSpPr>
          <a:spLocks noChangeArrowheads="1"/>
        </xdr:cNvSpPr>
      </xdr:nvSpPr>
      <xdr:spPr bwMode="auto">
        <a:xfrm>
          <a:off x="2447924" y="4162427"/>
          <a:ext cx="2447925" cy="666748"/>
        </a:xfrm>
        <a:prstGeom prst="bracketPair">
          <a:avLst>
            <a:gd name="adj" fmla="val 16667"/>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19050</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flipH="1">
          <a:off x="285750" y="742950"/>
          <a:ext cx="657225" cy="571500"/>
        </a:xfrm>
        <a:prstGeom prst="line">
          <a:avLst/>
        </a:prstGeom>
        <a:noFill/>
        <a:ln w="9525">
          <a:solidFill>
            <a:srgbClr val="000000"/>
          </a:solidFill>
          <a:round/>
          <a:headEnd/>
          <a:tailEnd/>
        </a:ln>
      </xdr:spPr>
    </xdr:sp>
    <xdr:clientData/>
  </xdr:twoCellAnchor>
  <xdr:twoCellAnchor>
    <xdr:from>
      <xdr:col>10</xdr:col>
      <xdr:colOff>57150</xdr:colOff>
      <xdr:row>2</xdr:row>
      <xdr:rowOff>133350</xdr:rowOff>
    </xdr:from>
    <xdr:to>
      <xdr:col>17</xdr:col>
      <xdr:colOff>504825</xdr:colOff>
      <xdr:row>4</xdr:row>
      <xdr:rowOff>266700</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6562725" y="685800"/>
          <a:ext cx="5048250" cy="590550"/>
        </a:xfrm>
        <a:prstGeom prst="rect">
          <a:avLst/>
        </a:prstGeom>
        <a:solidFill>
          <a:srgbClr val="00FFFF"/>
        </a:solidFill>
        <a:ln w="9525">
          <a:solidFill>
            <a:srgbClr val="000000"/>
          </a:solidFill>
          <a:miter lim="800000"/>
          <a:headEnd/>
          <a:tailEnd/>
        </a:ln>
      </xdr:spPr>
      <xdr:txBody>
        <a:bodyPr vertOverflow="clip" wrap="square" lIns="36576" tIns="18288" rIns="0" bIns="0" anchor="ctr" upright="1"/>
        <a:lstStyle/>
        <a:p>
          <a:pPr algn="l" rtl="0">
            <a:defRPr sz="1000"/>
          </a:pPr>
          <a:r>
            <a:rPr lang="en-US" altLang="ja-JP" sz="1050" b="1" i="0" u="none" strike="noStrike" baseline="0">
              <a:solidFill>
                <a:srgbClr val="000000"/>
              </a:solidFill>
              <a:latin typeface="明朝体"/>
            </a:rPr>
            <a:t>②KS</a:t>
          </a:r>
          <a:r>
            <a:rPr lang="ja-JP" altLang="en-US" sz="1050" b="1" i="0" u="none" strike="noStrike" baseline="0">
              <a:solidFill>
                <a:srgbClr val="000000"/>
              </a:solidFill>
              <a:latin typeface="明朝体"/>
            </a:rPr>
            <a:t>月報の現年総計を入力する。</a:t>
          </a:r>
        </a:p>
        <a:p>
          <a:pPr algn="l" rtl="0">
            <a:defRPr sz="1000"/>
          </a:pPr>
          <a:r>
            <a:rPr lang="ja-JP" altLang="en-US" sz="1050" b="1" i="0" u="none" strike="noStrike" baseline="0">
              <a:solidFill>
                <a:srgbClr val="000000"/>
              </a:solidFill>
              <a:latin typeface="明朝体"/>
            </a:rPr>
            <a:t>単位が異なるため、変更が必要。</a:t>
          </a:r>
        </a:p>
      </xdr:txBody>
    </xdr:sp>
    <xdr:clientData/>
  </xdr:twoCellAnchor>
  <xdr:twoCellAnchor>
    <xdr:from>
      <xdr:col>10</xdr:col>
      <xdr:colOff>57150</xdr:colOff>
      <xdr:row>0</xdr:row>
      <xdr:rowOff>19050</xdr:rowOff>
    </xdr:from>
    <xdr:to>
      <xdr:col>17</xdr:col>
      <xdr:colOff>504825</xdr:colOff>
      <xdr:row>2</xdr:row>
      <xdr:rowOff>104775</xdr:rowOff>
    </xdr:to>
    <xdr:sp macro="" textlink="">
      <xdr:nvSpPr>
        <xdr:cNvPr id="4" name="Rectangle 2">
          <a:extLst>
            <a:ext uri="{FF2B5EF4-FFF2-40B4-BE49-F238E27FC236}">
              <a16:creationId xmlns:a16="http://schemas.microsoft.com/office/drawing/2014/main" id="{00000000-0008-0000-1000-000004000000}"/>
            </a:ext>
          </a:extLst>
        </xdr:cNvPr>
        <xdr:cNvSpPr>
          <a:spLocks noChangeArrowheads="1"/>
        </xdr:cNvSpPr>
      </xdr:nvSpPr>
      <xdr:spPr bwMode="auto">
        <a:xfrm>
          <a:off x="6562725" y="19050"/>
          <a:ext cx="5048250" cy="638175"/>
        </a:xfrm>
        <a:prstGeom prst="rect">
          <a:avLst/>
        </a:prstGeom>
        <a:solidFill>
          <a:srgbClr val="FFFF00"/>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1" i="0" u="none" strike="noStrike" baseline="0">
              <a:solidFill>
                <a:srgbClr val="000000"/>
              </a:solidFill>
              <a:latin typeface="明朝体"/>
            </a:rPr>
            <a:t>統計システム収納管理</a:t>
          </a:r>
          <a:r>
            <a:rPr lang="en-US" altLang="ja-JP" sz="1050" b="1" i="0" u="none" strike="noStrike" baseline="0">
              <a:solidFill>
                <a:srgbClr val="000000"/>
              </a:solidFill>
              <a:latin typeface="明朝体"/>
            </a:rPr>
            <a:t>-</a:t>
          </a:r>
          <a:r>
            <a:rPr lang="ja-JP" altLang="en-US" sz="1050" b="1" i="0" u="none" strike="noStrike" baseline="0">
              <a:solidFill>
                <a:srgbClr val="000000"/>
              </a:solidFill>
              <a:latin typeface="明朝体"/>
            </a:rPr>
            <a:t>「滞納繰越賦課年度別」で最新年度</a:t>
          </a:r>
          <a:r>
            <a:rPr lang="en-US" altLang="ja-JP" sz="1050" b="1" i="0" u="none" strike="noStrike" baseline="0">
              <a:solidFill>
                <a:srgbClr val="000000"/>
              </a:solidFill>
              <a:latin typeface="明朝体"/>
            </a:rPr>
            <a:t>-</a:t>
          </a:r>
          <a:r>
            <a:rPr lang="ja-JP" altLang="en-US" sz="1050" b="1" i="0" u="none" strike="noStrike" baseline="0">
              <a:solidFill>
                <a:srgbClr val="000000"/>
              </a:solidFill>
              <a:latin typeface="明朝体"/>
            </a:rPr>
            <a:t>検索条件「全市計」</a:t>
          </a:r>
          <a:endParaRPr lang="en-US" altLang="ja-JP" sz="1050" b="1" i="0" u="none" strike="noStrike" baseline="0">
            <a:solidFill>
              <a:srgbClr val="000000"/>
            </a:solidFill>
            <a:latin typeface="明朝体"/>
          </a:endParaRPr>
        </a:p>
        <a:p>
          <a:pPr algn="l" rtl="0">
            <a:defRPr sz="1000"/>
          </a:pPr>
          <a:r>
            <a:rPr lang="ja-JP" altLang="en-US" sz="1050" b="1" i="0" u="none" strike="noStrike" baseline="0">
              <a:solidFill>
                <a:srgbClr val="000000"/>
              </a:solidFill>
              <a:latin typeface="明朝体"/>
            </a:rPr>
            <a:t>①黄色の所の収入だけをとってくる。</a:t>
          </a:r>
        </a:p>
        <a:p>
          <a:pPr algn="l" rtl="0">
            <a:defRPr sz="1000"/>
          </a:pPr>
          <a:r>
            <a:rPr lang="ja-JP" altLang="en-US" sz="1050" b="1" i="0" u="none" strike="noStrike" baseline="0">
              <a:solidFill>
                <a:srgbClr val="000000"/>
              </a:solidFill>
              <a:latin typeface="明朝体"/>
            </a:rPr>
            <a:t>　単位が異なるため、変更が必要。</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6739973" cy="10001250"/>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0.83787</cdr:x>
      <cdr:y>0.17668</cdr:y>
    </cdr:from>
    <cdr:to>
      <cdr:x>0.87595</cdr:x>
      <cdr:y>0.17669</cdr:y>
    </cdr:to>
    <cdr:sp macro="" textlink="">
      <cdr:nvSpPr>
        <cdr:cNvPr id="93186" name="Line 2"/>
        <cdr:cNvSpPr>
          <a:spLocks xmlns:a="http://schemas.openxmlformats.org/drawingml/2006/main" noChangeShapeType="1"/>
        </cdr:cNvSpPr>
      </cdr:nvSpPr>
      <cdr:spPr bwMode="auto">
        <a:xfrm xmlns:a="http://schemas.openxmlformats.org/drawingml/2006/main" flipH="1" flipV="1">
          <a:off x="5641735" y="1765766"/>
          <a:ext cx="256437" cy="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0.8346</cdr:x>
      <cdr:y>0.37023</cdr:y>
    </cdr:from>
    <cdr:to>
      <cdr:x>0.87704</cdr:x>
      <cdr:y>0.37097</cdr:y>
    </cdr:to>
    <cdr:sp macro="" textlink="">
      <cdr:nvSpPr>
        <cdr:cNvPr id="93199" name="Line 15"/>
        <cdr:cNvSpPr>
          <a:spLocks xmlns:a="http://schemas.openxmlformats.org/drawingml/2006/main" noChangeShapeType="1"/>
        </cdr:cNvSpPr>
      </cdr:nvSpPr>
      <cdr:spPr bwMode="auto">
        <a:xfrm xmlns:a="http://schemas.openxmlformats.org/drawingml/2006/main" flipH="1">
          <a:off x="5619750" y="3700096"/>
          <a:ext cx="285750" cy="73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0.49879</cdr:x>
      <cdr:y>0.50853</cdr:y>
    </cdr:from>
    <cdr:to>
      <cdr:x>0.53813</cdr:x>
      <cdr:y>0.52299</cdr:y>
    </cdr:to>
    <cdr:sp macro="" textlink="">
      <cdr:nvSpPr>
        <cdr:cNvPr id="114" name="Line 23"/>
        <cdr:cNvSpPr>
          <a:spLocks xmlns:a="http://schemas.openxmlformats.org/drawingml/2006/main" noChangeShapeType="1"/>
        </cdr:cNvSpPr>
      </cdr:nvSpPr>
      <cdr:spPr bwMode="auto">
        <a:xfrm xmlns:a="http://schemas.openxmlformats.org/drawingml/2006/main">
          <a:off x="3358758" y="5083868"/>
          <a:ext cx="264883" cy="1445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0.27435</cdr:x>
      <cdr:y>0.50694</cdr:y>
    </cdr:from>
    <cdr:to>
      <cdr:x>0.31519</cdr:x>
      <cdr:y>0.53668</cdr:y>
    </cdr:to>
    <cdr:sp macro="" textlink="">
      <cdr:nvSpPr>
        <cdr:cNvPr id="123" name="Line 8"/>
        <cdr:cNvSpPr>
          <a:spLocks xmlns:a="http://schemas.openxmlformats.org/drawingml/2006/main" noChangeShapeType="1"/>
        </cdr:cNvSpPr>
      </cdr:nvSpPr>
      <cdr:spPr bwMode="auto">
        <a:xfrm xmlns:a="http://schemas.openxmlformats.org/drawingml/2006/main" flipH="1">
          <a:off x="1847432" y="5067922"/>
          <a:ext cx="274986" cy="2973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0.62975</cdr:x>
      <cdr:y>0.50855</cdr:y>
    </cdr:from>
    <cdr:to>
      <cdr:x>0.66344</cdr:x>
      <cdr:y>0.52869</cdr:y>
    </cdr:to>
    <cdr:sp macro="" textlink="">
      <cdr:nvSpPr>
        <cdr:cNvPr id="126" name="Line 21"/>
        <cdr:cNvSpPr>
          <a:spLocks xmlns:a="http://schemas.openxmlformats.org/drawingml/2006/main" noChangeShapeType="1"/>
        </cdr:cNvSpPr>
      </cdr:nvSpPr>
      <cdr:spPr bwMode="auto">
        <a:xfrm xmlns:a="http://schemas.openxmlformats.org/drawingml/2006/main">
          <a:off x="4240586" y="5084030"/>
          <a:ext cx="226846" cy="201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0.36349</cdr:x>
      <cdr:y>0.51384</cdr:y>
    </cdr:from>
    <cdr:to>
      <cdr:x>0.40821</cdr:x>
      <cdr:y>0.53076</cdr:y>
    </cdr:to>
    <cdr:sp macro="" textlink="">
      <cdr:nvSpPr>
        <cdr:cNvPr id="127" name="Line 23"/>
        <cdr:cNvSpPr>
          <a:spLocks xmlns:a="http://schemas.openxmlformats.org/drawingml/2006/main" noChangeShapeType="1"/>
        </cdr:cNvSpPr>
      </cdr:nvSpPr>
      <cdr:spPr bwMode="auto">
        <a:xfrm xmlns:a="http://schemas.openxmlformats.org/drawingml/2006/main">
          <a:off x="2447637" y="5136879"/>
          <a:ext cx="301154" cy="16916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0.83449</cdr:x>
      <cdr:y>0.47256</cdr:y>
    </cdr:from>
    <cdr:to>
      <cdr:x>0.87454</cdr:x>
      <cdr:y>0.50984</cdr:y>
    </cdr:to>
    <cdr:sp macro="" textlink="">
      <cdr:nvSpPr>
        <cdr:cNvPr id="178" name="Line 5"/>
        <cdr:cNvSpPr>
          <a:spLocks xmlns:a="http://schemas.openxmlformats.org/drawingml/2006/main" noChangeShapeType="1"/>
        </cdr:cNvSpPr>
      </cdr:nvSpPr>
      <cdr:spPr bwMode="auto">
        <a:xfrm xmlns:a="http://schemas.openxmlformats.org/drawingml/2006/main" flipH="1">
          <a:off x="5611466" y="4721298"/>
          <a:ext cx="269327" cy="37250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0.83395</cdr:x>
      <cdr:y>0.55095</cdr:y>
    </cdr:from>
    <cdr:to>
      <cdr:x>0.87577</cdr:x>
      <cdr:y>0.56421</cdr:y>
    </cdr:to>
    <cdr:sp macro="" textlink="">
      <cdr:nvSpPr>
        <cdr:cNvPr id="179" name="Line 6"/>
        <cdr:cNvSpPr>
          <a:spLocks xmlns:a="http://schemas.openxmlformats.org/drawingml/2006/main" noChangeShapeType="1"/>
        </cdr:cNvSpPr>
      </cdr:nvSpPr>
      <cdr:spPr bwMode="auto">
        <a:xfrm xmlns:a="http://schemas.openxmlformats.org/drawingml/2006/main" flipH="1" flipV="1">
          <a:off x="5615607" y="5507935"/>
          <a:ext cx="281609" cy="1325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0.83716</cdr:x>
      <cdr:y>0.66178</cdr:y>
    </cdr:from>
    <cdr:to>
      <cdr:x>0.87536</cdr:x>
      <cdr:y>0.66184</cdr:y>
    </cdr:to>
    <cdr:sp macro="" textlink="">
      <cdr:nvSpPr>
        <cdr:cNvPr id="180" name="Line 7"/>
        <cdr:cNvSpPr>
          <a:spLocks xmlns:a="http://schemas.openxmlformats.org/drawingml/2006/main" noChangeShapeType="1"/>
        </cdr:cNvSpPr>
      </cdr:nvSpPr>
      <cdr:spPr bwMode="auto">
        <a:xfrm xmlns:a="http://schemas.openxmlformats.org/drawingml/2006/main" flipH="1">
          <a:off x="5636956" y="6613813"/>
          <a:ext cx="257217" cy="6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0.83764</cdr:x>
      <cdr:y>0.27273</cdr:y>
    </cdr:from>
    <cdr:to>
      <cdr:x>0.87813</cdr:x>
      <cdr:y>0.27341</cdr:y>
    </cdr:to>
    <cdr:sp macro="" textlink="">
      <cdr:nvSpPr>
        <cdr:cNvPr id="182" name="Line 15"/>
        <cdr:cNvSpPr>
          <a:spLocks xmlns:a="http://schemas.openxmlformats.org/drawingml/2006/main" noChangeShapeType="1"/>
        </cdr:cNvSpPr>
      </cdr:nvSpPr>
      <cdr:spPr bwMode="auto">
        <a:xfrm xmlns:a="http://schemas.openxmlformats.org/drawingml/2006/main" flipH="1">
          <a:off x="5640457" y="2726511"/>
          <a:ext cx="272661" cy="67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0.48851</cdr:x>
      <cdr:y>0.1833</cdr:y>
    </cdr:from>
    <cdr:to>
      <cdr:x>0.59276</cdr:x>
      <cdr:y>0.22711</cdr:y>
    </cdr:to>
    <cdr:sp macro="" textlink="">
      <cdr:nvSpPr>
        <cdr:cNvPr id="93311" name="Text Box 14"/>
        <cdr:cNvSpPr txBox="1">
          <a:spLocks xmlns:a="http://schemas.openxmlformats.org/drawingml/2006/main" noChangeArrowheads="1"/>
        </cdr:cNvSpPr>
      </cdr:nvSpPr>
      <cdr:spPr bwMode="auto">
        <a:xfrm xmlns:a="http://schemas.openxmlformats.org/drawingml/2006/main">
          <a:off x="3289510" y="1832460"/>
          <a:ext cx="701995" cy="4379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17,642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0.61519</cdr:x>
      <cdr:y>0.09355</cdr:y>
    </cdr:from>
    <cdr:to>
      <cdr:x>0.72144</cdr:x>
      <cdr:y>0.13824</cdr:y>
    </cdr:to>
    <cdr:sp macro="" textlink="">
      <cdr:nvSpPr>
        <cdr:cNvPr id="93323" name="Text Box 19"/>
        <cdr:cNvSpPr txBox="1">
          <a:spLocks xmlns:a="http://schemas.openxmlformats.org/drawingml/2006/main" noChangeArrowheads="1"/>
        </cdr:cNvSpPr>
      </cdr:nvSpPr>
      <cdr:spPr bwMode="auto">
        <a:xfrm xmlns:a="http://schemas.openxmlformats.org/drawingml/2006/main">
          <a:off x="4142542" y="935279"/>
          <a:ext cx="715462" cy="4467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20,427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0.10103</cdr:x>
      <cdr:y>0.15528</cdr:y>
    </cdr:from>
    <cdr:to>
      <cdr:x>0.19853</cdr:x>
      <cdr:y>0.19528</cdr:y>
    </cdr:to>
    <cdr:sp macro="" textlink="">
      <cdr:nvSpPr>
        <cdr:cNvPr id="93328" name="Text Box 10"/>
        <cdr:cNvSpPr txBox="1">
          <a:spLocks xmlns:a="http://schemas.openxmlformats.org/drawingml/2006/main" noChangeArrowheads="1"/>
        </cdr:cNvSpPr>
      </cdr:nvSpPr>
      <cdr:spPr bwMode="auto">
        <a:xfrm xmlns:a="http://schemas.openxmlformats.org/drawingml/2006/main">
          <a:off x="680251" y="1551850"/>
          <a:ext cx="656511" cy="3997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0.74283</cdr:x>
      <cdr:y>0.10016</cdr:y>
    </cdr:from>
    <cdr:to>
      <cdr:x>0.84908</cdr:x>
      <cdr:y>0.14716</cdr:y>
    </cdr:to>
    <cdr:sp macro="" textlink="">
      <cdr:nvSpPr>
        <cdr:cNvPr id="93334" name="Text Box 19"/>
        <cdr:cNvSpPr txBox="1">
          <a:spLocks xmlns:a="http://schemas.openxmlformats.org/drawingml/2006/main" noChangeArrowheads="1"/>
        </cdr:cNvSpPr>
      </cdr:nvSpPr>
      <cdr:spPr bwMode="auto">
        <a:xfrm xmlns:a="http://schemas.openxmlformats.org/drawingml/2006/main">
          <a:off x="5002040" y="1001345"/>
          <a:ext cx="715462" cy="4698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20,037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0.23147</cdr:x>
      <cdr:y>0.19109</cdr:y>
    </cdr:from>
    <cdr:to>
      <cdr:x>0.33347</cdr:x>
      <cdr:y>0.23237</cdr:y>
    </cdr:to>
    <cdr:sp macro="" textlink="">
      <cdr:nvSpPr>
        <cdr:cNvPr id="93341" name="Text Box 13"/>
        <cdr:cNvSpPr txBox="1">
          <a:spLocks xmlns:a="http://schemas.openxmlformats.org/drawingml/2006/main" noChangeArrowheads="1"/>
        </cdr:cNvSpPr>
      </cdr:nvSpPr>
      <cdr:spPr bwMode="auto">
        <a:xfrm xmlns:a="http://schemas.openxmlformats.org/drawingml/2006/main">
          <a:off x="1558664" y="1910327"/>
          <a:ext cx="686844" cy="4126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17,428</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100.0</a:t>
          </a:r>
          <a:r>
            <a:rPr lang="ja-JP" altLang="en-US" sz="10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a:extLst xmlns:a="http://schemas.openxmlformats.org/drawingml/2006/main">
            <a:ext uri="{FF2B5EF4-FFF2-40B4-BE49-F238E27FC236}">
              <a16:creationId xmlns:a16="http://schemas.microsoft.com/office/drawing/2014/main" id="{066D7C14-B62D-47DE-A3AA-BA32BA20A0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0.10181</cdr:x>
      <cdr:y>0.83445</cdr:y>
    </cdr:from>
    <cdr:to>
      <cdr:x>0.19306</cdr:x>
      <cdr:y>0.85645</cdr:y>
    </cdr:to>
    <cdr:sp macro="" textlink="">
      <cdr:nvSpPr>
        <cdr:cNvPr id="39" name="Text Box 7"/>
        <cdr:cNvSpPr txBox="1">
          <a:spLocks xmlns:a="http://schemas.openxmlformats.org/drawingml/2006/main" noChangeArrowheads="1"/>
        </cdr:cNvSpPr>
      </cdr:nvSpPr>
      <cdr:spPr bwMode="auto">
        <a:xfrm xmlns:a="http://schemas.openxmlformats.org/drawingml/2006/main">
          <a:off x="683905" y="8328266"/>
          <a:ext cx="612944" cy="2195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0.59902</cdr:x>
      <cdr:y>0.83255</cdr:y>
    </cdr:from>
    <cdr:to>
      <cdr:x>0.73323</cdr:x>
      <cdr:y>0.85456</cdr:y>
    </cdr:to>
    <cdr:sp macro="" textlink="">
      <cdr:nvSpPr>
        <cdr:cNvPr id="40" name="Text Box 7"/>
        <cdr:cNvSpPr txBox="1">
          <a:spLocks xmlns:a="http://schemas.openxmlformats.org/drawingml/2006/main" noChangeArrowheads="1"/>
        </cdr:cNvSpPr>
      </cdr:nvSpPr>
      <cdr:spPr bwMode="auto">
        <a:xfrm xmlns:a="http://schemas.openxmlformats.org/drawingml/2006/main">
          <a:off x="4033650" y="8323138"/>
          <a:ext cx="903738" cy="2200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歳入規模ピーク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a:extLst xmlns:a="http://schemas.openxmlformats.org/drawingml/2006/main">
            <a:ext uri="{FF2B5EF4-FFF2-40B4-BE49-F238E27FC236}">
              <a16:creationId xmlns:a16="http://schemas.microsoft.com/office/drawing/2014/main" id="{AA21C77F-DBAE-484E-9597-36B1EB0A533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a:extLst xmlns:a="http://schemas.openxmlformats.org/drawingml/2006/main">
            <a:ext uri="{FF2B5EF4-FFF2-40B4-BE49-F238E27FC236}">
              <a16:creationId xmlns:a16="http://schemas.microsoft.com/office/drawing/2014/main" id="{3E852762-E494-4590-8AA4-8B17E220C8D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a:extLst xmlns:a="http://schemas.openxmlformats.org/drawingml/2006/main">
            <a:ext uri="{FF2B5EF4-FFF2-40B4-BE49-F238E27FC236}">
              <a16:creationId xmlns:a16="http://schemas.microsoft.com/office/drawing/2014/main" id="{307165E2-A28A-4777-B0CC-F8185D76298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a:extLst xmlns:a="http://schemas.openxmlformats.org/drawingml/2006/main">
            <a:ext uri="{FF2B5EF4-FFF2-40B4-BE49-F238E27FC236}">
              <a16:creationId xmlns:a16="http://schemas.microsoft.com/office/drawing/2014/main" id="{8F8F536D-7F92-4CD4-B18B-3ED33D57890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a:extLst xmlns:a="http://schemas.openxmlformats.org/drawingml/2006/main">
            <a:ext uri="{FF2B5EF4-FFF2-40B4-BE49-F238E27FC236}">
              <a16:creationId xmlns:a16="http://schemas.microsoft.com/office/drawing/2014/main" id="{AD414BB6-12F6-43F0-8ABA-762367D433C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a:extLst xmlns:a="http://schemas.openxmlformats.org/drawingml/2006/main">
            <a:ext uri="{FF2B5EF4-FFF2-40B4-BE49-F238E27FC236}">
              <a16:creationId xmlns:a16="http://schemas.microsoft.com/office/drawing/2014/main" id="{B8570CFD-58E9-4E7C-9116-3426BCBCE9D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a:extLst xmlns:a="http://schemas.openxmlformats.org/drawingml/2006/main">
            <a:ext uri="{FF2B5EF4-FFF2-40B4-BE49-F238E27FC236}">
              <a16:creationId xmlns:a16="http://schemas.microsoft.com/office/drawing/2014/main" id="{55906620-5636-4142-A137-AD00E66BB38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a:extLst xmlns:a="http://schemas.openxmlformats.org/drawingml/2006/main">
            <a:ext uri="{FF2B5EF4-FFF2-40B4-BE49-F238E27FC236}">
              <a16:creationId xmlns:a16="http://schemas.microsoft.com/office/drawing/2014/main" id="{5151652F-A1E9-4F0B-B0F0-9E2D6D3830C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a:extLst xmlns:a="http://schemas.openxmlformats.org/drawingml/2006/main">
            <a:ext uri="{FF2B5EF4-FFF2-40B4-BE49-F238E27FC236}">
              <a16:creationId xmlns:a16="http://schemas.microsoft.com/office/drawing/2014/main" id="{2717383F-A460-4D39-9A31-66FEA78B4A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a:extLst xmlns:a="http://schemas.openxmlformats.org/drawingml/2006/main">
            <a:ext uri="{FF2B5EF4-FFF2-40B4-BE49-F238E27FC236}">
              <a16:creationId xmlns:a16="http://schemas.microsoft.com/office/drawing/2014/main" id="{408509BA-F284-4161-B457-11F08920720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a:extLst xmlns:a="http://schemas.openxmlformats.org/drawingml/2006/main">
            <a:ext uri="{FF2B5EF4-FFF2-40B4-BE49-F238E27FC236}">
              <a16:creationId xmlns:a16="http://schemas.microsoft.com/office/drawing/2014/main" id="{E4D1A0AC-BD5C-44F0-BD33-0BAA37D549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a:extLst xmlns:a="http://schemas.openxmlformats.org/drawingml/2006/main">
            <a:ext uri="{FF2B5EF4-FFF2-40B4-BE49-F238E27FC236}">
              <a16:creationId xmlns:a16="http://schemas.microsoft.com/office/drawing/2014/main" id="{FD0C077E-4EDE-4D5A-BC1A-D7458EB9CF9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a:extLst xmlns:a="http://schemas.openxmlformats.org/drawingml/2006/main">
            <a:ext uri="{FF2B5EF4-FFF2-40B4-BE49-F238E27FC236}">
              <a16:creationId xmlns:a16="http://schemas.microsoft.com/office/drawing/2014/main" id="{27ECCF99-4372-4E06-A34B-CD24F95EB7F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a:extLst xmlns:a="http://schemas.openxmlformats.org/drawingml/2006/main">
            <a:ext uri="{FF2B5EF4-FFF2-40B4-BE49-F238E27FC236}">
              <a16:creationId xmlns:a16="http://schemas.microsoft.com/office/drawing/2014/main" id="{711C863C-3538-4F90-896D-B3519204D1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a:extLst xmlns:a="http://schemas.openxmlformats.org/drawingml/2006/main">
            <a:ext uri="{FF2B5EF4-FFF2-40B4-BE49-F238E27FC236}">
              <a16:creationId xmlns:a16="http://schemas.microsoft.com/office/drawing/2014/main" id="{241098C4-3A64-4E54-8B1D-A7A31844035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a:extLst xmlns:a="http://schemas.openxmlformats.org/drawingml/2006/main">
            <a:ext uri="{FF2B5EF4-FFF2-40B4-BE49-F238E27FC236}">
              <a16:creationId xmlns:a16="http://schemas.microsoft.com/office/drawing/2014/main" id="{3B7833D7-C97D-48DF-9B73-E01193139D5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0.11563</cdr:x>
      <cdr:y>0.52129</cdr:y>
    </cdr:from>
    <cdr:to>
      <cdr:x>0.15012</cdr:x>
      <cdr:y>0.53212</cdr:y>
    </cdr:to>
    <cdr:sp macro="" textlink="">
      <cdr:nvSpPr>
        <cdr:cNvPr id="93627" name="Line 8"/>
        <cdr:cNvSpPr>
          <a:spLocks xmlns:a="http://schemas.openxmlformats.org/drawingml/2006/main" noChangeShapeType="1"/>
        </cdr:cNvSpPr>
      </cdr:nvSpPr>
      <cdr:spPr bwMode="auto">
        <a:xfrm xmlns:a="http://schemas.openxmlformats.org/drawingml/2006/main">
          <a:off x="777547" y="5208155"/>
          <a:ext cx="231896" cy="10824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0.35512</cdr:x>
      <cdr:y>0.18678</cdr:y>
    </cdr:from>
    <cdr:to>
      <cdr:x>0.45862</cdr:x>
      <cdr:y>0.232</cdr:y>
    </cdr:to>
    <cdr:sp macro="" textlink="">
      <cdr:nvSpPr>
        <cdr:cNvPr id="93653" name="Text Box 18"/>
        <cdr:cNvSpPr txBox="1">
          <a:spLocks xmlns:a="http://schemas.openxmlformats.org/drawingml/2006/main" noChangeArrowheads="1"/>
        </cdr:cNvSpPr>
      </cdr:nvSpPr>
      <cdr:spPr bwMode="auto">
        <a:xfrm xmlns:a="http://schemas.openxmlformats.org/drawingml/2006/main">
          <a:off x="2391293" y="1867264"/>
          <a:ext cx="696944" cy="4520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17,611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a:extLst xmlns:a="http://schemas.openxmlformats.org/drawingml/2006/main">
            <a:ext uri="{FF2B5EF4-FFF2-40B4-BE49-F238E27FC236}">
              <a16:creationId xmlns:a16="http://schemas.microsoft.com/office/drawing/2014/main" id="{C58601B7-CB4C-404D-9790-54DC56FA8BC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0.06746</cdr:x>
      <cdr:y>0.86044</cdr:y>
    </cdr:from>
    <cdr:to>
      <cdr:x>0.86507</cdr:x>
      <cdr:y>0.98672</cdr:y>
    </cdr:to>
    <mc:AlternateContent xmlns:mc="http://schemas.openxmlformats.org/markup-compatibility/2006" xmlns:a14="http://schemas.microsoft.com/office/drawing/2010/main">
      <mc:Choice Requires="a14">
        <cdr:pic>
          <cdr:nvPicPr>
            <cdr:cNvPr id="160769" name="Picture 1">
              <a:extLst xmlns:a="http://schemas.openxmlformats.org/drawingml/2006/main">
                <a:ext uri="{FF2B5EF4-FFF2-40B4-BE49-F238E27FC236}">
                  <a16:creationId xmlns:a16="http://schemas.microsoft.com/office/drawing/2014/main" id="{A8325E0E-0B8D-4B4F-8B03-201C5E99CB29}"/>
                </a:ext>
              </a:extLst>
            </cdr:cNvPr>
            <cdr:cNvPicPr>
              <a:picLocks xmlns:a="http://schemas.openxmlformats.org/drawingml/2006/main" noChangeAspect="1" noChangeArrowheads="1"/>
              <a:extLst xmlns:a="http://schemas.openxmlformats.org/drawingml/2006/main">
                <a:ext uri="{84589F7E-364E-4C9E-8A38-B11213B215E9}">
                  <a14:cameraTool cellRange="'[1]頁6データ (カメラ)'!$B$9:$P$14" spid="_x0000_s435273"/>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453172" y="8587656"/>
              <a:ext cx="5357678" cy="1260366"/>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0.20362</cdr:x>
      <cdr:y>0.13787</cdr:y>
    </cdr:from>
    <cdr:to>
      <cdr:x>0.22565</cdr:x>
      <cdr:y>0.83071</cdr:y>
    </cdr:to>
    <cdr:grpSp>
      <cdr:nvGrpSpPr>
        <cdr:cNvPr id="214" name="グループ化 213">
          <a:extLst xmlns:a="http://schemas.openxmlformats.org/drawingml/2006/main">
            <a:ext uri="{FF2B5EF4-FFF2-40B4-BE49-F238E27FC236}">
              <a16:creationId xmlns:a16="http://schemas.microsoft.com/office/drawing/2014/main" id="{15DBF33D-1565-9801-50F5-6B62F996BACE}"/>
            </a:ext>
          </a:extLst>
        </cdr:cNvPr>
        <cdr:cNvGrpSpPr/>
      </cdr:nvGrpSpPr>
      <cdr:grpSpPr>
        <a:xfrm xmlns:a="http://schemas.openxmlformats.org/drawingml/2006/main">
          <a:off x="1372393" y="1378872"/>
          <a:ext cx="148482" cy="6929266"/>
          <a:chOff x="0" y="0"/>
          <a:chExt cx="38864" cy="93838"/>
        </a:xfrm>
      </cdr:grpSpPr>
      <cdr:sp macro="" textlink="">
        <cdr:nvSpPr>
          <cdr:cNvPr id="215" name="小波 214"/>
          <cdr:cNvSpPr/>
        </cdr:nvSpPr>
        <cdr:spPr>
          <a:xfrm xmlns:a="http://schemas.openxmlformats.org/drawingml/2006/main" rot="5400000">
            <a:off x="7724" y="15777"/>
            <a:ext cx="23399"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6" name="小波 215"/>
          <cdr:cNvSpPr/>
        </cdr:nvSpPr>
        <cdr:spPr>
          <a:xfrm xmlns:a="http://schemas.openxmlformats.org/drawingml/2006/main" rot="5400000">
            <a:off x="7763" y="62737"/>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7" name="小波 216"/>
          <cdr:cNvSpPr/>
        </cdr:nvSpPr>
        <cdr:spPr>
          <a:xfrm xmlns:a="http://schemas.openxmlformats.org/drawingml/2006/main" rot="5400000">
            <a:off x="7745" y="39238"/>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218" name="小波 217"/>
          <cdr:cNvSpPr/>
        </cdr:nvSpPr>
        <cdr:spPr>
          <a:xfrm xmlns:a="http://schemas.openxmlformats.org/drawingml/2006/main" rot="5400000">
            <a:off x="7745" y="-7684"/>
            <a:ext cx="23356" cy="38846"/>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cxnSp macro="">
        <cdr:nvCxnSpPr>
          <cdr:cNvPr id="219" name="直線コネクタ 218">
            <a:extLst xmlns:a="http://schemas.openxmlformats.org/drawingml/2006/main">
              <a:ext uri="{FF2B5EF4-FFF2-40B4-BE49-F238E27FC236}">
                <a16:creationId xmlns:a16="http://schemas.microsoft.com/office/drawing/2014/main" id="{F3171D64-E68D-C1C5-9AE6-2B8433F4C5D1}"/>
              </a:ext>
            </a:extLst>
          </cdr:cNvPr>
          <cdr:cNvCxnSpPr/>
        </cdr:nvCxnSpPr>
        <cdr:spPr>
          <a:xfrm xmlns:a="http://schemas.openxmlformats.org/drawingml/2006/main" flipV="1">
            <a:off x="8392" y="0"/>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0" name="直線コネクタ 219">
            <a:extLst xmlns:a="http://schemas.openxmlformats.org/drawingml/2006/main">
              <a:ext uri="{FF2B5EF4-FFF2-40B4-BE49-F238E27FC236}">
                <a16:creationId xmlns:a16="http://schemas.microsoft.com/office/drawing/2014/main" id="{1F74320F-1F20-4766-4FB5-063CD7449B1B}"/>
              </a:ext>
            </a:extLst>
          </cdr:cNvPr>
          <cdr:cNvCxnSpPr/>
        </cdr:nvCxnSpPr>
        <cdr:spPr>
          <a:xfrm xmlns:a="http://schemas.openxmlformats.org/drawingml/2006/main" flipV="1">
            <a:off x="8392" y="23430"/>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1" name="直線コネクタ 220">
            <a:extLst xmlns:a="http://schemas.openxmlformats.org/drawingml/2006/main">
              <a:ext uri="{FF2B5EF4-FFF2-40B4-BE49-F238E27FC236}">
                <a16:creationId xmlns:a16="http://schemas.microsoft.com/office/drawing/2014/main" id="{D74B1F0D-4F35-E358-2A7A-E2F040ECB9B6}"/>
              </a:ext>
            </a:extLst>
          </cdr:cNvPr>
          <cdr:cNvCxnSpPr/>
        </cdr:nvCxnSpPr>
        <cdr:spPr>
          <a:xfrm xmlns:a="http://schemas.openxmlformats.org/drawingml/2006/main" flipV="1">
            <a:off x="8392" y="46832"/>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2" name="直線コネクタ 221">
            <a:extLst xmlns:a="http://schemas.openxmlformats.org/drawingml/2006/main">
              <a:ext uri="{FF2B5EF4-FFF2-40B4-BE49-F238E27FC236}">
                <a16:creationId xmlns:a16="http://schemas.microsoft.com/office/drawing/2014/main" id="{235F8C3B-6423-44F7-BA5A-3B90A5D1C5D4}"/>
              </a:ext>
            </a:extLst>
          </cdr:cNvPr>
          <cdr:cNvCxnSpPr/>
        </cdr:nvCxnSpPr>
        <cdr:spPr>
          <a:xfrm xmlns:a="http://schemas.openxmlformats.org/drawingml/2006/main" flipV="1">
            <a:off x="8434" y="70316"/>
            <a:ext cx="2306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23" name="直線コネクタ 222">
            <a:extLst xmlns:a="http://schemas.openxmlformats.org/drawingml/2006/main">
              <a:ext uri="{FF2B5EF4-FFF2-40B4-BE49-F238E27FC236}">
                <a16:creationId xmlns:a16="http://schemas.microsoft.com/office/drawing/2014/main" id="{8FBE20EB-F9CA-70CD-389C-08B2213107D0}"/>
              </a:ext>
            </a:extLst>
          </cdr:cNvPr>
          <cdr:cNvCxnSpPr/>
        </cdr:nvCxnSpPr>
        <cdr:spPr>
          <a:xfrm xmlns:a="http://schemas.openxmlformats.org/drawingml/2006/main" flipV="1">
            <a:off x="6997" y="93815"/>
            <a:ext cx="23068" cy="0"/>
          </a:xfrm>
          <a:prstGeom xmlns:a="http://schemas.openxmlformats.org/drawingml/2006/main" prst="line">
            <a:avLst/>
          </a:prstGeom>
          <a:ln xmlns:a="http://schemas.openxmlformats.org/drawingml/2006/main" w="190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xdr:absoluteAnchor>
    <xdr:pos x="0" y="0"/>
    <xdr:ext cx="6739759" cy="9866586"/>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0.86962</cdr:x>
      <cdr:y>0.29328</cdr:y>
    </cdr:from>
    <cdr:to>
      <cdr:x>0.90775</cdr:x>
      <cdr:y>0.29412</cdr:y>
    </cdr:to>
    <cdr:sp macro="" textlink="">
      <cdr:nvSpPr>
        <cdr:cNvPr id="94210" name="Line 2"/>
        <cdr:cNvSpPr>
          <a:spLocks xmlns:a="http://schemas.openxmlformats.org/drawingml/2006/main" noChangeShapeType="1"/>
        </cdr:cNvSpPr>
      </cdr:nvSpPr>
      <cdr:spPr bwMode="auto">
        <a:xfrm xmlns:a="http://schemas.openxmlformats.org/drawingml/2006/main" flipH="1">
          <a:off x="5855812" y="2890653"/>
          <a:ext cx="256759" cy="82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0.86745</cdr:x>
      <cdr:y>0.40852</cdr:y>
    </cdr:from>
    <cdr:to>
      <cdr:x>0.90829</cdr:x>
      <cdr:y>0.40879</cdr:y>
    </cdr:to>
    <cdr:sp macro="" textlink="">
      <cdr:nvSpPr>
        <cdr:cNvPr id="94211" name="Line 3"/>
        <cdr:cNvSpPr>
          <a:spLocks xmlns:a="http://schemas.openxmlformats.org/drawingml/2006/main" noChangeShapeType="1"/>
        </cdr:cNvSpPr>
      </cdr:nvSpPr>
      <cdr:spPr bwMode="auto">
        <a:xfrm xmlns:a="http://schemas.openxmlformats.org/drawingml/2006/main" flipH="1">
          <a:off x="5846379" y="4030699"/>
          <a:ext cx="275276" cy="26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0.86842</cdr:x>
      <cdr:y>0.46671</cdr:y>
    </cdr:from>
    <cdr:to>
      <cdr:x>0.90724</cdr:x>
      <cdr:y>0.52481</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852947" y="4604845"/>
          <a:ext cx="261631" cy="5732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0.86842</cdr:x>
      <cdr:y>0.64115</cdr:y>
    </cdr:from>
    <cdr:to>
      <cdr:x>0.90898</cdr:x>
      <cdr:y>0.64118</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52948" y="6325914"/>
          <a:ext cx="273358" cy="34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0.86745</cdr:x>
      <cdr:y>0.75798</cdr:y>
    </cdr:from>
    <cdr:to>
      <cdr:x>0.90775</cdr:x>
      <cdr:y>0.75832</cdr:y>
    </cdr:to>
    <cdr:sp macro="" textlink="">
      <cdr:nvSpPr>
        <cdr:cNvPr id="94214" name="Line 6"/>
        <cdr:cNvSpPr>
          <a:spLocks xmlns:a="http://schemas.openxmlformats.org/drawingml/2006/main" noChangeShapeType="1"/>
        </cdr:cNvSpPr>
      </cdr:nvSpPr>
      <cdr:spPr bwMode="auto">
        <a:xfrm xmlns:a="http://schemas.openxmlformats.org/drawingml/2006/main" flipH="1">
          <a:off x="5846378" y="7478675"/>
          <a:ext cx="271637" cy="337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0.14819</cdr:x>
      <cdr:y>0.1691</cdr:y>
    </cdr:from>
    <cdr:to>
      <cdr:x>0.23944</cdr:x>
      <cdr:y>0.20985</cdr:y>
    </cdr:to>
    <cdr:sp macro="" textlink="">
      <cdr:nvSpPr>
        <cdr:cNvPr id="94215" name="Text Box 7"/>
        <cdr:cNvSpPr txBox="1">
          <a:spLocks xmlns:a="http://schemas.openxmlformats.org/drawingml/2006/main" noChangeArrowheads="1"/>
        </cdr:cNvSpPr>
      </cdr:nvSpPr>
      <cdr:spPr bwMode="auto">
        <a:xfrm xmlns:a="http://schemas.openxmlformats.org/drawingml/2006/main">
          <a:off x="997877" y="1666705"/>
          <a:ext cx="614456" cy="4016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0.78948</cdr:x>
      <cdr:y>0.12758</cdr:y>
    </cdr:from>
    <cdr:to>
      <cdr:x>0.88073</cdr:x>
      <cdr:y>0.16348</cdr:y>
    </cdr:to>
    <cdr:sp macro="" textlink="">
      <cdr:nvSpPr>
        <cdr:cNvPr id="94217" name="Text Box 9"/>
        <cdr:cNvSpPr txBox="1">
          <a:spLocks xmlns:a="http://schemas.openxmlformats.org/drawingml/2006/main" noChangeArrowheads="1"/>
        </cdr:cNvSpPr>
      </cdr:nvSpPr>
      <cdr:spPr bwMode="auto">
        <a:xfrm xmlns:a="http://schemas.openxmlformats.org/drawingml/2006/main">
          <a:off x="5320903" y="1258824"/>
          <a:ext cx="615003" cy="3542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19,622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0.40404</cdr:x>
      <cdr:y>0.20164</cdr:y>
    </cdr:from>
    <cdr:to>
      <cdr:x>0.49654</cdr:x>
      <cdr:y>0.23864</cdr:y>
    </cdr:to>
    <cdr:sp macro="" textlink="">
      <cdr:nvSpPr>
        <cdr:cNvPr id="23" name="Text Box 21"/>
        <cdr:cNvSpPr txBox="1">
          <a:spLocks xmlns:a="http://schemas.openxmlformats.org/drawingml/2006/main" noChangeArrowheads="1"/>
        </cdr:cNvSpPr>
      </cdr:nvSpPr>
      <cdr:spPr bwMode="auto">
        <a:xfrm xmlns:a="http://schemas.openxmlformats.org/drawingml/2006/main">
          <a:off x="2723140" y="1989529"/>
          <a:ext cx="623427" cy="3650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17,586</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0.14322</cdr:x>
      <cdr:y>0.84653</cdr:y>
    </cdr:from>
    <cdr:to>
      <cdr:x>0.23447</cdr:x>
      <cdr:y>0.86929</cdr:y>
    </cdr:to>
    <cdr:sp macro="" textlink="">
      <cdr:nvSpPr>
        <cdr:cNvPr id="19" name="Text Box 7"/>
        <cdr:cNvSpPr txBox="1">
          <a:spLocks xmlns:a="http://schemas.openxmlformats.org/drawingml/2006/main" noChangeArrowheads="1"/>
        </cdr:cNvSpPr>
      </cdr:nvSpPr>
      <cdr:spPr bwMode="auto">
        <a:xfrm xmlns:a="http://schemas.openxmlformats.org/drawingml/2006/main">
          <a:off x="964411" y="8343660"/>
          <a:ext cx="614455" cy="2243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0.63886</cdr:x>
      <cdr:y>0.84724</cdr:y>
    </cdr:from>
    <cdr:to>
      <cdr:x>0.77307</cdr:x>
      <cdr:y>0.86954</cdr:y>
    </cdr:to>
    <cdr:sp macro="" textlink="">
      <cdr:nvSpPr>
        <cdr:cNvPr id="20" name="Text Box 7"/>
        <cdr:cNvSpPr txBox="1">
          <a:spLocks xmlns:a="http://schemas.openxmlformats.org/drawingml/2006/main" noChangeArrowheads="1"/>
        </cdr:cNvSpPr>
      </cdr:nvSpPr>
      <cdr:spPr bwMode="auto">
        <a:xfrm xmlns:a="http://schemas.openxmlformats.org/drawingml/2006/main">
          <a:off x="4305733" y="8359366"/>
          <a:ext cx="904543" cy="220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0.53257</cdr:x>
      <cdr:y>0.19983</cdr:y>
    </cdr:from>
    <cdr:to>
      <cdr:x>0.62507</cdr:x>
      <cdr:y>0.23683</cdr:y>
    </cdr:to>
    <cdr:sp macro="" textlink="">
      <cdr:nvSpPr>
        <cdr:cNvPr id="27" name="Text Box 21"/>
        <cdr:cNvSpPr txBox="1">
          <a:spLocks xmlns:a="http://schemas.openxmlformats.org/drawingml/2006/main" noChangeArrowheads="1"/>
        </cdr:cNvSpPr>
      </cdr:nvSpPr>
      <cdr:spPr bwMode="auto">
        <a:xfrm xmlns:a="http://schemas.openxmlformats.org/drawingml/2006/main">
          <a:off x="3589405" y="1971666"/>
          <a:ext cx="623428" cy="3650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17,568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0.66177</cdr:x>
      <cdr:y>0.1168</cdr:y>
    </cdr:from>
    <cdr:to>
      <cdr:x>0.75427</cdr:x>
      <cdr:y>0.1538</cdr:y>
    </cdr:to>
    <cdr:sp macro="" textlink="">
      <cdr:nvSpPr>
        <cdr:cNvPr id="21" name="Text Box 21"/>
        <cdr:cNvSpPr txBox="1">
          <a:spLocks xmlns:a="http://schemas.openxmlformats.org/drawingml/2006/main" noChangeArrowheads="1"/>
        </cdr:cNvSpPr>
      </cdr:nvSpPr>
      <cdr:spPr bwMode="auto">
        <a:xfrm xmlns:a="http://schemas.openxmlformats.org/drawingml/2006/main">
          <a:off x="4460177" y="1152376"/>
          <a:ext cx="623428" cy="3650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20,147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0.11562</cdr:x>
      <cdr:y>0.87122</cdr:y>
    </cdr:from>
    <cdr:to>
      <cdr:x>0.91021</cdr:x>
      <cdr:y>0.97731</cdr:y>
    </cdr:to>
    <mc:AlternateContent xmlns:mc="http://schemas.openxmlformats.org/markup-compatibility/2006" xmlns:a14="http://schemas.microsoft.com/office/drawing/2010/main">
      <mc:Choice Requires="a14">
        <cdr:pic>
          <cdr:nvPicPr>
            <cdr:cNvPr id="137217" name="Picture 1">
              <a:extLst xmlns:a="http://schemas.openxmlformats.org/drawingml/2006/main">
                <a:ext uri="{FF2B5EF4-FFF2-40B4-BE49-F238E27FC236}">
                  <a16:creationId xmlns:a16="http://schemas.microsoft.com/office/drawing/2014/main" id="{AD477B04-D2BF-4205-94B0-D53983F95C49}"/>
                </a:ext>
              </a:extLst>
            </cdr:cNvPr>
            <cdr:cNvPicPr>
              <a:picLocks xmlns:a="http://schemas.openxmlformats.org/drawingml/2006/main" noChangeAspect="1" noChangeArrowheads="1"/>
              <a:extLst xmlns:a="http://schemas.openxmlformats.org/drawingml/2006/main">
                <a:ext uri="{84589F7E-364E-4C9E-8A38-B11213B215E9}">
                  <a14:cameraTool cellRange="[2]頁４データ!$B$64:$O$69" spid="_x0000_s433225"/>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78564" y="8587009"/>
              <a:ext cx="5350565" cy="1045665"/>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0.27512</cdr:x>
      <cdr:y>0.20811</cdr:y>
    </cdr:from>
    <cdr:to>
      <cdr:x>0.36762</cdr:x>
      <cdr:y>0.24511</cdr:y>
    </cdr:to>
    <cdr:sp macro="" textlink="">
      <cdr:nvSpPr>
        <cdr:cNvPr id="26" name="Text Box 21"/>
        <cdr:cNvSpPr txBox="1">
          <a:spLocks xmlns:a="http://schemas.openxmlformats.org/drawingml/2006/main" noChangeArrowheads="1"/>
        </cdr:cNvSpPr>
      </cdr:nvSpPr>
      <cdr:spPr bwMode="auto">
        <a:xfrm xmlns:a="http://schemas.openxmlformats.org/drawingml/2006/main">
          <a:off x="1854245" y="2053351"/>
          <a:ext cx="623428" cy="3650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17,408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0.24538</cdr:x>
      <cdr:y>0.15318</cdr:y>
    </cdr:from>
    <cdr:to>
      <cdr:x>0.26757</cdr:x>
      <cdr:y>0.84609</cdr:y>
    </cdr:to>
    <cdr:grpSp>
      <cdr:nvGrpSpPr>
        <cdr:cNvPr id="136" name="グループ化 135">
          <a:extLst xmlns:a="http://schemas.openxmlformats.org/drawingml/2006/main">
            <a:ext uri="{FF2B5EF4-FFF2-40B4-BE49-F238E27FC236}">
              <a16:creationId xmlns:a16="http://schemas.microsoft.com/office/drawing/2014/main" id="{56396C33-C20A-CC1C-49D2-2DEA1583E184}"/>
            </a:ext>
          </a:extLst>
        </cdr:cNvPr>
        <cdr:cNvGrpSpPr/>
      </cdr:nvGrpSpPr>
      <cdr:grpSpPr>
        <a:xfrm xmlns:a="http://schemas.openxmlformats.org/drawingml/2006/main">
          <a:off x="1653802" y="1511364"/>
          <a:ext cx="149555" cy="6836656"/>
          <a:chOff x="0" y="0"/>
          <a:chExt cx="10207" cy="1273"/>
        </a:xfrm>
      </cdr:grpSpPr>
      <cdr:sp macro="" textlink="">
        <cdr:nvSpPr>
          <cdr:cNvPr id="137" name="小波 136"/>
          <cdr:cNvSpPr/>
        </cdr:nvSpPr>
        <cdr:spPr>
          <a:xfrm xmlns:a="http://schemas.openxmlformats.org/drawingml/2006/main" rot="5400000">
            <a:off x="4942" y="-4623"/>
            <a:ext cx="318"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38" name="小波 137"/>
          <cdr:cNvSpPr/>
        </cdr:nvSpPr>
        <cdr:spPr>
          <a:xfrm xmlns:a="http://schemas.openxmlformats.org/drawingml/2006/main" rot="5400000">
            <a:off x="4947" y="-3987"/>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39" name="小波 138"/>
          <cdr:cNvSpPr/>
        </cdr:nvSpPr>
        <cdr:spPr>
          <a:xfrm xmlns:a="http://schemas.openxmlformats.org/drawingml/2006/main" rot="5400000">
            <a:off x="4943" y="-4305"/>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sp macro="" textlink="">
        <cdr:nvSpPr>
          <cdr:cNvPr id="140" name="小波 139"/>
          <cdr:cNvSpPr/>
        </cdr:nvSpPr>
        <cdr:spPr>
          <a:xfrm xmlns:a="http://schemas.openxmlformats.org/drawingml/2006/main" rot="5400000">
            <a:off x="4943" y="-4942"/>
            <a:ext cx="317" cy="10202"/>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ltLang="en-US"/>
          </a:p>
        </cdr:txBody>
      </cdr:sp>
      <cdr:cxnSp macro="">
        <cdr:nvCxnSpPr>
          <cdr:cNvPr id="141" name="直線コネクタ 140">
            <a:extLst xmlns:a="http://schemas.openxmlformats.org/drawingml/2006/main">
              <a:ext uri="{FF2B5EF4-FFF2-40B4-BE49-F238E27FC236}">
                <a16:creationId xmlns:a16="http://schemas.microsoft.com/office/drawing/2014/main" id="{CAA1CC29-9F1C-C6E7-396C-A6A740316F9C}"/>
              </a:ext>
            </a:extLst>
          </cdr:cNvPr>
          <cdr:cNvCxnSpPr/>
        </cdr:nvCxnSpPr>
        <cdr:spPr>
          <a:xfrm xmlns:a="http://schemas.openxmlformats.org/drawingml/2006/main" flipV="1">
            <a:off x="2204" y="0"/>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2" name="直線コネクタ 141">
            <a:extLst xmlns:a="http://schemas.openxmlformats.org/drawingml/2006/main">
              <a:ext uri="{FF2B5EF4-FFF2-40B4-BE49-F238E27FC236}">
                <a16:creationId xmlns:a16="http://schemas.microsoft.com/office/drawing/2014/main" id="{7E0F1F4D-CF06-D7CF-A0C9-8D0605EAFF0A}"/>
              </a:ext>
            </a:extLst>
          </cdr:cNvPr>
          <cdr:cNvCxnSpPr/>
        </cdr:nvCxnSpPr>
        <cdr:spPr>
          <a:xfrm xmlns:a="http://schemas.openxmlformats.org/drawingml/2006/main" flipV="1">
            <a:off x="2204" y="318"/>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3" name="直線コネクタ 142">
            <a:extLst xmlns:a="http://schemas.openxmlformats.org/drawingml/2006/main">
              <a:ext uri="{FF2B5EF4-FFF2-40B4-BE49-F238E27FC236}">
                <a16:creationId xmlns:a16="http://schemas.microsoft.com/office/drawing/2014/main" id="{5459C265-8B5F-12C0-C466-61362583E1EF}"/>
              </a:ext>
            </a:extLst>
          </cdr:cNvPr>
          <cdr:cNvCxnSpPr/>
        </cdr:nvCxnSpPr>
        <cdr:spPr>
          <a:xfrm xmlns:a="http://schemas.openxmlformats.org/drawingml/2006/main" flipV="1">
            <a:off x="2204" y="636"/>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4" name="直線コネクタ 143">
            <a:extLst xmlns:a="http://schemas.openxmlformats.org/drawingml/2006/main">
              <a:ext uri="{FF2B5EF4-FFF2-40B4-BE49-F238E27FC236}">
                <a16:creationId xmlns:a16="http://schemas.microsoft.com/office/drawing/2014/main" id="{2C1761F1-8D91-35DA-9855-457618896E58}"/>
              </a:ext>
            </a:extLst>
          </cdr:cNvPr>
          <cdr:cNvCxnSpPr/>
        </cdr:nvCxnSpPr>
        <cdr:spPr>
          <a:xfrm xmlns:a="http://schemas.openxmlformats.org/drawingml/2006/main" flipV="1">
            <a:off x="2215" y="954"/>
            <a:ext cx="6058" cy="0"/>
          </a:xfrm>
          <a:prstGeom xmlns:a="http://schemas.openxmlformats.org/drawingml/2006/main" prst="line">
            <a:avLst/>
          </a:prstGeom>
          <a:ln xmlns:a="http://schemas.openxmlformats.org/drawingml/2006/main" w="317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5" name="直線コネクタ 144">
            <a:extLst xmlns:a="http://schemas.openxmlformats.org/drawingml/2006/main">
              <a:ext uri="{FF2B5EF4-FFF2-40B4-BE49-F238E27FC236}">
                <a16:creationId xmlns:a16="http://schemas.microsoft.com/office/drawing/2014/main" id="{6062CC1F-987B-5AF0-3381-690B675C6CF6}"/>
              </a:ext>
            </a:extLst>
          </cdr:cNvPr>
          <cdr:cNvCxnSpPr/>
        </cdr:nvCxnSpPr>
        <cdr:spPr>
          <a:xfrm xmlns:a="http://schemas.openxmlformats.org/drawingml/2006/main" flipV="1">
            <a:off x="1838" y="1273"/>
            <a:ext cx="6058" cy="0"/>
          </a:xfrm>
          <a:prstGeom xmlns:a="http://schemas.openxmlformats.org/drawingml/2006/main" prst="line">
            <a:avLst/>
          </a:prstGeom>
          <a:ln xmlns:a="http://schemas.openxmlformats.org/drawingml/2006/main" w="190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16</xdr:col>
          <xdr:colOff>709613</xdr:colOff>
          <xdr:row>97</xdr:row>
          <xdr:rowOff>57150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B$64:$O$69" spid="_x0000_s434249"/>
                </a:ext>
              </a:extLst>
            </xdr:cNvPicPr>
          </xdr:nvPicPr>
          <xdr:blipFill>
            <a:blip xmlns:r="http://schemas.openxmlformats.org/officeDocument/2006/relationships" r:embed="rId1"/>
            <a:srcRect/>
            <a:stretch>
              <a:fillRect/>
            </a:stretch>
          </xdr:blipFill>
          <xdr:spPr bwMode="auto">
            <a:xfrm>
              <a:off x="1495425" y="15428119"/>
              <a:ext cx="5607844" cy="10477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38101</xdr:colOff>
      <xdr:row>50</xdr:row>
      <xdr:rowOff>9526</xdr:rowOff>
    </xdr:from>
    <xdr:to>
      <xdr:col>10</xdr:col>
      <xdr:colOff>514350</xdr:colOff>
      <xdr:row>59</xdr:row>
      <xdr:rowOff>19050</xdr:rowOff>
    </xdr:to>
    <xdr:graphicFrame macro="">
      <xdr:nvGraphicFramePr>
        <xdr:cNvPr id="2" name="Chart 1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126094</xdr:colOff>
      <xdr:row>50</xdr:row>
      <xdr:rowOff>64236</xdr:rowOff>
    </xdr:from>
    <xdr:ext cx="667812" cy="151836"/>
    <xdr:sp macro="" textlink="">
      <xdr:nvSpPr>
        <xdr:cNvPr id="3" name="Text Box 7">
          <a:extLst>
            <a:ext uri="{FF2B5EF4-FFF2-40B4-BE49-F238E27FC236}">
              <a16:creationId xmlns:a16="http://schemas.microsoft.com/office/drawing/2014/main" id="{00000000-0008-0000-0800-000003000000}"/>
            </a:ext>
          </a:extLst>
        </xdr:cNvPr>
        <xdr:cNvSpPr txBox="1">
          <a:spLocks noChangeArrowheads="1"/>
        </xdr:cNvSpPr>
      </xdr:nvSpPr>
      <xdr:spPr bwMode="auto">
        <a:xfrm>
          <a:off x="754744" y="10894161"/>
          <a:ext cx="667812" cy="151836"/>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390525</xdr:colOff>
      <xdr:row>51</xdr:row>
      <xdr:rowOff>550767</xdr:rowOff>
    </xdr:from>
    <xdr:to>
      <xdr:col>7</xdr:col>
      <xdr:colOff>685800</xdr:colOff>
      <xdr:row>51</xdr:row>
      <xdr:rowOff>550767</xdr:rowOff>
    </xdr:to>
    <xdr:cxnSp macro="">
      <xdr:nvCxnSpPr>
        <xdr:cNvPr id="4" name="直線矢印コネクタ 4">
          <a:extLst>
            <a:ext uri="{FF2B5EF4-FFF2-40B4-BE49-F238E27FC236}">
              <a16:creationId xmlns:a16="http://schemas.microsoft.com/office/drawing/2014/main" id="{00000000-0008-0000-0800-000004000000}"/>
            </a:ext>
          </a:extLst>
        </xdr:cNvPr>
        <xdr:cNvCxnSpPr>
          <a:cxnSpLocks noChangeShapeType="1"/>
        </xdr:cNvCxnSpPr>
      </xdr:nvCxnSpPr>
      <xdr:spPr bwMode="auto">
        <a:xfrm rot="10800000">
          <a:off x="6086475" y="11456892"/>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52</xdr:row>
      <xdr:rowOff>196663</xdr:rowOff>
    </xdr:from>
    <xdr:to>
      <xdr:col>7</xdr:col>
      <xdr:colOff>685800</xdr:colOff>
      <xdr:row>52</xdr:row>
      <xdr:rowOff>196663</xdr:rowOff>
    </xdr:to>
    <xdr:cxnSp macro="">
      <xdr:nvCxnSpPr>
        <xdr:cNvPr id="5" name="直線矢印コネクタ 4">
          <a:extLst>
            <a:ext uri="{FF2B5EF4-FFF2-40B4-BE49-F238E27FC236}">
              <a16:creationId xmlns:a16="http://schemas.microsoft.com/office/drawing/2014/main" id="{00000000-0008-0000-0800-000005000000}"/>
            </a:ext>
          </a:extLst>
        </xdr:cNvPr>
        <xdr:cNvCxnSpPr>
          <a:cxnSpLocks noChangeShapeType="1"/>
        </xdr:cNvCxnSpPr>
      </xdr:nvCxnSpPr>
      <xdr:spPr bwMode="auto">
        <a:xfrm rot="10800000">
          <a:off x="6086475" y="12074338"/>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51</xdr:row>
      <xdr:rowOff>825872</xdr:rowOff>
    </xdr:from>
    <xdr:to>
      <xdr:col>7</xdr:col>
      <xdr:colOff>685800</xdr:colOff>
      <xdr:row>51</xdr:row>
      <xdr:rowOff>825872</xdr:rowOff>
    </xdr:to>
    <xdr:cxnSp macro="">
      <xdr:nvCxnSpPr>
        <xdr:cNvPr id="6" name="直線矢印コネクタ 4">
          <a:extLst>
            <a:ext uri="{FF2B5EF4-FFF2-40B4-BE49-F238E27FC236}">
              <a16:creationId xmlns:a16="http://schemas.microsoft.com/office/drawing/2014/main" id="{00000000-0008-0000-0800-000006000000}"/>
            </a:ext>
          </a:extLst>
        </xdr:cNvPr>
        <xdr:cNvCxnSpPr>
          <a:cxnSpLocks noChangeShapeType="1"/>
        </xdr:cNvCxnSpPr>
      </xdr:nvCxnSpPr>
      <xdr:spPr bwMode="auto">
        <a:xfrm rot="10800000">
          <a:off x="6086475" y="11731997"/>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390525</xdr:colOff>
      <xdr:row>54</xdr:row>
      <xdr:rowOff>104775</xdr:rowOff>
    </xdr:from>
    <xdr:to>
      <xdr:col>7</xdr:col>
      <xdr:colOff>685800</xdr:colOff>
      <xdr:row>54</xdr:row>
      <xdr:rowOff>104775</xdr:rowOff>
    </xdr:to>
    <xdr:cxnSp macro="">
      <xdr:nvCxnSpPr>
        <xdr:cNvPr id="7" name="直線矢印コネクタ 4">
          <a:extLst>
            <a:ext uri="{FF2B5EF4-FFF2-40B4-BE49-F238E27FC236}">
              <a16:creationId xmlns:a16="http://schemas.microsoft.com/office/drawing/2014/main" id="{00000000-0008-0000-0800-000007000000}"/>
            </a:ext>
          </a:extLst>
        </xdr:cNvPr>
        <xdr:cNvCxnSpPr>
          <a:cxnSpLocks noChangeShapeType="1"/>
        </xdr:cNvCxnSpPr>
      </xdr:nvCxnSpPr>
      <xdr:spPr bwMode="auto">
        <a:xfrm rot="10800000">
          <a:off x="6086475" y="12534900"/>
          <a:ext cx="295275" cy="0"/>
        </a:xfrm>
        <a:prstGeom prst="straightConnector1">
          <a:avLst/>
        </a:prstGeom>
        <a:noFill/>
        <a:ln w="6350" algn="ctr">
          <a:solidFill>
            <a:srgbClr val="000000"/>
          </a:solidFill>
          <a:round/>
          <a:headEnd/>
          <a:tailEnd type="stealth" w="med" len="med"/>
        </a:ln>
      </xdr:spPr>
    </xdr:cxnSp>
    <xdr:clientData/>
  </xdr:twoCellAnchor>
  <xdr:oneCellAnchor>
    <xdr:from>
      <xdr:col>7</xdr:col>
      <xdr:colOff>695325</xdr:colOff>
      <xdr:row>51</xdr:row>
      <xdr:rowOff>462801</xdr:rowOff>
    </xdr:from>
    <xdr:ext cx="542158" cy="151836"/>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6391275" y="11368926"/>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714375</xdr:colOff>
      <xdr:row>51</xdr:row>
      <xdr:rowOff>749672</xdr:rowOff>
    </xdr:from>
    <xdr:ext cx="550146" cy="151836"/>
    <xdr:sp macro="" textlink="">
      <xdr:nvSpPr>
        <xdr:cNvPr id="9" name="Text Box 7">
          <a:extLst>
            <a:ext uri="{FF2B5EF4-FFF2-40B4-BE49-F238E27FC236}">
              <a16:creationId xmlns:a16="http://schemas.microsoft.com/office/drawing/2014/main" id="{00000000-0008-0000-0800-000009000000}"/>
            </a:ext>
          </a:extLst>
        </xdr:cNvPr>
        <xdr:cNvSpPr txBox="1">
          <a:spLocks noChangeArrowheads="1"/>
        </xdr:cNvSpPr>
      </xdr:nvSpPr>
      <xdr:spPr bwMode="auto">
        <a:xfrm>
          <a:off x="6410325" y="1165579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714375</xdr:colOff>
      <xdr:row>52</xdr:row>
      <xdr:rowOff>110938</xdr:rowOff>
    </xdr:from>
    <xdr:ext cx="550146" cy="151836"/>
    <xdr:sp macro="" textlink="">
      <xdr:nvSpPr>
        <xdr:cNvPr id="10" name="Text Box 7">
          <a:extLst>
            <a:ext uri="{FF2B5EF4-FFF2-40B4-BE49-F238E27FC236}">
              <a16:creationId xmlns:a16="http://schemas.microsoft.com/office/drawing/2014/main" id="{00000000-0008-0000-0800-00000A000000}"/>
            </a:ext>
          </a:extLst>
        </xdr:cNvPr>
        <xdr:cNvSpPr txBox="1">
          <a:spLocks noChangeArrowheads="1"/>
        </xdr:cNvSpPr>
      </xdr:nvSpPr>
      <xdr:spPr bwMode="auto">
        <a:xfrm>
          <a:off x="6410325" y="11988613"/>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714375</xdr:colOff>
      <xdr:row>53</xdr:row>
      <xdr:rowOff>238115</xdr:rowOff>
    </xdr:from>
    <xdr:ext cx="550146" cy="285206"/>
    <xdr:sp macro="" textlink="">
      <xdr:nvSpPr>
        <xdr:cNvPr id="11" name="Text Box 7">
          <a:extLst>
            <a:ext uri="{FF2B5EF4-FFF2-40B4-BE49-F238E27FC236}">
              <a16:creationId xmlns:a16="http://schemas.microsoft.com/office/drawing/2014/main" id="{00000000-0008-0000-0800-00000B000000}"/>
            </a:ext>
          </a:extLst>
        </xdr:cNvPr>
        <xdr:cNvSpPr txBox="1">
          <a:spLocks noChangeArrowheads="1"/>
        </xdr:cNvSpPr>
      </xdr:nvSpPr>
      <xdr:spPr bwMode="auto">
        <a:xfrm>
          <a:off x="6410325" y="12392015"/>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twoCellAnchor>
    <xdr:from>
      <xdr:col>5</xdr:col>
      <xdr:colOff>180975</xdr:colOff>
      <xdr:row>55</xdr:row>
      <xdr:rowOff>57150</xdr:rowOff>
    </xdr:from>
    <xdr:to>
      <xdr:col>5</xdr:col>
      <xdr:colOff>342900</xdr:colOff>
      <xdr:row>57</xdr:row>
      <xdr:rowOff>38100</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3343275" y="12725400"/>
          <a:ext cx="161925" cy="457200"/>
          <a:chOff x="3371850" y="11420475"/>
          <a:chExt cx="161925" cy="323850"/>
        </a:xfrm>
      </xdr:grpSpPr>
      <xdr:sp macro="" textlink="">
        <xdr:nvSpPr>
          <xdr:cNvPr id="13" name="フリーフォーム 12">
            <a:extLst>
              <a:ext uri="{FF2B5EF4-FFF2-40B4-BE49-F238E27FC236}">
                <a16:creationId xmlns:a16="http://schemas.microsoft.com/office/drawing/2014/main" id="{00000000-0008-0000-0800-00000D000000}"/>
              </a:ext>
            </a:extLst>
          </xdr:cNvPr>
          <xdr:cNvSpPr/>
        </xdr:nvSpPr>
        <xdr:spPr bwMode="auto">
          <a:xfrm>
            <a:off x="3429001" y="11420476"/>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800-00000E000000}"/>
              </a:ext>
            </a:extLst>
          </xdr:cNvPr>
          <xdr:cNvSpPr/>
        </xdr:nvSpPr>
        <xdr:spPr bwMode="auto">
          <a:xfrm>
            <a:off x="3371850" y="11420475"/>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grpSp>
    <xdr:clientData/>
  </xdr:twoCellAnchor>
  <xdr:twoCellAnchor>
    <xdr:from>
      <xdr:col>0</xdr:col>
      <xdr:colOff>76200</xdr:colOff>
      <xdr:row>0</xdr:row>
      <xdr:rowOff>47625</xdr:rowOff>
    </xdr:from>
    <xdr:to>
      <xdr:col>6</xdr:col>
      <xdr:colOff>107381</xdr:colOff>
      <xdr:row>3</xdr:row>
      <xdr:rowOff>31547</xdr:rowOff>
    </xdr:to>
    <xdr:sp macro="" textlink="">
      <xdr:nvSpPr>
        <xdr:cNvPr id="15" name="AutoShape 14">
          <a:extLst>
            <a:ext uri="{FF2B5EF4-FFF2-40B4-BE49-F238E27FC236}">
              <a16:creationId xmlns:a16="http://schemas.microsoft.com/office/drawing/2014/main" id="{00000000-0008-0000-0800-00000F000000}"/>
            </a:ext>
          </a:extLst>
        </xdr:cNvPr>
        <xdr:cNvSpPr>
          <a:spLocks noChangeArrowheads="1"/>
        </xdr:cNvSpPr>
      </xdr:nvSpPr>
      <xdr:spPr bwMode="auto">
        <a:xfrm>
          <a:off x="76200" y="47625"/>
          <a:ext cx="4460306" cy="403022"/>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72000" rIns="0" bIns="22860" anchor="ctr" upright="1"/>
        <a:lstStyle/>
        <a:p>
          <a:pPr algn="l" rtl="0">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参考</a:t>
          </a: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a:t>
          </a:r>
          <a:r>
            <a:rPr lang="ja-JP" altLang="en-US" sz="1600" b="1" i="0" u="none" strike="noStrike" baseline="0">
              <a:solidFill>
                <a:schemeClr val="tx1"/>
              </a:solidFill>
              <a:latin typeface="メイリオ" panose="020B0604030504040204" pitchFamily="50" charset="-128"/>
              <a:ea typeface="メイリオ" panose="020B0604030504040204" pitchFamily="50" charset="-128"/>
            </a:rPr>
            <a:t>３</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年度　市税決算見込の状況</a:t>
          </a:r>
        </a:p>
      </xdr:txBody>
    </xdr:sp>
    <xdr:clientData/>
  </xdr:twoCellAnchor>
  <mc:AlternateContent xmlns:mc="http://schemas.openxmlformats.org/markup-compatibility/2006">
    <mc:Choice xmlns:a14="http://schemas.microsoft.com/office/drawing/2010/main" Requires="a14">
      <xdr:oneCellAnchor>
        <xdr:from>
          <xdr:col>1</xdr:col>
          <xdr:colOff>47625</xdr:colOff>
          <xdr:row>42</xdr:row>
          <xdr:rowOff>114301</xdr:rowOff>
        </xdr:from>
        <xdr:ext cx="0" cy="1219200"/>
        <xdr:pic>
          <xdr:nvPicPr>
            <xdr:cNvPr id="16" name="Picture 1">
              <a:extLst>
                <a:ext uri="{FF2B5EF4-FFF2-40B4-BE49-F238E27FC236}">
                  <a16:creationId xmlns:a16="http://schemas.microsoft.com/office/drawing/2014/main" id="{00000000-0008-0000-0800-000010000000}"/>
                </a:ext>
              </a:extLst>
            </xdr:cNvPr>
            <xdr:cNvPicPr>
              <a:picLocks noChangeAspect="1" noChangeArrowheads="1"/>
              <a:extLst>
                <a:ext uri="{84589F7E-364E-4C9E-8A38-B11213B215E9}">
                  <a14:cameraTool cellRange="$K$62:$M$67" spid="_x0000_s449577"/>
                </a:ext>
              </a:extLst>
            </xdr:cNvPicPr>
          </xdr:nvPicPr>
          <xdr:blipFill rotWithShape="1">
            <a:blip xmlns:r="http://schemas.openxmlformats.org/officeDocument/2006/relationships" r:embed="rId2"/>
            <a:srcRect t="9890" b="6593"/>
            <a:stretch>
              <a:fillRect/>
            </a:stretch>
          </xdr:blipFill>
          <xdr:spPr bwMode="auto">
            <a:xfrm>
              <a:off x="257175" y="9544051"/>
              <a:ext cx="0" cy="121920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238124</xdr:colOff>
      <xdr:row>7</xdr:row>
      <xdr:rowOff>57154</xdr:rowOff>
    </xdr:from>
    <xdr:to>
      <xdr:col>4</xdr:col>
      <xdr:colOff>476249</xdr:colOff>
      <xdr:row>7</xdr:row>
      <xdr:rowOff>257176</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bwMode="auto">
        <a:xfrm rot="5400000">
          <a:off x="2419351" y="1000127"/>
          <a:ext cx="200022" cy="20669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238124</xdr:colOff>
      <xdr:row>7</xdr:row>
      <xdr:rowOff>57154</xdr:rowOff>
    </xdr:from>
    <xdr:to>
      <xdr:col>9</xdr:col>
      <xdr:colOff>476249</xdr:colOff>
      <xdr:row>7</xdr:row>
      <xdr:rowOff>257176</xdr:rowOff>
    </xdr:to>
    <xdr:sp macro="" textlink="">
      <xdr:nvSpPr>
        <xdr:cNvPr id="3" name="右中かっこ 2">
          <a:extLst>
            <a:ext uri="{FF2B5EF4-FFF2-40B4-BE49-F238E27FC236}">
              <a16:creationId xmlns:a16="http://schemas.microsoft.com/office/drawing/2014/main" id="{00000000-0008-0000-0900-000003000000}"/>
            </a:ext>
          </a:extLst>
        </xdr:cNvPr>
        <xdr:cNvSpPr/>
      </xdr:nvSpPr>
      <xdr:spPr bwMode="auto">
        <a:xfrm rot="5400000">
          <a:off x="5467351" y="1000127"/>
          <a:ext cx="200022" cy="20669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32</xdr:row>
      <xdr:rowOff>152400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34</xdr:row>
      <xdr:rowOff>157842</xdr:rowOff>
    </xdr:from>
    <xdr:to>
      <xdr:col>31</xdr:col>
      <xdr:colOff>161924</xdr:colOff>
      <xdr:row>64</xdr:row>
      <xdr:rowOff>81642</xdr:rowOff>
    </xdr:to>
    <xdr:graphicFrame macro="">
      <xdr:nvGraphicFramePr>
        <xdr:cNvPr id="3" name="Chart 4">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123825</xdr:colOff>
      <xdr:row>4</xdr:row>
      <xdr:rowOff>19050</xdr:rowOff>
    </xdr:from>
    <xdr:to>
      <xdr:col>10</xdr:col>
      <xdr:colOff>28575</xdr:colOff>
      <xdr:row>5</xdr:row>
      <xdr:rowOff>76200</xdr:rowOff>
    </xdr:to>
    <xdr:sp macro="" textlink="">
      <xdr:nvSpPr>
        <xdr:cNvPr id="4" name="AutoShape 9">
          <a:extLst>
            <a:ext uri="{FF2B5EF4-FFF2-40B4-BE49-F238E27FC236}">
              <a16:creationId xmlns:a16="http://schemas.microsoft.com/office/drawing/2014/main" id="{00000000-0008-0000-0A00-000004000000}"/>
            </a:ext>
          </a:extLst>
        </xdr:cNvPr>
        <xdr:cNvSpPr>
          <a:spLocks noChangeArrowheads="1"/>
        </xdr:cNvSpPr>
      </xdr:nvSpPr>
      <xdr:spPr bwMode="auto">
        <a:xfrm>
          <a:off x="1038225" y="704850"/>
          <a:ext cx="1276350" cy="22860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現年課税分の収納率</a:t>
          </a:r>
        </a:p>
      </xdr:txBody>
    </xdr:sp>
    <xdr:clientData/>
  </xdr:twoCellAnchor>
  <xdr:twoCellAnchor>
    <xdr:from>
      <xdr:col>4</xdr:col>
      <xdr:colOff>123825</xdr:colOff>
      <xdr:row>11</xdr:row>
      <xdr:rowOff>9525</xdr:rowOff>
    </xdr:from>
    <xdr:to>
      <xdr:col>9</xdr:col>
      <xdr:colOff>142875</xdr:colOff>
      <xdr:row>12</xdr:row>
      <xdr:rowOff>38100</xdr:rowOff>
    </xdr:to>
    <xdr:sp macro="" textlink="">
      <xdr:nvSpPr>
        <xdr:cNvPr id="5" name="AutoShape 10">
          <a:extLst>
            <a:ext uri="{FF2B5EF4-FFF2-40B4-BE49-F238E27FC236}">
              <a16:creationId xmlns:a16="http://schemas.microsoft.com/office/drawing/2014/main" id="{00000000-0008-0000-0A00-000005000000}"/>
            </a:ext>
          </a:extLst>
        </xdr:cNvPr>
        <xdr:cNvSpPr>
          <a:spLocks noChangeArrowheads="1"/>
        </xdr:cNvSpPr>
      </xdr:nvSpPr>
      <xdr:spPr bwMode="auto">
        <a:xfrm>
          <a:off x="1038225" y="1895475"/>
          <a:ext cx="1162050" cy="20002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市税総計の収納率</a:t>
          </a:r>
        </a:p>
      </xdr:txBody>
    </xdr:sp>
    <xdr:clientData/>
  </xdr:twoCellAnchor>
  <xdr:twoCellAnchor>
    <xdr:from>
      <xdr:col>13</xdr:col>
      <xdr:colOff>197827</xdr:colOff>
      <xdr:row>64</xdr:row>
      <xdr:rowOff>19050</xdr:rowOff>
    </xdr:from>
    <xdr:to>
      <xdr:col>17</xdr:col>
      <xdr:colOff>80843</xdr:colOff>
      <xdr:row>65</xdr:row>
      <xdr:rowOff>114299</xdr:rowOff>
    </xdr:to>
    <xdr:sp macro="" textlink="">
      <xdr:nvSpPr>
        <xdr:cNvPr id="6" name="Rectangle 17">
          <a:extLst>
            <a:ext uri="{FF2B5EF4-FFF2-40B4-BE49-F238E27FC236}">
              <a16:creationId xmlns:a16="http://schemas.microsoft.com/office/drawing/2014/main" id="{00000000-0008-0000-0A00-000006000000}"/>
            </a:ext>
          </a:extLst>
        </xdr:cNvPr>
        <xdr:cNvSpPr>
          <a:spLocks noChangeArrowheads="1"/>
        </xdr:cNvSpPr>
      </xdr:nvSpPr>
      <xdr:spPr bwMode="auto">
        <a:xfrm>
          <a:off x="3169627" y="11058525"/>
          <a:ext cx="797416" cy="266699"/>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課税年度</a:t>
          </a:r>
        </a:p>
      </xdr:txBody>
    </xdr:sp>
    <xdr:clientData/>
  </xdr:twoCellAnchor>
  <xdr:twoCellAnchor>
    <xdr:from>
      <xdr:col>28</xdr:col>
      <xdr:colOff>127001</xdr:colOff>
      <xdr:row>10</xdr:row>
      <xdr:rowOff>152403</xdr:rowOff>
    </xdr:from>
    <xdr:to>
      <xdr:col>30</xdr:col>
      <xdr:colOff>168276</xdr:colOff>
      <xdr:row>27</xdr:row>
      <xdr:rowOff>63504</xdr:rowOff>
    </xdr:to>
    <xdr:grpSp>
      <xdr:nvGrpSpPr>
        <xdr:cNvPr id="7" name="Group 24">
          <a:extLst>
            <a:ext uri="{FF2B5EF4-FFF2-40B4-BE49-F238E27FC236}">
              <a16:creationId xmlns:a16="http://schemas.microsoft.com/office/drawing/2014/main" id="{00000000-0008-0000-0A00-000007000000}"/>
            </a:ext>
          </a:extLst>
        </xdr:cNvPr>
        <xdr:cNvGrpSpPr>
          <a:grpSpLocks/>
        </xdr:cNvGrpSpPr>
      </xdr:nvGrpSpPr>
      <xdr:grpSpPr bwMode="auto">
        <a:xfrm rot="5400000">
          <a:off x="5364163" y="3030541"/>
          <a:ext cx="2825751" cy="498475"/>
          <a:chOff x="581" y="572"/>
          <a:chExt cx="168" cy="56"/>
        </a:xfrm>
      </xdr:grpSpPr>
      <xdr:sp macro=""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591" y="583"/>
            <a:ext cx="20" cy="14"/>
          </a:xfrm>
          <a:prstGeom prst="rect">
            <a:avLst/>
          </a:prstGeom>
          <a:solidFill>
            <a:srgbClr val="FFFFFF"/>
          </a:solidFill>
          <a:ln w="9525" algn="ctr">
            <a:solidFill>
              <a:srgbClr val="000000"/>
            </a:solidFill>
            <a:miter lim="800000"/>
            <a:headEnd/>
            <a:tailEnd/>
          </a:ln>
        </xdr:spPr>
      </xdr:sp>
      <xdr:sp macro="" textlink="">
        <xdr:nvSpPr>
          <xdr:cNvPr id="10" name="Text Box 27">
            <a:extLst>
              <a:ext uri="{FF2B5EF4-FFF2-40B4-BE49-F238E27FC236}">
                <a16:creationId xmlns:a16="http://schemas.microsoft.com/office/drawing/2014/main" id="{00000000-0008-0000-0A00-00000A000000}"/>
              </a:ext>
            </a:extLst>
          </xdr:cNvPr>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滞納繰越分の未収金</a:t>
            </a:r>
          </a:p>
        </xdr:txBody>
      </xdr:sp>
      <xdr:sp macro="" textlink="">
        <xdr:nvSpPr>
          <xdr:cNvPr id="11" name="Text Box 28">
            <a:extLst>
              <a:ext uri="{FF2B5EF4-FFF2-40B4-BE49-F238E27FC236}">
                <a16:creationId xmlns:a16="http://schemas.microsoft.com/office/drawing/2014/main" id="{00000000-0008-0000-0A00-00000B000000}"/>
              </a:ext>
            </a:extLst>
          </xdr:cNvPr>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rPr>
              <a:t>現年課税分の未収金</a:t>
            </a:r>
          </a:p>
        </xdr:txBody>
      </xdr:sp>
      <xdr:sp macro=""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6</xdr:col>
      <xdr:colOff>179854</xdr:colOff>
      <xdr:row>75</xdr:row>
      <xdr:rowOff>24837</xdr:rowOff>
    </xdr:from>
    <xdr:to>
      <xdr:col>10</xdr:col>
      <xdr:colOff>149482</xdr:colOff>
      <xdr:row>82</xdr:row>
      <xdr:rowOff>6909</xdr:rowOff>
    </xdr:to>
    <xdr:sp macro="" textlink="">
      <xdr:nvSpPr>
        <xdr:cNvPr id="13" name="Rectangle 16">
          <a:extLst>
            <a:ext uri="{FF2B5EF4-FFF2-40B4-BE49-F238E27FC236}">
              <a16:creationId xmlns:a16="http://schemas.microsoft.com/office/drawing/2014/main" id="{00000000-0008-0000-0A00-00000D000000}"/>
            </a:ext>
          </a:extLst>
        </xdr:cNvPr>
        <xdr:cNvSpPr>
          <a:spLocks noChangeArrowheads="1"/>
        </xdr:cNvSpPr>
      </xdr:nvSpPr>
      <xdr:spPr bwMode="auto">
        <a:xfrm>
          <a:off x="1551454" y="12950262"/>
          <a:ext cx="884028" cy="1182222"/>
        </a:xfrm>
        <a:prstGeom prst="rect">
          <a:avLst/>
        </a:prstGeom>
        <a:solidFill>
          <a:srgbClr val="FFFFFF"/>
        </a:solidFill>
        <a:ln w="9525">
          <a:solidFill>
            <a:srgbClr val="000000"/>
          </a:solidFill>
          <a:miter lim="800000"/>
          <a:headEnd/>
          <a:tailEnd/>
        </a:ln>
      </xdr:spPr>
    </xdr:sp>
    <xdr:clientData/>
  </xdr:twoCellAnchor>
  <xdr:twoCellAnchor>
    <xdr:from>
      <xdr:col>7</xdr:col>
      <xdr:colOff>5158</xdr:colOff>
      <xdr:row>80</xdr:row>
      <xdr:rowOff>132293</xdr:rowOff>
    </xdr:from>
    <xdr:to>
      <xdr:col>7</xdr:col>
      <xdr:colOff>177651</xdr:colOff>
      <xdr:row>81</xdr:row>
      <xdr:rowOff>131253</xdr:rowOff>
    </xdr:to>
    <xdr:sp macro="" textlink="">
      <xdr:nvSpPr>
        <xdr:cNvPr id="14" name="Rectangle 17">
          <a:extLst>
            <a:ext uri="{FF2B5EF4-FFF2-40B4-BE49-F238E27FC236}">
              <a16:creationId xmlns:a16="http://schemas.microsoft.com/office/drawing/2014/main" id="{00000000-0008-0000-0A00-00000E000000}"/>
            </a:ext>
          </a:extLst>
        </xdr:cNvPr>
        <xdr:cNvSpPr>
          <a:spLocks noChangeArrowheads="1"/>
        </xdr:cNvSpPr>
      </xdr:nvSpPr>
      <xdr:spPr bwMode="auto">
        <a:xfrm>
          <a:off x="1605358" y="13914968"/>
          <a:ext cx="172493" cy="170410"/>
        </a:xfrm>
        <a:prstGeom prst="rect">
          <a:avLst/>
        </a:prstGeom>
        <a:solidFill>
          <a:srgbClr val="9999FF"/>
        </a:solidFill>
        <a:ln w="9525">
          <a:solidFill>
            <a:srgbClr val="000000"/>
          </a:solidFill>
          <a:miter lim="800000"/>
          <a:headEnd/>
          <a:tailEnd/>
        </a:ln>
      </xdr:spPr>
    </xdr:sp>
    <xdr:clientData/>
  </xdr:twoCellAnchor>
  <xdr:twoCellAnchor>
    <xdr:from>
      <xdr:col>7</xdr:col>
      <xdr:colOff>5158</xdr:colOff>
      <xdr:row>79</xdr:row>
      <xdr:rowOff>80080</xdr:rowOff>
    </xdr:from>
    <xdr:to>
      <xdr:col>7</xdr:col>
      <xdr:colOff>177651</xdr:colOff>
      <xdr:row>80</xdr:row>
      <xdr:rowOff>79040</xdr:rowOff>
    </xdr:to>
    <xdr:sp macro="" textlink="">
      <xdr:nvSpPr>
        <xdr:cNvPr id="15" name="Rectangle 18" descr="20%">
          <a:extLst>
            <a:ext uri="{FF2B5EF4-FFF2-40B4-BE49-F238E27FC236}">
              <a16:creationId xmlns:a16="http://schemas.microsoft.com/office/drawing/2014/main" id="{00000000-0008-0000-0A00-00000F000000}"/>
            </a:ext>
          </a:extLst>
        </xdr:cNvPr>
        <xdr:cNvSpPr>
          <a:spLocks noChangeArrowheads="1"/>
        </xdr:cNvSpPr>
      </xdr:nvSpPr>
      <xdr:spPr bwMode="auto">
        <a:xfrm>
          <a:off x="1605358" y="13691305"/>
          <a:ext cx="172493" cy="170410"/>
        </a:xfrm>
        <a:prstGeom prst="rect">
          <a:avLst/>
        </a:prstGeom>
        <a:pattFill prst="pct2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78</xdr:row>
      <xdr:rowOff>38517</xdr:rowOff>
    </xdr:from>
    <xdr:to>
      <xdr:col>7</xdr:col>
      <xdr:colOff>177651</xdr:colOff>
      <xdr:row>79</xdr:row>
      <xdr:rowOff>37477</xdr:rowOff>
    </xdr:to>
    <xdr:sp macro="" textlink="">
      <xdr:nvSpPr>
        <xdr:cNvPr id="16" name="Rectangle 19">
          <a:extLst>
            <a:ext uri="{FF2B5EF4-FFF2-40B4-BE49-F238E27FC236}">
              <a16:creationId xmlns:a16="http://schemas.microsoft.com/office/drawing/2014/main" id="{00000000-0008-0000-0A00-000010000000}"/>
            </a:ext>
          </a:extLst>
        </xdr:cNvPr>
        <xdr:cNvSpPr>
          <a:spLocks noChangeArrowheads="1"/>
        </xdr:cNvSpPr>
      </xdr:nvSpPr>
      <xdr:spPr bwMode="auto">
        <a:xfrm>
          <a:off x="1605358" y="13478292"/>
          <a:ext cx="172493" cy="170410"/>
        </a:xfrm>
        <a:prstGeom prst="rect">
          <a:avLst/>
        </a:prstGeom>
        <a:solidFill>
          <a:srgbClr val="FFFF99"/>
        </a:solidFill>
        <a:ln w="9525">
          <a:solidFill>
            <a:srgbClr val="000000"/>
          </a:solidFill>
          <a:miter lim="800000"/>
          <a:headEnd/>
          <a:tailEnd/>
        </a:ln>
      </xdr:spPr>
    </xdr:sp>
    <xdr:clientData/>
  </xdr:twoCellAnchor>
  <xdr:twoCellAnchor>
    <xdr:from>
      <xdr:col>7</xdr:col>
      <xdr:colOff>5158</xdr:colOff>
      <xdr:row>76</xdr:row>
      <xdr:rowOff>168404</xdr:rowOff>
    </xdr:from>
    <xdr:to>
      <xdr:col>7</xdr:col>
      <xdr:colOff>177651</xdr:colOff>
      <xdr:row>77</xdr:row>
      <xdr:rowOff>167364</xdr:rowOff>
    </xdr:to>
    <xdr:sp macro="" textlink="">
      <xdr:nvSpPr>
        <xdr:cNvPr id="17" name="Rectangle 20" descr="30%">
          <a:extLst>
            <a:ext uri="{FF2B5EF4-FFF2-40B4-BE49-F238E27FC236}">
              <a16:creationId xmlns:a16="http://schemas.microsoft.com/office/drawing/2014/main" id="{00000000-0008-0000-0A00-000011000000}"/>
            </a:ext>
          </a:extLst>
        </xdr:cNvPr>
        <xdr:cNvSpPr>
          <a:spLocks noChangeArrowheads="1"/>
        </xdr:cNvSpPr>
      </xdr:nvSpPr>
      <xdr:spPr bwMode="auto">
        <a:xfrm>
          <a:off x="1605358" y="13265279"/>
          <a:ext cx="172493" cy="170410"/>
        </a:xfrm>
        <a:prstGeom prst="rect">
          <a:avLst/>
        </a:prstGeom>
        <a:pattFill prst="pct3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75</xdr:row>
      <xdr:rowOff>126841</xdr:rowOff>
    </xdr:from>
    <xdr:to>
      <xdr:col>7</xdr:col>
      <xdr:colOff>177651</xdr:colOff>
      <xdr:row>76</xdr:row>
      <xdr:rowOff>125801</xdr:rowOff>
    </xdr:to>
    <xdr:sp macro="" textlink="">
      <xdr:nvSpPr>
        <xdr:cNvPr id="18" name="Rectangle 21">
          <a:extLst>
            <a:ext uri="{FF2B5EF4-FFF2-40B4-BE49-F238E27FC236}">
              <a16:creationId xmlns:a16="http://schemas.microsoft.com/office/drawing/2014/main" id="{00000000-0008-0000-0A00-000012000000}"/>
            </a:ext>
          </a:extLst>
        </xdr:cNvPr>
        <xdr:cNvSpPr>
          <a:spLocks noChangeArrowheads="1"/>
        </xdr:cNvSpPr>
      </xdr:nvSpPr>
      <xdr:spPr bwMode="auto">
        <a:xfrm>
          <a:off x="1605358" y="13052266"/>
          <a:ext cx="172493" cy="170410"/>
        </a:xfrm>
        <a:prstGeom prst="rect">
          <a:avLst/>
        </a:prstGeom>
        <a:solidFill>
          <a:srgbClr val="66FFCC"/>
        </a:solidFill>
        <a:ln w="9525">
          <a:solidFill>
            <a:srgbClr val="000000"/>
          </a:solidFill>
          <a:miter lim="800000"/>
          <a:headEnd/>
          <a:tailEnd/>
        </a:ln>
      </xdr:spPr>
    </xdr:sp>
    <xdr:clientData/>
  </xdr:twoCellAnchor>
  <xdr:twoCellAnchor>
    <xdr:from>
      <xdr:col>27</xdr:col>
      <xdr:colOff>95249</xdr:colOff>
      <xdr:row>49</xdr:row>
      <xdr:rowOff>68036</xdr:rowOff>
    </xdr:from>
    <xdr:to>
      <xdr:col>31</xdr:col>
      <xdr:colOff>118781</xdr:colOff>
      <xdr:row>56</xdr:row>
      <xdr:rowOff>50108</xdr:rowOff>
    </xdr:to>
    <xdr:grpSp>
      <xdr:nvGrpSpPr>
        <xdr:cNvPr id="19" name="Group 27">
          <a:extLst>
            <a:ext uri="{FF2B5EF4-FFF2-40B4-BE49-F238E27FC236}">
              <a16:creationId xmlns:a16="http://schemas.microsoft.com/office/drawing/2014/main" id="{00000000-0008-0000-0A00-000013000000}"/>
            </a:ext>
          </a:extLst>
        </xdr:cNvPr>
        <xdr:cNvGrpSpPr>
          <a:grpSpLocks/>
        </xdr:cNvGrpSpPr>
      </xdr:nvGrpSpPr>
      <xdr:grpSpPr bwMode="auto">
        <a:xfrm>
          <a:off x="6267449" y="8535761"/>
          <a:ext cx="937932" cy="1182222"/>
          <a:chOff x="748" y="862"/>
          <a:chExt cx="87" cy="111"/>
        </a:xfrm>
      </xdr:grpSpPr>
      <xdr:sp macro="" textlink="">
        <xdr:nvSpPr>
          <xdr:cNvPr id="20" name="Rectangle 16">
            <a:extLst>
              <a:ext uri="{FF2B5EF4-FFF2-40B4-BE49-F238E27FC236}">
                <a16:creationId xmlns:a16="http://schemas.microsoft.com/office/drawing/2014/main" id="{00000000-0008-0000-0A00-000014000000}"/>
              </a:ext>
            </a:extLst>
          </xdr:cNvPr>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1" name="Rectangle 17">
            <a:extLst>
              <a:ext uri="{FF2B5EF4-FFF2-40B4-BE49-F238E27FC236}">
                <a16:creationId xmlns:a16="http://schemas.microsoft.com/office/drawing/2014/main" id="{00000000-0008-0000-0A00-000015000000}"/>
              </a:ext>
            </a:extLst>
          </xdr:cNvPr>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2" name="Rectangle 18" descr="20%">
            <a:extLst>
              <a:ext uri="{FF2B5EF4-FFF2-40B4-BE49-F238E27FC236}">
                <a16:creationId xmlns:a16="http://schemas.microsoft.com/office/drawing/2014/main" id="{00000000-0008-0000-0A00-000016000000}"/>
              </a:ext>
            </a:extLst>
          </xdr:cNvPr>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3" name="Rectangle 19">
            <a:extLst>
              <a:ext uri="{FF2B5EF4-FFF2-40B4-BE49-F238E27FC236}">
                <a16:creationId xmlns:a16="http://schemas.microsoft.com/office/drawing/2014/main" id="{00000000-0008-0000-0A00-000017000000}"/>
              </a:ext>
            </a:extLst>
          </xdr:cNvPr>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4" name="Rectangle 20" descr="30%">
            <a:extLst>
              <a:ext uri="{FF2B5EF4-FFF2-40B4-BE49-F238E27FC236}">
                <a16:creationId xmlns:a16="http://schemas.microsoft.com/office/drawing/2014/main" id="{00000000-0008-0000-0A00-000018000000}"/>
              </a:ext>
            </a:extLst>
          </xdr:cNvPr>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5" name="Rectangle 21">
            <a:extLst>
              <a:ext uri="{FF2B5EF4-FFF2-40B4-BE49-F238E27FC236}">
                <a16:creationId xmlns:a16="http://schemas.microsoft.com/office/drawing/2014/main" id="{00000000-0008-0000-0A00-000019000000}"/>
              </a:ext>
            </a:extLst>
          </xdr:cNvPr>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6" name="Text Box 22">
            <a:extLst>
              <a:ext uri="{FF2B5EF4-FFF2-40B4-BE49-F238E27FC236}">
                <a16:creationId xmlns:a16="http://schemas.microsoft.com/office/drawing/2014/main" id="{00000000-0008-0000-0A00-00001A000000}"/>
              </a:ext>
            </a:extLst>
          </xdr:cNvPr>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7" name="Text Box 23">
            <a:extLst>
              <a:ext uri="{FF2B5EF4-FFF2-40B4-BE49-F238E27FC236}">
                <a16:creationId xmlns:a16="http://schemas.microsoft.com/office/drawing/2014/main" id="{00000000-0008-0000-0A00-00001B000000}"/>
              </a:ext>
            </a:extLst>
          </xdr:cNvPr>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4">
            <a:extLst>
              <a:ext uri="{FF2B5EF4-FFF2-40B4-BE49-F238E27FC236}">
                <a16:creationId xmlns:a16="http://schemas.microsoft.com/office/drawing/2014/main" id="{00000000-0008-0000-0A00-00001C000000}"/>
              </a:ext>
            </a:extLst>
          </xdr:cNvPr>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2</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5">
            <a:extLst>
              <a:ext uri="{FF2B5EF4-FFF2-40B4-BE49-F238E27FC236}">
                <a16:creationId xmlns:a16="http://schemas.microsoft.com/office/drawing/2014/main" id="{00000000-0008-0000-0A00-00001D000000}"/>
              </a:ext>
            </a:extLst>
          </xdr:cNvPr>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1</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0" name="Text Box 26">
            <a:extLst>
              <a:ext uri="{FF2B5EF4-FFF2-40B4-BE49-F238E27FC236}">
                <a16:creationId xmlns:a16="http://schemas.microsoft.com/office/drawing/2014/main" id="{00000000-0008-0000-0A00-00001E000000}"/>
              </a:ext>
            </a:extLst>
          </xdr:cNvPr>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課税年度</a:t>
            </a:r>
          </a:p>
        </xdr:txBody>
      </xdr:sp>
    </xdr:grpSp>
    <xdr:clientData/>
  </xdr:twoCellAnchor>
  <xdr:twoCellAnchor>
    <xdr:from>
      <xdr:col>6</xdr:col>
      <xdr:colOff>47625</xdr:colOff>
      <xdr:row>40</xdr:row>
      <xdr:rowOff>85725</xdr:rowOff>
    </xdr:from>
    <xdr:to>
      <xdr:col>8</xdr:col>
      <xdr:colOff>190471</xdr:colOff>
      <xdr:row>41</xdr:row>
      <xdr:rowOff>123859</xdr:rowOff>
    </xdr:to>
    <xdr:sp macro="" textlink="">
      <xdr:nvSpPr>
        <xdr:cNvPr id="31" name="正方形/長方形 30">
          <a:extLst>
            <a:ext uri="{FF2B5EF4-FFF2-40B4-BE49-F238E27FC236}">
              <a16:creationId xmlns:a16="http://schemas.microsoft.com/office/drawing/2014/main" id="{00000000-0008-0000-0A00-00001F000000}"/>
            </a:ext>
          </a:extLst>
        </xdr:cNvPr>
        <xdr:cNvSpPr/>
      </xdr:nvSpPr>
      <xdr:spPr bwMode="auto">
        <a:xfrm>
          <a:off x="1419225" y="7010400"/>
          <a:ext cx="600046" cy="209584"/>
        </a:xfrm>
        <a:prstGeom prst="rect">
          <a:avLst/>
        </a:prstGeom>
        <a:no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90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0.03</a:t>
          </a:r>
          <a:r>
            <a:rPr lang="ja-JP" altLang="en-US" sz="90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a:t>
          </a:r>
          <a:endParaRPr lang="ja-JP" sz="90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endParaRPr>
        </a:p>
      </xdr:txBody>
    </xdr:sp>
    <xdr:clientData/>
  </xdr:twoCellAnchor>
  <xdr:twoCellAnchor>
    <xdr:from>
      <xdr:col>18</xdr:col>
      <xdr:colOff>219075</xdr:colOff>
      <xdr:row>5</xdr:row>
      <xdr:rowOff>133350</xdr:rowOff>
    </xdr:from>
    <xdr:to>
      <xdr:col>18</xdr:col>
      <xdr:colOff>219075</xdr:colOff>
      <xdr:row>34</xdr:row>
      <xdr:rowOff>28575</xdr:rowOff>
    </xdr:to>
    <xdr:cxnSp macro="">
      <xdr:nvCxnSpPr>
        <xdr:cNvPr id="32" name="直線コネクタ 31">
          <a:extLst>
            <a:ext uri="{FF2B5EF4-FFF2-40B4-BE49-F238E27FC236}">
              <a16:creationId xmlns:a16="http://schemas.microsoft.com/office/drawing/2014/main" id="{00000000-0008-0000-0A00-000020000000}"/>
            </a:ext>
          </a:extLst>
        </xdr:cNvPr>
        <xdr:cNvCxnSpPr/>
      </xdr:nvCxnSpPr>
      <xdr:spPr bwMode="auto">
        <a:xfrm>
          <a:off x="4333875" y="990600"/>
          <a:ext cx="0" cy="4867275"/>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22</xdr:col>
      <xdr:colOff>104775</xdr:colOff>
      <xdr:row>5</xdr:row>
      <xdr:rowOff>133350</xdr:rowOff>
    </xdr:from>
    <xdr:to>
      <xdr:col>22</xdr:col>
      <xdr:colOff>104775</xdr:colOff>
      <xdr:row>34</xdr:row>
      <xdr:rowOff>28575</xdr:rowOff>
    </xdr:to>
    <xdr:cxnSp macro="">
      <xdr:nvCxnSpPr>
        <xdr:cNvPr id="33" name="直線コネクタ 32">
          <a:extLst>
            <a:ext uri="{FF2B5EF4-FFF2-40B4-BE49-F238E27FC236}">
              <a16:creationId xmlns:a16="http://schemas.microsoft.com/office/drawing/2014/main" id="{00000000-0008-0000-0A00-000021000000}"/>
            </a:ext>
          </a:extLst>
        </xdr:cNvPr>
        <xdr:cNvCxnSpPr/>
      </xdr:nvCxnSpPr>
      <xdr:spPr bwMode="auto">
        <a:xfrm>
          <a:off x="5133975" y="990600"/>
          <a:ext cx="0" cy="4867275"/>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19</xdr:col>
      <xdr:colOff>47625</xdr:colOff>
      <xdr:row>31</xdr:row>
      <xdr:rowOff>133350</xdr:rowOff>
    </xdr:from>
    <xdr:to>
      <xdr:col>22</xdr:col>
      <xdr:colOff>114300</xdr:colOff>
      <xdr:row>34</xdr:row>
      <xdr:rowOff>85396</xdr:rowOff>
    </xdr:to>
    <xdr:sp macro="" textlink="">
      <xdr:nvSpPr>
        <xdr:cNvPr id="34" name="テキスト ボックス 33">
          <a:extLst>
            <a:ext uri="{FF2B5EF4-FFF2-40B4-BE49-F238E27FC236}">
              <a16:creationId xmlns:a16="http://schemas.microsoft.com/office/drawing/2014/main" id="{00000000-0008-0000-0A00-000022000000}"/>
            </a:ext>
          </a:extLst>
        </xdr:cNvPr>
        <xdr:cNvSpPr txBox="1"/>
      </xdr:nvSpPr>
      <xdr:spPr>
        <a:xfrm>
          <a:off x="4391025" y="5448300"/>
          <a:ext cx="752475" cy="466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メイリオ" panose="020B0604030504040204" pitchFamily="50" charset="-128"/>
              <a:ea typeface="メイリオ" panose="020B0604030504040204" pitchFamily="50" charset="-128"/>
            </a:rPr>
            <a:t>徴収猶予の特例</a:t>
          </a:r>
          <a:endParaRPr kumimoji="1" lang="en-US" altLang="ja-JP" sz="600">
            <a:latin typeface="メイリオ" panose="020B0604030504040204" pitchFamily="50" charset="-128"/>
            <a:ea typeface="メイリオ" panose="020B0604030504040204" pitchFamily="50" charset="-128"/>
          </a:endParaRPr>
        </a:p>
        <a:p>
          <a:r>
            <a:rPr kumimoji="1" lang="ja-JP" altLang="en-US" sz="600">
              <a:latin typeface="メイリオ" panose="020B0604030504040204" pitchFamily="50" charset="-128"/>
              <a:ea typeface="メイリオ" panose="020B0604030504040204" pitchFamily="50" charset="-128"/>
            </a:rPr>
            <a:t>の影響除く</a:t>
          </a:r>
        </a:p>
      </xdr:txBody>
    </xdr:sp>
    <xdr:clientData/>
  </xdr:twoCellAnchor>
  <xdr:twoCellAnchor>
    <xdr:from>
      <xdr:col>19</xdr:col>
      <xdr:colOff>47625</xdr:colOff>
      <xdr:row>31</xdr:row>
      <xdr:rowOff>123825</xdr:rowOff>
    </xdr:from>
    <xdr:to>
      <xdr:col>22</xdr:col>
      <xdr:colOff>76200</xdr:colOff>
      <xdr:row>33</xdr:row>
      <xdr:rowOff>123825</xdr:rowOff>
    </xdr:to>
    <xdr:sp macro="" textlink="">
      <xdr:nvSpPr>
        <xdr:cNvPr id="35" name="大かっこ 34">
          <a:extLst>
            <a:ext uri="{FF2B5EF4-FFF2-40B4-BE49-F238E27FC236}">
              <a16:creationId xmlns:a16="http://schemas.microsoft.com/office/drawing/2014/main" id="{00000000-0008-0000-0A00-000023000000}"/>
            </a:ext>
          </a:extLst>
        </xdr:cNvPr>
        <xdr:cNvSpPr/>
      </xdr:nvSpPr>
      <xdr:spPr bwMode="auto">
        <a:xfrm>
          <a:off x="4391025" y="5438775"/>
          <a:ext cx="714375" cy="3429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28576</xdr:colOff>
      <xdr:row>5</xdr:row>
      <xdr:rowOff>161925</xdr:rowOff>
    </xdr:from>
    <xdr:to>
      <xdr:col>23</xdr:col>
      <xdr:colOff>190500</xdr:colOff>
      <xdr:row>7</xdr:row>
      <xdr:rowOff>57150</xdr:rowOff>
    </xdr:to>
    <xdr:sp macro="" textlink="">
      <xdr:nvSpPr>
        <xdr:cNvPr id="36" name="テキスト ボックス 35">
          <a:extLst>
            <a:ext uri="{FF2B5EF4-FFF2-40B4-BE49-F238E27FC236}">
              <a16:creationId xmlns:a16="http://schemas.microsoft.com/office/drawing/2014/main" id="{00000000-0008-0000-0A00-000024000000}"/>
            </a:ext>
          </a:extLst>
        </xdr:cNvPr>
        <xdr:cNvSpPr txBox="1"/>
      </xdr:nvSpPr>
      <xdr:spPr>
        <a:xfrm>
          <a:off x="4371976" y="1019175"/>
          <a:ext cx="10763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19</xdr:col>
      <xdr:colOff>9525</xdr:colOff>
      <xdr:row>8</xdr:row>
      <xdr:rowOff>114300</xdr:rowOff>
    </xdr:from>
    <xdr:to>
      <xdr:col>23</xdr:col>
      <xdr:colOff>171449</xdr:colOff>
      <xdr:row>10</xdr:row>
      <xdr:rowOff>9525</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4352925" y="1485900"/>
          <a:ext cx="10763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twoCellAnchor>
    <xdr:from>
      <xdr:col>19</xdr:col>
      <xdr:colOff>161925</xdr:colOff>
      <xdr:row>40</xdr:row>
      <xdr:rowOff>28575</xdr:rowOff>
    </xdr:from>
    <xdr:to>
      <xdr:col>19</xdr:col>
      <xdr:colOff>161925</xdr:colOff>
      <xdr:row>65</xdr:row>
      <xdr:rowOff>104775</xdr:rowOff>
    </xdr:to>
    <xdr:cxnSp macro="">
      <xdr:nvCxnSpPr>
        <xdr:cNvPr id="38" name="直線コネクタ 37">
          <a:extLst>
            <a:ext uri="{FF2B5EF4-FFF2-40B4-BE49-F238E27FC236}">
              <a16:creationId xmlns:a16="http://schemas.microsoft.com/office/drawing/2014/main" id="{00000000-0008-0000-0A00-000026000000}"/>
            </a:ext>
          </a:extLst>
        </xdr:cNvPr>
        <xdr:cNvCxnSpPr/>
      </xdr:nvCxnSpPr>
      <xdr:spPr bwMode="auto">
        <a:xfrm>
          <a:off x="4505325" y="6953250"/>
          <a:ext cx="0" cy="436245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23</xdr:col>
      <xdr:colOff>57150</xdr:colOff>
      <xdr:row>40</xdr:row>
      <xdr:rowOff>38100</xdr:rowOff>
    </xdr:from>
    <xdr:to>
      <xdr:col>23</xdr:col>
      <xdr:colOff>57150</xdr:colOff>
      <xdr:row>65</xdr:row>
      <xdr:rowOff>114300</xdr:rowOff>
    </xdr:to>
    <xdr:cxnSp macro="">
      <xdr:nvCxnSpPr>
        <xdr:cNvPr id="39" name="直線コネクタ 38">
          <a:extLst>
            <a:ext uri="{FF2B5EF4-FFF2-40B4-BE49-F238E27FC236}">
              <a16:creationId xmlns:a16="http://schemas.microsoft.com/office/drawing/2014/main" id="{00000000-0008-0000-0A00-000027000000}"/>
            </a:ext>
          </a:extLst>
        </xdr:cNvPr>
        <xdr:cNvCxnSpPr/>
      </xdr:nvCxnSpPr>
      <xdr:spPr bwMode="auto">
        <a:xfrm>
          <a:off x="5314950" y="6962775"/>
          <a:ext cx="0" cy="436245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20</xdr:col>
      <xdr:colOff>0</xdr:colOff>
      <xdr:row>63</xdr:row>
      <xdr:rowOff>85725</xdr:rowOff>
    </xdr:from>
    <xdr:to>
      <xdr:col>23</xdr:col>
      <xdr:colOff>66675</xdr:colOff>
      <xdr:row>66</xdr:row>
      <xdr:rowOff>58616</xdr:rowOff>
    </xdr:to>
    <xdr:sp macro="" textlink="">
      <xdr:nvSpPr>
        <xdr:cNvPr id="40" name="テキスト ボックス 39">
          <a:extLst>
            <a:ext uri="{FF2B5EF4-FFF2-40B4-BE49-F238E27FC236}">
              <a16:creationId xmlns:a16="http://schemas.microsoft.com/office/drawing/2014/main" id="{00000000-0008-0000-0A00-000028000000}"/>
            </a:ext>
          </a:extLst>
        </xdr:cNvPr>
        <xdr:cNvSpPr txBox="1"/>
      </xdr:nvSpPr>
      <xdr:spPr>
        <a:xfrm>
          <a:off x="4572000" y="10953750"/>
          <a:ext cx="752475" cy="487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メイリオ" panose="020B0604030504040204" pitchFamily="50" charset="-128"/>
              <a:ea typeface="メイリオ" panose="020B0604030504040204" pitchFamily="50" charset="-128"/>
            </a:rPr>
            <a:t>徴収猶予の特例</a:t>
          </a:r>
          <a:endParaRPr kumimoji="1" lang="en-US" altLang="ja-JP" sz="600">
            <a:latin typeface="メイリオ" panose="020B0604030504040204" pitchFamily="50" charset="-128"/>
            <a:ea typeface="メイリオ" panose="020B0604030504040204" pitchFamily="50" charset="-128"/>
          </a:endParaRPr>
        </a:p>
        <a:p>
          <a:r>
            <a:rPr kumimoji="1" lang="ja-JP" altLang="en-US" sz="600">
              <a:latin typeface="メイリオ" panose="020B0604030504040204" pitchFamily="50" charset="-128"/>
              <a:ea typeface="メイリオ" panose="020B0604030504040204" pitchFamily="50" charset="-128"/>
            </a:rPr>
            <a:t>の影響除く</a:t>
          </a:r>
        </a:p>
      </xdr:txBody>
    </xdr:sp>
    <xdr:clientData/>
  </xdr:twoCellAnchor>
  <xdr:twoCellAnchor>
    <xdr:from>
      <xdr:col>19</xdr:col>
      <xdr:colOff>200025</xdr:colOff>
      <xdr:row>63</xdr:row>
      <xdr:rowOff>85725</xdr:rowOff>
    </xdr:from>
    <xdr:to>
      <xdr:col>23</xdr:col>
      <xdr:colOff>0</xdr:colOff>
      <xdr:row>65</xdr:row>
      <xdr:rowOff>85725</xdr:rowOff>
    </xdr:to>
    <xdr:sp macro="" textlink="">
      <xdr:nvSpPr>
        <xdr:cNvPr id="41" name="大かっこ 40">
          <a:extLst>
            <a:ext uri="{FF2B5EF4-FFF2-40B4-BE49-F238E27FC236}">
              <a16:creationId xmlns:a16="http://schemas.microsoft.com/office/drawing/2014/main" id="{00000000-0008-0000-0A00-000029000000}"/>
            </a:ext>
          </a:extLst>
        </xdr:cNvPr>
        <xdr:cNvSpPr/>
      </xdr:nvSpPr>
      <xdr:spPr bwMode="auto">
        <a:xfrm>
          <a:off x="4543425" y="10953750"/>
          <a:ext cx="714375" cy="3429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76199</xdr:colOff>
      <xdr:row>8</xdr:row>
      <xdr:rowOff>95250</xdr:rowOff>
    </xdr:from>
    <xdr:to>
      <xdr:col>30</xdr:col>
      <xdr:colOff>47624</xdr:colOff>
      <xdr:row>9</xdr:row>
      <xdr:rowOff>161925</xdr:rowOff>
    </xdr:to>
    <xdr:sp macro="" textlink="">
      <xdr:nvSpPr>
        <xdr:cNvPr id="42" name="テキスト ボックス 41">
          <a:extLst>
            <a:ext uri="{FF2B5EF4-FFF2-40B4-BE49-F238E27FC236}">
              <a16:creationId xmlns:a16="http://schemas.microsoft.com/office/drawing/2014/main" id="{00000000-0008-0000-0A00-00002A000000}"/>
            </a:ext>
          </a:extLst>
        </xdr:cNvPr>
        <xdr:cNvSpPr txBox="1"/>
      </xdr:nvSpPr>
      <xdr:spPr>
        <a:xfrm>
          <a:off x="5791199" y="1466850"/>
          <a:ext cx="1114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98.7</a:t>
          </a: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8913;6&#12487;&#12540;&#12479;%20(&#12459;&#12513;&#125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8913;&#65300;&#12487;&#12540;&#12479;"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da0013&#65288;&#31246;&#36001;&#25919;&#20225;&#30011;&#65319;&#65289;/03%20&#31246;&#21046;&#12521;&#12452;&#12531;/02%20&#31246;&#35336;&#25968;&#38306;&#20418;/01&#12288;&#24066;&#31246;/R4&#24180;&#24230;/R3&#27770;&#31639;/05&#12288;&#26222;&#36890;&#20250;&#35336;&#12503;&#12524;&#12473;&#65288;&#65304;&#26376;&#38957;&#12395;&#29031;&#20250;&#12354;&#12426;&#65289;/&#26222;&#36890;&#20250;&#35336;&#12503;&#12524;&#12473;&#36039;&#260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5825374\AppData\Local\Microsoft\Windows\INetCache\Content.Outlook\E0OCWH7U\&#12304;&#20462;&#27491;&#20013;&#12305;&#26222;&#36890;&#20250;&#35336;&#12503;&#12524;&#12473;&#36039;&#26009;&#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頁6データ (カメラ)"/>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頁４データ"/>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没】課税年度別収入歩合"/>
      <sheetName val="Sheet1"/>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row r="83">
          <cell r="B83">
            <v>0.98599999999999999</v>
          </cell>
        </row>
      </sheetData>
      <sheetData sheetId="1" refreshError="1"/>
      <sheetData sheetId="2">
        <row r="39">
          <cell r="B39">
            <v>627167</v>
          </cell>
          <cell r="D39">
            <v>617600</v>
          </cell>
        </row>
      </sheetData>
      <sheetData sheetId="3" refreshError="1"/>
      <sheetData sheetId="4">
        <row r="39">
          <cell r="B39">
            <v>627558</v>
          </cell>
          <cell r="D39">
            <v>619504</v>
          </cell>
        </row>
      </sheetData>
      <sheetData sheetId="5">
        <row r="5">
          <cell r="H5">
            <v>348</v>
          </cell>
        </row>
        <row r="6">
          <cell r="H6">
            <v>735</v>
          </cell>
        </row>
        <row r="7">
          <cell r="H7">
            <v>1337</v>
          </cell>
        </row>
        <row r="8">
          <cell r="H8">
            <v>3466</v>
          </cell>
        </row>
      </sheetData>
      <sheetData sheetId="6">
        <row r="39">
          <cell r="B39">
            <v>636694</v>
          </cell>
          <cell r="D39">
            <v>629609</v>
          </cell>
        </row>
      </sheetData>
      <sheetData sheetId="7">
        <row r="5">
          <cell r="H5">
            <v>468</v>
          </cell>
        </row>
        <row r="6">
          <cell r="H6">
            <v>750</v>
          </cell>
        </row>
        <row r="7">
          <cell r="H7">
            <v>1276</v>
          </cell>
        </row>
        <row r="8">
          <cell r="H8">
            <v>3260</v>
          </cell>
        </row>
      </sheetData>
      <sheetData sheetId="8">
        <row r="39">
          <cell r="B39">
            <v>627027</v>
          </cell>
          <cell r="D39">
            <v>621099</v>
          </cell>
        </row>
      </sheetData>
      <sheetData sheetId="9">
        <row r="5">
          <cell r="H5">
            <v>506</v>
          </cell>
        </row>
        <row r="6">
          <cell r="H6">
            <v>723</v>
          </cell>
        </row>
        <row r="7">
          <cell r="H7">
            <v>1079</v>
          </cell>
        </row>
        <row r="8">
          <cell r="H8">
            <v>2891</v>
          </cell>
        </row>
      </sheetData>
      <sheetData sheetId="10">
        <row r="39">
          <cell r="B39">
            <v>641765</v>
          </cell>
          <cell r="D39">
            <v>636500</v>
          </cell>
        </row>
      </sheetData>
      <sheetData sheetId="11">
        <row r="5">
          <cell r="H5">
            <v>482</v>
          </cell>
        </row>
        <row r="6">
          <cell r="H6">
            <v>598</v>
          </cell>
        </row>
        <row r="7">
          <cell r="H7">
            <v>942</v>
          </cell>
        </row>
        <row r="8">
          <cell r="H8">
            <v>2485</v>
          </cell>
        </row>
      </sheetData>
      <sheetData sheetId="12">
        <row r="39">
          <cell r="B39">
            <v>660105</v>
          </cell>
          <cell r="D39">
            <v>655221</v>
          </cell>
        </row>
      </sheetData>
      <sheetData sheetId="13">
        <row r="5">
          <cell r="H5">
            <v>270</v>
          </cell>
        </row>
        <row r="6">
          <cell r="H6">
            <v>388</v>
          </cell>
        </row>
        <row r="7">
          <cell r="H7">
            <v>695</v>
          </cell>
        </row>
        <row r="8">
          <cell r="H8">
            <v>2133</v>
          </cell>
        </row>
      </sheetData>
      <sheetData sheetId="14">
        <row r="39">
          <cell r="B39">
            <v>660348</v>
          </cell>
          <cell r="D39">
            <v>655980</v>
          </cell>
        </row>
      </sheetData>
      <sheetData sheetId="15">
        <row r="5">
          <cell r="H5">
            <v>271</v>
          </cell>
        </row>
        <row r="6">
          <cell r="H6">
            <v>408</v>
          </cell>
        </row>
        <row r="7">
          <cell r="H7">
            <v>740</v>
          </cell>
        </row>
        <row r="8">
          <cell r="H8">
            <v>2134</v>
          </cell>
        </row>
      </sheetData>
      <sheetData sheetId="16">
        <row r="39">
          <cell r="B39">
            <v>659834</v>
          </cell>
          <cell r="D39">
            <v>655789</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5:I22"/>
  <sheetViews>
    <sheetView tabSelected="1" view="pageBreakPreview" zoomScaleNormal="85" zoomScaleSheetLayoutView="100" workbookViewId="0"/>
  </sheetViews>
  <sheetFormatPr defaultRowHeight="13.5"/>
  <cols>
    <col min="1" max="1" width="9.140625" style="94"/>
    <col min="2" max="2" width="7.140625" style="94" customWidth="1"/>
    <col min="3" max="4" width="9.140625" style="94"/>
    <col min="5" max="5" width="17.140625" style="94" customWidth="1"/>
    <col min="6" max="7" width="9.140625" style="94"/>
    <col min="8" max="8" width="7.140625" style="94" customWidth="1"/>
    <col min="9" max="16384" width="9.140625" style="94"/>
  </cols>
  <sheetData>
    <row r="5" spans="1:9">
      <c r="F5" s="99"/>
    </row>
    <row r="10" spans="1:9" ht="78" customHeight="1">
      <c r="E10" s="99"/>
    </row>
    <row r="11" spans="1:9" s="265" customFormat="1" ht="35.25">
      <c r="A11" s="525" t="s">
        <v>336</v>
      </c>
      <c r="B11" s="525"/>
      <c r="C11" s="525"/>
      <c r="D11" s="525"/>
      <c r="E11" s="525"/>
      <c r="F11" s="525"/>
      <c r="G11" s="525"/>
      <c r="H11" s="525"/>
      <c r="I11" s="525"/>
    </row>
    <row r="12" spans="1:9" ht="25.5">
      <c r="A12" s="359"/>
      <c r="B12" s="359"/>
      <c r="C12" s="359"/>
      <c r="D12" s="359"/>
      <c r="E12" s="359"/>
      <c r="F12" s="359"/>
      <c r="G12" s="359"/>
      <c r="H12" s="359"/>
      <c r="I12" s="359"/>
    </row>
    <row r="13" spans="1:9" s="265" customFormat="1" ht="35.25">
      <c r="B13" s="526" t="s">
        <v>120</v>
      </c>
      <c r="C13" s="526"/>
      <c r="D13" s="526"/>
      <c r="E13" s="526"/>
      <c r="F13" s="526"/>
      <c r="G13" s="526"/>
      <c r="H13" s="526"/>
      <c r="I13" s="361"/>
    </row>
    <row r="14" spans="1:9" ht="25.5">
      <c r="A14" s="359"/>
      <c r="B14" s="359"/>
      <c r="C14" s="359"/>
      <c r="D14" s="359"/>
      <c r="E14" s="359"/>
      <c r="F14" s="359"/>
      <c r="G14" s="359"/>
      <c r="H14" s="359"/>
      <c r="I14" s="359"/>
    </row>
    <row r="15" spans="1:9" ht="25.5">
      <c r="A15" s="359"/>
      <c r="B15" s="359"/>
      <c r="C15" s="359"/>
      <c r="D15" s="359"/>
      <c r="E15" s="359"/>
      <c r="F15" s="359"/>
      <c r="G15" s="359"/>
      <c r="H15" s="359"/>
      <c r="I15" s="359"/>
    </row>
    <row r="16" spans="1:9" ht="25.5">
      <c r="A16" s="359"/>
      <c r="B16" s="359"/>
      <c r="C16" s="359"/>
      <c r="D16" s="359"/>
      <c r="E16" s="359"/>
      <c r="F16" s="359"/>
      <c r="G16" s="359"/>
      <c r="H16" s="359"/>
      <c r="I16" s="359"/>
    </row>
    <row r="17" spans="1:9" ht="25.5">
      <c r="A17" s="359"/>
      <c r="B17" s="359"/>
      <c r="C17" s="359"/>
      <c r="D17" s="359"/>
      <c r="E17" s="359"/>
      <c r="F17" s="359"/>
      <c r="G17" s="359"/>
      <c r="H17" s="359"/>
      <c r="I17" s="359"/>
    </row>
    <row r="18" spans="1:9" ht="201" customHeight="1">
      <c r="A18" s="359"/>
      <c r="B18" s="359"/>
      <c r="C18" s="359"/>
      <c r="D18" s="359"/>
      <c r="E18" s="359"/>
      <c r="F18" s="359"/>
      <c r="G18" s="359"/>
      <c r="H18" s="359"/>
      <c r="I18" s="359"/>
    </row>
    <row r="19" spans="1:9" ht="25.5">
      <c r="A19" s="359"/>
      <c r="B19" s="359"/>
      <c r="C19" s="359"/>
      <c r="D19" s="359"/>
      <c r="E19" s="359"/>
      <c r="F19" s="359"/>
      <c r="G19" s="359"/>
      <c r="H19" s="359"/>
      <c r="I19" s="359"/>
    </row>
    <row r="20" spans="1:9" ht="30" customHeight="1">
      <c r="B20" s="359"/>
      <c r="D20" s="526" t="s">
        <v>359</v>
      </c>
      <c r="E20" s="526"/>
      <c r="F20" s="526"/>
      <c r="G20" s="360"/>
      <c r="H20" s="359"/>
      <c r="I20" s="359"/>
    </row>
    <row r="21" spans="1:9" ht="25.5">
      <c r="A21" s="359"/>
      <c r="B21" s="359"/>
      <c r="D21" s="527"/>
      <c r="E21" s="527"/>
      <c r="F21" s="527"/>
      <c r="G21" s="359"/>
      <c r="H21" s="359"/>
      <c r="I21" s="359"/>
    </row>
    <row r="22" spans="1:9" ht="30" customHeight="1">
      <c r="B22" s="359"/>
      <c r="D22" s="526" t="s">
        <v>121</v>
      </c>
      <c r="E22" s="526"/>
      <c r="F22" s="526"/>
      <c r="G22" s="360"/>
      <c r="H22" s="359"/>
      <c r="I22" s="359"/>
    </row>
  </sheetData>
  <mergeCells count="5">
    <mergeCell ref="A11:I11"/>
    <mergeCell ref="B13:H13"/>
    <mergeCell ref="D20:F20"/>
    <mergeCell ref="D21:F21"/>
    <mergeCell ref="D22:F22"/>
  </mergeCells>
  <phoneticPr fontId="6"/>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3:H44"/>
  <sheetViews>
    <sheetView workbookViewId="0">
      <selection activeCell="AO40" sqref="AO40"/>
    </sheetView>
  </sheetViews>
  <sheetFormatPr defaultRowHeight="13.5" outlineLevelRow="1"/>
  <cols>
    <col min="1" max="1" width="13.5703125" style="512" customWidth="1"/>
    <col min="2" max="2" width="9.140625" style="512"/>
    <col min="3" max="8" width="11.140625" style="512" customWidth="1"/>
    <col min="9" max="16384" width="9.140625" style="512"/>
  </cols>
  <sheetData>
    <row r="3" spans="1:8">
      <c r="A3" s="674"/>
      <c r="B3" s="674"/>
      <c r="C3" s="513" t="s">
        <v>446</v>
      </c>
      <c r="D3" s="513" t="s">
        <v>447</v>
      </c>
      <c r="E3" s="513" t="s">
        <v>448</v>
      </c>
      <c r="F3" s="513" t="s">
        <v>449</v>
      </c>
      <c r="G3" s="513" t="s">
        <v>449</v>
      </c>
      <c r="H3" s="513" t="s">
        <v>450</v>
      </c>
    </row>
    <row r="4" spans="1:8">
      <c r="A4" s="514" t="s">
        <v>451</v>
      </c>
      <c r="B4" s="514"/>
      <c r="C4" s="514">
        <v>101</v>
      </c>
      <c r="D4" s="514">
        <v>96</v>
      </c>
      <c r="E4" s="514">
        <v>101</v>
      </c>
      <c r="F4" s="514">
        <v>199</v>
      </c>
      <c r="G4" s="514">
        <v>98</v>
      </c>
      <c r="H4" s="514">
        <v>95</v>
      </c>
    </row>
    <row r="5" spans="1:8">
      <c r="A5" s="514" t="s">
        <v>452</v>
      </c>
      <c r="B5" s="514"/>
      <c r="C5" s="515">
        <v>38</v>
      </c>
      <c r="D5" s="515">
        <v>44</v>
      </c>
      <c r="E5" s="515">
        <v>52</v>
      </c>
      <c r="F5" s="515">
        <v>145</v>
      </c>
      <c r="G5" s="515">
        <v>45</v>
      </c>
      <c r="H5" s="515">
        <v>38</v>
      </c>
    </row>
    <row r="6" spans="1:8">
      <c r="A6" s="514" t="s">
        <v>453</v>
      </c>
      <c r="B6" s="514"/>
      <c r="C6" s="516">
        <v>63</v>
      </c>
      <c r="D6" s="516">
        <v>52</v>
      </c>
      <c r="E6" s="516">
        <v>49</v>
      </c>
      <c r="F6" s="516">
        <v>54</v>
      </c>
      <c r="G6" s="516">
        <v>53</v>
      </c>
      <c r="H6" s="516">
        <v>57</v>
      </c>
    </row>
    <row r="7" spans="1:8">
      <c r="A7" s="514" t="s">
        <v>454</v>
      </c>
      <c r="B7" s="514"/>
      <c r="C7" s="517">
        <v>0.99399999999999999</v>
      </c>
      <c r="D7" s="517">
        <v>0.99399999999999999</v>
      </c>
      <c r="E7" s="517">
        <v>0.99299999999999999</v>
      </c>
      <c r="F7" s="517">
        <v>0.98099999999999998</v>
      </c>
      <c r="G7" s="517">
        <v>0.99399999999999999</v>
      </c>
      <c r="H7" s="517">
        <v>0.995</v>
      </c>
    </row>
    <row r="8" spans="1:8">
      <c r="A8" s="514" t="s">
        <v>455</v>
      </c>
      <c r="B8" s="514"/>
      <c r="C8" s="517">
        <v>0.98199999999999998</v>
      </c>
      <c r="D8" s="517">
        <v>0.98499999999999999</v>
      </c>
      <c r="E8" s="517">
        <v>0.98599999999999999</v>
      </c>
      <c r="F8" s="517">
        <v>0.97299999999999998</v>
      </c>
      <c r="G8" s="517">
        <v>0.98599999999999999</v>
      </c>
      <c r="H8" s="517">
        <v>0.98599999999999999</v>
      </c>
    </row>
    <row r="9" spans="1:8">
      <c r="A9" s="512" t="s">
        <v>456</v>
      </c>
    </row>
    <row r="11" spans="1:8">
      <c r="A11" s="518"/>
      <c r="B11" s="518" t="s">
        <v>457</v>
      </c>
      <c r="C11" s="518" t="s">
        <v>458</v>
      </c>
      <c r="D11" s="518" t="s">
        <v>459</v>
      </c>
      <c r="E11" s="518" t="s">
        <v>460</v>
      </c>
      <c r="F11" s="518" t="s">
        <v>461</v>
      </c>
      <c r="G11" s="518" t="s">
        <v>462</v>
      </c>
    </row>
    <row r="12" spans="1:8" hidden="1" outlineLevel="1">
      <c r="A12" s="518" t="s">
        <v>463</v>
      </c>
      <c r="B12" s="519">
        <f>ROUND(98.9%,3)</f>
        <v>0.98899999999999999</v>
      </c>
      <c r="C12" s="519">
        <f>ROUND(0.41%,3)</f>
        <v>4.0000000000000001E-3</v>
      </c>
      <c r="D12" s="519">
        <f>ROUND(0.1%,3)</f>
        <v>1E-3</v>
      </c>
      <c r="E12" s="519">
        <f>ROUND(0.05%,3)</f>
        <v>1E-3</v>
      </c>
      <c r="F12" s="519">
        <f>ROUND(0.04%,3)</f>
        <v>0</v>
      </c>
      <c r="G12" s="519">
        <f t="shared" ref="G12:G23" si="0">SUM(B12:F12)</f>
        <v>0.995</v>
      </c>
    </row>
    <row r="13" spans="1:8" hidden="1" outlineLevel="1">
      <c r="A13" s="518" t="s">
        <v>464</v>
      </c>
      <c r="B13" s="519">
        <f>ROUND(98.38%,3)</f>
        <v>0.98399999999999999</v>
      </c>
      <c r="C13" s="519">
        <f>ROUND(0.62%,3)</f>
        <v>6.0000000000000001E-3</v>
      </c>
      <c r="D13" s="519">
        <f>ROUND(0.14%,3)</f>
        <v>1E-3</v>
      </c>
      <c r="E13" s="519">
        <f>ROUND(0.07%,3)</f>
        <v>1E-3</v>
      </c>
      <c r="F13" s="519">
        <f>ROUND(0.06%,3)</f>
        <v>1E-3</v>
      </c>
      <c r="G13" s="519">
        <f t="shared" si="0"/>
        <v>0.99299999999999999</v>
      </c>
    </row>
    <row r="14" spans="1:8" hidden="1" outlineLevel="1">
      <c r="A14" s="518" t="s">
        <v>465</v>
      </c>
      <c r="B14" s="519">
        <f>ROUND(98.1%,3)</f>
        <v>0.98099999999999998</v>
      </c>
      <c r="C14" s="519">
        <f>ROUND(0.75%,3)</f>
        <v>8.0000000000000002E-3</v>
      </c>
      <c r="D14" s="519">
        <f>ROUND(0.19%,3)</f>
        <v>2E-3</v>
      </c>
      <c r="E14" s="519">
        <f>ROUND(0.09%,3)</f>
        <v>1E-3</v>
      </c>
      <c r="F14" s="519">
        <f>ROUND(0.06%,3)</f>
        <v>1E-3</v>
      </c>
      <c r="G14" s="519">
        <f t="shared" si="0"/>
        <v>0.99299999999999999</v>
      </c>
    </row>
    <row r="15" spans="1:8" hidden="1" outlineLevel="1">
      <c r="A15" s="518" t="s">
        <v>466</v>
      </c>
      <c r="B15" s="519">
        <f>ROUND(97.91%,3)</f>
        <v>0.97899999999999998</v>
      </c>
      <c r="C15" s="519">
        <f>ROUND(0.78%,3)</f>
        <v>8.0000000000000002E-3</v>
      </c>
      <c r="D15" s="519">
        <f>ROUND(0.21%,3)</f>
        <v>2E-3</v>
      </c>
      <c r="E15" s="519">
        <f>ROUND(0.13%,3)</f>
        <v>1E-3</v>
      </c>
      <c r="F15" s="519">
        <f>ROUND(0.05%,3)</f>
        <v>1E-3</v>
      </c>
      <c r="G15" s="519">
        <f t="shared" si="0"/>
        <v>0.99099999999999999</v>
      </c>
    </row>
    <row r="16" spans="1:8" hidden="1" outlineLevel="1">
      <c r="A16" s="518" t="s">
        <v>467</v>
      </c>
      <c r="B16" s="519">
        <f>ROUND(97.83%,3)</f>
        <v>0.97799999999999998</v>
      </c>
      <c r="C16" s="519">
        <f>ROUND(0.8%,3)</f>
        <v>8.0000000000000002E-3</v>
      </c>
      <c r="D16" s="519">
        <f>ROUND(0.24%,3)</f>
        <v>2E-3</v>
      </c>
      <c r="E16" s="519">
        <f>ROUND(0.1%,3)</f>
        <v>1E-3</v>
      </c>
      <c r="F16" s="519">
        <f>ROUND(0.06%,3)</f>
        <v>1E-3</v>
      </c>
      <c r="G16" s="519">
        <f t="shared" si="0"/>
        <v>0.99</v>
      </c>
    </row>
    <row r="17" spans="1:7" hidden="1" outlineLevel="1">
      <c r="A17" s="518" t="s">
        <v>468</v>
      </c>
      <c r="B17" s="519">
        <f>ROUND(97.94%,3)</f>
        <v>0.97899999999999998</v>
      </c>
      <c r="C17" s="519">
        <f>ROUND(0.74%,3)</f>
        <v>7.0000000000000001E-3</v>
      </c>
      <c r="D17" s="519">
        <f>ROUND(0.21%,3)</f>
        <v>2E-3</v>
      </c>
      <c r="E17" s="519">
        <f>ROUND(0.09%,3)</f>
        <v>1E-3</v>
      </c>
      <c r="F17" s="519">
        <f>ROUND(0.04%,3)</f>
        <v>0</v>
      </c>
      <c r="G17" s="519">
        <f t="shared" si="0"/>
        <v>0.98899999999999999</v>
      </c>
    </row>
    <row r="18" spans="1:7" hidden="1" outlineLevel="1">
      <c r="A18" s="518" t="s">
        <v>469</v>
      </c>
      <c r="B18" s="519">
        <f>ROUND(97.84%,3)</f>
        <v>0.97799999999999998</v>
      </c>
      <c r="C18" s="519">
        <f>ROUND(0.74%,3)</f>
        <v>7.0000000000000001E-3</v>
      </c>
      <c r="D18" s="519">
        <f>ROUND(0.22%,3)</f>
        <v>2E-3</v>
      </c>
      <c r="E18" s="519">
        <f>ROUND(0.1%,3)</f>
        <v>1E-3</v>
      </c>
      <c r="F18" s="519">
        <f>ROUND(0.06%,3)</f>
        <v>1E-3</v>
      </c>
      <c r="G18" s="519">
        <f t="shared" si="0"/>
        <v>0.98899999999999999</v>
      </c>
    </row>
    <row r="19" spans="1:7" hidden="1" outlineLevel="1">
      <c r="A19" s="518" t="s">
        <v>470</v>
      </c>
      <c r="B19" s="519">
        <f>ROUND(97.69%,3)</f>
        <v>0.97699999999999998</v>
      </c>
      <c r="C19" s="519">
        <f>ROUND(0.85%,3)</f>
        <v>8.9999999999999993E-3</v>
      </c>
      <c r="D19" s="519">
        <f>ROUND(0.23%,3)</f>
        <v>2E-3</v>
      </c>
      <c r="E19" s="519">
        <f>ROUND(0.11%,3)</f>
        <v>1E-3</v>
      </c>
      <c r="F19" s="519">
        <f>ROUND(0.06%,3)</f>
        <v>1E-3</v>
      </c>
      <c r="G19" s="519">
        <f t="shared" si="0"/>
        <v>0.99</v>
      </c>
    </row>
    <row r="20" spans="1:7" hidden="1" outlineLevel="1">
      <c r="A20" s="518" t="s">
        <v>471</v>
      </c>
      <c r="B20" s="519">
        <f>ROUND(97.76%,3)</f>
        <v>0.97799999999999998</v>
      </c>
      <c r="C20" s="519">
        <f>ROUND(0.73%,3)</f>
        <v>7.0000000000000001E-3</v>
      </c>
      <c r="D20" s="519">
        <f>ROUND(0.21%,3)</f>
        <v>2E-3</v>
      </c>
      <c r="E20" s="519">
        <f>ROUND(0.11%,3)</f>
        <v>1E-3</v>
      </c>
      <c r="F20" s="519">
        <f>ROUND(0.09%,3)</f>
        <v>1E-3</v>
      </c>
      <c r="G20" s="519">
        <f t="shared" si="0"/>
        <v>0.98899999999999999</v>
      </c>
    </row>
    <row r="21" spans="1:7" hidden="1" outlineLevel="1">
      <c r="A21" s="518" t="s">
        <v>472</v>
      </c>
      <c r="B21" s="519">
        <f>ROUND(97.91%,3)</f>
        <v>0.97899999999999998</v>
      </c>
      <c r="C21" s="519">
        <f>ROUND(0.69%,3)</f>
        <v>7.0000000000000001E-3</v>
      </c>
      <c r="D21" s="519">
        <f>ROUND(0.23%,3)</f>
        <v>2E-3</v>
      </c>
      <c r="E21" s="519">
        <f>ROUND(0.14%,3)</f>
        <v>1E-3</v>
      </c>
      <c r="F21" s="519">
        <f>ROUND(0.08%,3)</f>
        <v>1E-3</v>
      </c>
      <c r="G21" s="519">
        <f t="shared" si="0"/>
        <v>0.99</v>
      </c>
    </row>
    <row r="22" spans="1:7" hidden="1" outlineLevel="1">
      <c r="A22" s="518" t="s">
        <v>473</v>
      </c>
      <c r="B22" s="519">
        <f>ROUND(98%,3)</f>
        <v>0.98</v>
      </c>
      <c r="C22" s="519">
        <f>ROUND(0.7%,3)</f>
        <v>7.0000000000000001E-3</v>
      </c>
      <c r="D22" s="519">
        <f>ROUND(0.25%,3)</f>
        <v>3.0000000000000001E-3</v>
      </c>
      <c r="E22" s="519">
        <f>ROUND(0.13%,3)</f>
        <v>1E-3</v>
      </c>
      <c r="F22" s="519">
        <v>1E-3</v>
      </c>
      <c r="G22" s="519">
        <f t="shared" si="0"/>
        <v>0.99199999999999999</v>
      </c>
    </row>
    <row r="23" spans="1:7" hidden="1" outlineLevel="1">
      <c r="A23" s="518" t="s">
        <v>474</v>
      </c>
      <c r="B23" s="519">
        <f>ROUND(98.01%,3)</f>
        <v>0.98</v>
      </c>
      <c r="C23" s="519">
        <f>ROUND(0.75%,3)</f>
        <v>8.0000000000000002E-3</v>
      </c>
      <c r="D23" s="519">
        <f>ROUND(0.24%,3)</f>
        <v>2E-3</v>
      </c>
      <c r="E23" s="519">
        <v>1E-3</v>
      </c>
      <c r="F23" s="519">
        <v>1E-3</v>
      </c>
      <c r="G23" s="519">
        <f t="shared" si="0"/>
        <v>0.99199999999999999</v>
      </c>
    </row>
    <row r="24" spans="1:7" hidden="1">
      <c r="A24" s="518" t="s">
        <v>475</v>
      </c>
      <c r="B24" s="519">
        <v>0.98699999999999999</v>
      </c>
      <c r="C24" s="519">
        <v>6.0000000000000001E-3</v>
      </c>
      <c r="D24" s="519">
        <v>1E-3</v>
      </c>
      <c r="E24" s="519">
        <v>1E-3</v>
      </c>
      <c r="F24" s="519">
        <v>1E-3</v>
      </c>
      <c r="G24" s="519">
        <v>0.99539999999999995</v>
      </c>
    </row>
    <row r="25" spans="1:7" hidden="1">
      <c r="A25" s="518" t="s">
        <v>476</v>
      </c>
      <c r="B25" s="519">
        <v>0.98799999999999999</v>
      </c>
      <c r="C25" s="519">
        <v>5.0000000000000001E-3</v>
      </c>
      <c r="D25" s="519">
        <v>1E-3</v>
      </c>
      <c r="E25" s="519">
        <v>1E-3</v>
      </c>
      <c r="F25" s="519">
        <f>[3]課税年度別収入歩合!F82</f>
        <v>1E-3</v>
      </c>
      <c r="G25" s="520">
        <f t="shared" ref="G25:G40" si="1">SUM(B25:F25)</f>
        <v>0.996</v>
      </c>
    </row>
    <row r="26" spans="1:7" hidden="1">
      <c r="A26" s="521" t="s">
        <v>477</v>
      </c>
      <c r="B26" s="519">
        <f>[4]【没】課税年度別収入歩合!B83</f>
        <v>0.98599999999999999</v>
      </c>
      <c r="C26" s="519">
        <f>[4]【没】課税年度別収入歩合!C83</f>
        <v>5.0000000000000001E-3</v>
      </c>
      <c r="D26" s="519">
        <f>[4]【没】課税年度別収入歩合!D83</f>
        <v>2E-3</v>
      </c>
      <c r="E26" s="519">
        <f>[4]【没】課税年度別収入歩合!E83</f>
        <v>1E-3</v>
      </c>
      <c r="F26" s="519">
        <f>[4]【没】課税年度別収入歩合!F83</f>
        <v>1E-3</v>
      </c>
      <c r="G26" s="520">
        <f t="shared" si="1"/>
        <v>0.995</v>
      </c>
    </row>
    <row r="27" spans="1:7" hidden="1">
      <c r="A27" s="521" t="s">
        <v>478</v>
      </c>
      <c r="B27" s="519">
        <f>[4]【没】課税年度別収入歩合!B84</f>
        <v>0.98599999999999999</v>
      </c>
      <c r="C27" s="519">
        <f>[4]【没】課税年度別収入歩合!C84</f>
        <v>5.0000000000000001E-3</v>
      </c>
      <c r="D27" s="519">
        <f>[4]【没】課税年度別収入歩合!D84</f>
        <v>2E-3</v>
      </c>
      <c r="E27" s="519">
        <f>[4]【没】課税年度別収入歩合!E84</f>
        <v>1E-3</v>
      </c>
      <c r="F27" s="522">
        <f>[4]【没】課税年度別収入歩合!F84</f>
        <v>1E-3</v>
      </c>
      <c r="G27" s="520">
        <f t="shared" si="1"/>
        <v>0.995</v>
      </c>
    </row>
    <row r="28" spans="1:7" hidden="1">
      <c r="A28" s="521" t="s">
        <v>479</v>
      </c>
      <c r="B28" s="519">
        <f>[4]【没】課税年度別収入歩合!B85</f>
        <v>0.98499999999999999</v>
      </c>
      <c r="C28" s="519">
        <f>[4]【没】課税年度別収入歩合!C85</f>
        <v>6.0000000000000001E-3</v>
      </c>
      <c r="D28" s="519">
        <f>[4]【没】課税年度別収入歩合!D85</f>
        <v>2E-3</v>
      </c>
      <c r="E28" s="519">
        <f>[4]【没】課税年度別収入歩合!E85</f>
        <v>1E-3</v>
      </c>
      <c r="F28" s="519">
        <f>[4]【没】課税年度別収入歩合!F85</f>
        <v>1E-3</v>
      </c>
      <c r="G28" s="520">
        <f t="shared" si="1"/>
        <v>0.995</v>
      </c>
    </row>
    <row r="29" spans="1:7" hidden="1">
      <c r="A29" s="521" t="s">
        <v>480</v>
      </c>
      <c r="B29" s="519">
        <f>[4]【没】課税年度別収入歩合!B86</f>
        <v>0.98699999999999999</v>
      </c>
      <c r="C29" s="519">
        <f>[4]【没】課税年度別収入歩合!C86</f>
        <v>5.0000000000000001E-3</v>
      </c>
      <c r="D29" s="519">
        <f>[4]【没】課税年度別収入歩合!D86</f>
        <v>2E-3</v>
      </c>
      <c r="E29" s="519">
        <f>[4]【没】課税年度別収入歩合!E86</f>
        <v>1E-3</v>
      </c>
      <c r="F29" s="519">
        <f>[4]【没】課税年度別収入歩合!F86</f>
        <v>0</v>
      </c>
      <c r="G29" s="520">
        <f t="shared" si="1"/>
        <v>0.995</v>
      </c>
    </row>
    <row r="30" spans="1:7" hidden="1">
      <c r="A30" s="521" t="s">
        <v>481</v>
      </c>
      <c r="B30" s="519">
        <f>[4]【没】課税年度別収入歩合!B87</f>
        <v>0.98899999999999999</v>
      </c>
      <c r="C30" s="519">
        <f>[4]【没】課税年度別収入歩合!C87</f>
        <v>5.0000000000000001E-3</v>
      </c>
      <c r="D30" s="519">
        <f>[4]【没】課税年度別収入歩合!D87</f>
        <v>1E-3</v>
      </c>
      <c r="E30" s="519">
        <f>[4]【没】課税年度別収入歩合!E87</f>
        <v>1E-3</v>
      </c>
      <c r="F30" s="519">
        <v>0</v>
      </c>
      <c r="G30" s="520">
        <f t="shared" si="1"/>
        <v>0.996</v>
      </c>
    </row>
    <row r="31" spans="1:7" hidden="1">
      <c r="A31" s="521" t="s">
        <v>482</v>
      </c>
      <c r="B31" s="519">
        <f>[4]【没】課税年度別収入歩合!B88</f>
        <v>0.99099999999999999</v>
      </c>
      <c r="C31" s="519">
        <f>[4]【没】課税年度別収入歩合!C88</f>
        <v>4.0000000000000001E-3</v>
      </c>
      <c r="D31" s="519">
        <f>[4]【没】課税年度別収入歩合!D88</f>
        <v>1E-3</v>
      </c>
      <c r="E31" s="519">
        <f>[4]【没】課税年度別収入歩合!E88</f>
        <v>1E-3</v>
      </c>
      <c r="F31" s="519">
        <f>[4]【没】課税年度別収入歩合!F88</f>
        <v>0</v>
      </c>
      <c r="G31" s="520">
        <f t="shared" si="1"/>
        <v>0.997</v>
      </c>
    </row>
    <row r="32" spans="1:7" ht="13.5" hidden="1" customHeight="1">
      <c r="A32" s="521" t="s">
        <v>483</v>
      </c>
      <c r="B32" s="519">
        <v>0.99180000000000001</v>
      </c>
      <c r="C32" s="519">
        <v>3.0000000000000001E-3</v>
      </c>
      <c r="D32" s="519">
        <v>1E-3</v>
      </c>
      <c r="E32" s="519">
        <v>1E-3</v>
      </c>
      <c r="F32" s="523">
        <v>2.9999999999999997E-4</v>
      </c>
      <c r="G32" s="520">
        <f t="shared" si="1"/>
        <v>0.99709999999999999</v>
      </c>
    </row>
    <row r="33" spans="1:7" ht="13.5" hidden="1" customHeight="1">
      <c r="A33" s="521" t="s">
        <v>484</v>
      </c>
      <c r="B33" s="519">
        <v>0.99299999999999999</v>
      </c>
      <c r="C33" s="519">
        <v>3.0000000000000001E-3</v>
      </c>
      <c r="D33" s="519">
        <v>1E-3</v>
      </c>
      <c r="E33" s="523">
        <v>4.0000000000000002E-4</v>
      </c>
      <c r="F33" s="523">
        <v>2.0000000000000001E-4</v>
      </c>
      <c r="G33" s="520">
        <f t="shared" si="1"/>
        <v>0.99759999999999993</v>
      </c>
    </row>
    <row r="34" spans="1:7" ht="13.5" hidden="1" customHeight="1">
      <c r="A34" s="521" t="s">
        <v>485</v>
      </c>
      <c r="B34" s="519">
        <v>0.99390000000000001</v>
      </c>
      <c r="C34" s="519">
        <v>3.0000000000000001E-3</v>
      </c>
      <c r="D34" s="519">
        <v>8.0000000000000004E-4</v>
      </c>
      <c r="E34" s="523">
        <v>4.0000000000000002E-4</v>
      </c>
      <c r="F34" s="523">
        <v>1E-4</v>
      </c>
      <c r="G34" s="520">
        <f t="shared" si="1"/>
        <v>0.99819999999999998</v>
      </c>
    </row>
    <row r="35" spans="1:7" ht="13.5" customHeight="1">
      <c r="A35" s="521" t="s">
        <v>446</v>
      </c>
      <c r="B35" s="519">
        <v>0.99429999999999996</v>
      </c>
      <c r="C35" s="519">
        <v>2.8E-3</v>
      </c>
      <c r="D35" s="519">
        <v>1E-3</v>
      </c>
      <c r="E35" s="523">
        <v>2.9999999999999997E-4</v>
      </c>
      <c r="F35" s="524">
        <v>2.0000000000000001E-4</v>
      </c>
      <c r="G35" s="520">
        <f t="shared" si="1"/>
        <v>0.99859999999999993</v>
      </c>
    </row>
    <row r="36" spans="1:7" ht="14.25" customHeight="1">
      <c r="A36" s="521" t="s">
        <v>447</v>
      </c>
      <c r="B36" s="519">
        <v>0.99399999999999999</v>
      </c>
      <c r="C36" s="519">
        <v>2.8999999999999998E-3</v>
      </c>
      <c r="D36" s="519">
        <v>8.0000000000000004E-4</v>
      </c>
      <c r="E36" s="523">
        <v>2.9999999999999997E-4</v>
      </c>
      <c r="F36" s="519"/>
      <c r="G36" s="520">
        <f t="shared" si="1"/>
        <v>0.998</v>
      </c>
    </row>
    <row r="37" spans="1:7" ht="15" customHeight="1">
      <c r="A37" s="521" t="s">
        <v>448</v>
      </c>
      <c r="B37" s="519">
        <v>0.99299999999999999</v>
      </c>
      <c r="C37" s="519">
        <v>3.5999999999999999E-3</v>
      </c>
      <c r="D37" s="519">
        <v>1E-3</v>
      </c>
      <c r="E37" s="519"/>
      <c r="F37" s="519"/>
      <c r="G37" s="520">
        <f t="shared" si="1"/>
        <v>0.99760000000000004</v>
      </c>
    </row>
    <row r="38" spans="1:7" ht="15" customHeight="1">
      <c r="A38" s="521" t="s">
        <v>449</v>
      </c>
      <c r="B38" s="519">
        <v>0.98080000000000001</v>
      </c>
      <c r="C38" s="519">
        <v>1.4999999999999999E-2</v>
      </c>
      <c r="D38" s="519"/>
      <c r="E38" s="519"/>
      <c r="F38" s="519"/>
      <c r="G38" s="520">
        <f t="shared" si="1"/>
        <v>0.99580000000000002</v>
      </c>
    </row>
    <row r="39" spans="1:7" ht="15" customHeight="1">
      <c r="A39" s="521" t="s">
        <v>486</v>
      </c>
      <c r="B39" s="519">
        <v>0.99399999999999999</v>
      </c>
      <c r="C39" s="519"/>
      <c r="D39" s="519"/>
      <c r="E39" s="519"/>
      <c r="F39" s="519"/>
      <c r="G39" s="520">
        <f t="shared" si="1"/>
        <v>0.99399999999999999</v>
      </c>
    </row>
    <row r="40" spans="1:7" ht="15" customHeight="1">
      <c r="A40" s="521" t="s">
        <v>487</v>
      </c>
      <c r="B40" s="519">
        <v>0.995</v>
      </c>
      <c r="C40" s="519"/>
      <c r="D40" s="519"/>
      <c r="E40" s="519"/>
      <c r="F40" s="519"/>
      <c r="G40" s="520">
        <f t="shared" si="1"/>
        <v>0.995</v>
      </c>
    </row>
    <row r="41" spans="1:7">
      <c r="A41" s="512" t="s">
        <v>488</v>
      </c>
    </row>
    <row r="43" spans="1:7">
      <c r="A43" s="512" t="s">
        <v>489</v>
      </c>
    </row>
    <row r="44" spans="1:7">
      <c r="A44" s="512" t="s">
        <v>490</v>
      </c>
    </row>
  </sheetData>
  <mergeCells count="1">
    <mergeCell ref="A3:B3"/>
  </mergeCells>
  <phoneticPr fontId="6"/>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outlinePr summaryBelow="0" summaryRight="0"/>
    <pageSetUpPr autoPageBreaks="0" fitToPage="1"/>
  </sheetPr>
  <dimension ref="A1:N72"/>
  <sheetViews>
    <sheetView view="pageBreakPreview" zoomScaleNormal="100" zoomScaleSheetLayoutView="100" workbookViewId="0">
      <pane ySplit="8" topLeftCell="A11" activePane="bottomLeft" state="frozen"/>
      <selection activeCell="L59" sqref="L59"/>
      <selection pane="bottomLeft"/>
    </sheetView>
  </sheetViews>
  <sheetFormatPr defaultColWidth="9.85546875" defaultRowHeight="12.75"/>
  <cols>
    <col min="1" max="1" width="2.85546875" style="3" customWidth="1"/>
    <col min="2" max="2" width="13.5703125" style="3" customWidth="1"/>
    <col min="3" max="3" width="16.42578125" style="3" customWidth="1"/>
    <col min="4" max="4" width="15.7109375" style="3" customWidth="1"/>
    <col min="5" max="5" width="12.140625" style="3" customWidth="1"/>
    <col min="6" max="6" width="16.42578125" style="3" customWidth="1"/>
    <col min="7" max="7" width="4.28515625" style="3" customWidth="1"/>
    <col min="8" max="8" width="6.42578125" style="4" customWidth="1"/>
    <col min="9" max="9" width="16.42578125" style="4" customWidth="1"/>
    <col min="10" max="10" width="16.42578125" style="3" customWidth="1"/>
    <col min="11" max="11" width="4.28515625" style="3" customWidth="1"/>
    <col min="12" max="12" width="9.28515625" style="4" customWidth="1"/>
    <col min="13" max="13" width="12.140625" style="3" customWidth="1"/>
    <col min="14" max="14" width="16.42578125" style="4" customWidth="1"/>
    <col min="15" max="253" width="9.85546875" style="4" customWidth="1"/>
    <col min="254" max="16384" width="9.85546875" style="4"/>
  </cols>
  <sheetData>
    <row r="1" spans="1:14" ht="10.7" customHeight="1"/>
    <row r="2" spans="1:14" ht="10.7" customHeight="1"/>
    <row r="3" spans="1:14">
      <c r="A3" s="5" t="s">
        <v>12</v>
      </c>
    </row>
    <row r="4" spans="1:14">
      <c r="B4" s="32"/>
      <c r="C4" s="32"/>
      <c r="D4" s="32"/>
      <c r="E4" s="32"/>
      <c r="F4" s="32"/>
      <c r="G4" s="32"/>
      <c r="H4" s="32"/>
      <c r="I4" s="32"/>
      <c r="J4" s="32"/>
      <c r="K4" s="32"/>
      <c r="L4" s="32"/>
      <c r="N4" s="32" t="s">
        <v>26</v>
      </c>
    </row>
    <row r="5" spans="1:14">
      <c r="A5" s="5" t="s">
        <v>0</v>
      </c>
      <c r="B5" s="685" t="s">
        <v>97</v>
      </c>
      <c r="C5" s="6"/>
      <c r="D5" s="7"/>
      <c r="E5" s="8"/>
      <c r="F5" s="6"/>
      <c r="G5" s="9"/>
      <c r="H5" s="10"/>
      <c r="I5" s="6"/>
      <c r="J5" s="29" t="s">
        <v>13</v>
      </c>
      <c r="K5" s="11"/>
      <c r="L5" s="10"/>
      <c r="M5" s="35"/>
      <c r="N5" s="39"/>
    </row>
    <row r="6" spans="1:14">
      <c r="B6" s="686"/>
      <c r="C6" s="13" t="s">
        <v>27</v>
      </c>
      <c r="D6" s="13"/>
      <c r="E6" s="13"/>
      <c r="F6" s="13" t="s">
        <v>28</v>
      </c>
      <c r="G6" s="688" t="s">
        <v>14</v>
      </c>
      <c r="H6" s="689"/>
      <c r="I6" s="27" t="s">
        <v>100</v>
      </c>
      <c r="J6" s="27" t="s">
        <v>15</v>
      </c>
      <c r="K6" s="688" t="s">
        <v>16</v>
      </c>
      <c r="L6" s="689"/>
      <c r="M6" s="36" t="s">
        <v>98</v>
      </c>
      <c r="N6" s="40" t="s">
        <v>11</v>
      </c>
    </row>
    <row r="7" spans="1:14">
      <c r="B7" s="686"/>
      <c r="C7" s="12"/>
      <c r="D7" s="13" t="s">
        <v>29</v>
      </c>
      <c r="E7" s="13" t="s">
        <v>30</v>
      </c>
      <c r="F7" s="12"/>
      <c r="G7" s="688" t="s">
        <v>17</v>
      </c>
      <c r="H7" s="689"/>
      <c r="I7" s="27" t="s">
        <v>101</v>
      </c>
      <c r="J7" s="27" t="s">
        <v>18</v>
      </c>
      <c r="K7" s="688" t="s">
        <v>19</v>
      </c>
      <c r="L7" s="689"/>
      <c r="M7" s="36" t="s">
        <v>99</v>
      </c>
      <c r="N7" s="40" t="s">
        <v>138</v>
      </c>
    </row>
    <row r="8" spans="1:14">
      <c r="A8" s="5" t="s">
        <v>0</v>
      </c>
      <c r="B8" s="687"/>
      <c r="C8" s="14"/>
      <c r="D8" s="14"/>
      <c r="E8" s="14"/>
      <c r="F8" s="14"/>
      <c r="G8" s="690" t="s">
        <v>20</v>
      </c>
      <c r="H8" s="691"/>
      <c r="I8" s="28" t="s">
        <v>21</v>
      </c>
      <c r="J8" s="28" t="s">
        <v>22</v>
      </c>
      <c r="K8" s="690" t="s">
        <v>23</v>
      </c>
      <c r="L8" s="691"/>
      <c r="M8" s="37"/>
      <c r="N8" s="42"/>
    </row>
    <row r="9" spans="1:14" ht="16.5" hidden="1" customHeight="1">
      <c r="A9" s="5" t="s">
        <v>0</v>
      </c>
      <c r="B9" s="15" t="s">
        <v>24</v>
      </c>
      <c r="C9" s="16">
        <v>1220774</v>
      </c>
      <c r="D9" s="16">
        <v>620983</v>
      </c>
      <c r="E9" s="17">
        <v>50.9</v>
      </c>
      <c r="F9" s="16">
        <v>1219740</v>
      </c>
      <c r="G9" s="18"/>
      <c r="H9" s="19">
        <v>10.6</v>
      </c>
      <c r="I9" s="16">
        <v>1034</v>
      </c>
      <c r="J9" s="16">
        <v>1438</v>
      </c>
      <c r="K9" s="18" t="s">
        <v>31</v>
      </c>
      <c r="L9" s="20">
        <v>404</v>
      </c>
      <c r="M9" s="38">
        <v>84.9</v>
      </c>
      <c r="N9" s="41">
        <v>876239</v>
      </c>
    </row>
    <row r="10" spans="1:14" ht="16.5" hidden="1" customHeight="1">
      <c r="A10" s="5" t="s">
        <v>0</v>
      </c>
      <c r="B10" s="15" t="s">
        <v>25</v>
      </c>
      <c r="C10" s="16">
        <v>1265525</v>
      </c>
      <c r="D10" s="16">
        <v>679786</v>
      </c>
      <c r="E10" s="17">
        <v>53.7</v>
      </c>
      <c r="F10" s="16">
        <v>1264163</v>
      </c>
      <c r="G10" s="18"/>
      <c r="H10" s="19">
        <v>3.6</v>
      </c>
      <c r="I10" s="16">
        <v>1362</v>
      </c>
      <c r="J10" s="16">
        <v>1710</v>
      </c>
      <c r="K10" s="18" t="s">
        <v>31</v>
      </c>
      <c r="L10" s="20">
        <v>348</v>
      </c>
      <c r="M10" s="38">
        <v>77.3</v>
      </c>
      <c r="N10" s="41">
        <v>879291</v>
      </c>
    </row>
    <row r="11" spans="1:14" ht="16.5" customHeight="1">
      <c r="A11" s="5" t="s">
        <v>0</v>
      </c>
      <c r="B11" s="435" t="s">
        <v>231</v>
      </c>
      <c r="C11" s="436">
        <v>1382248</v>
      </c>
      <c r="D11" s="436">
        <v>724201</v>
      </c>
      <c r="E11" s="437">
        <v>52.4</v>
      </c>
      <c r="F11" s="436">
        <v>1379368</v>
      </c>
      <c r="G11" s="438"/>
      <c r="H11" s="439">
        <v>9.1</v>
      </c>
      <c r="I11" s="436">
        <v>2880</v>
      </c>
      <c r="J11" s="436">
        <v>1651</v>
      </c>
      <c r="K11" s="438"/>
      <c r="L11" s="440">
        <v>1229</v>
      </c>
      <c r="M11" s="441">
        <v>72</v>
      </c>
      <c r="N11" s="442">
        <v>870719</v>
      </c>
    </row>
    <row r="12" spans="1:14" ht="16.5" customHeight="1">
      <c r="A12" s="5" t="s">
        <v>0</v>
      </c>
      <c r="B12" s="435" t="s">
        <v>232</v>
      </c>
      <c r="C12" s="436">
        <v>1488594</v>
      </c>
      <c r="D12" s="436">
        <v>736281</v>
      </c>
      <c r="E12" s="437">
        <v>49.5</v>
      </c>
      <c r="F12" s="436">
        <v>1486053</v>
      </c>
      <c r="G12" s="438"/>
      <c r="H12" s="439">
        <v>7.7</v>
      </c>
      <c r="I12" s="436">
        <v>2541</v>
      </c>
      <c r="J12" s="436">
        <v>1358</v>
      </c>
      <c r="K12" s="438"/>
      <c r="L12" s="440">
        <v>1183</v>
      </c>
      <c r="M12" s="441">
        <v>71.5</v>
      </c>
      <c r="N12" s="442">
        <v>895350</v>
      </c>
    </row>
    <row r="13" spans="1:14" ht="16.5" customHeight="1">
      <c r="A13" s="5" t="s">
        <v>0</v>
      </c>
      <c r="B13" s="435" t="s">
        <v>233</v>
      </c>
      <c r="C13" s="436">
        <v>1531260</v>
      </c>
      <c r="D13" s="436">
        <v>767474</v>
      </c>
      <c r="E13" s="437">
        <v>50.1</v>
      </c>
      <c r="F13" s="436">
        <v>1528288</v>
      </c>
      <c r="G13" s="438"/>
      <c r="H13" s="439">
        <v>2.8</v>
      </c>
      <c r="I13" s="436">
        <v>2972</v>
      </c>
      <c r="J13" s="436">
        <v>1464</v>
      </c>
      <c r="K13" s="438"/>
      <c r="L13" s="440">
        <v>1508</v>
      </c>
      <c r="M13" s="441">
        <v>71.400000000000006</v>
      </c>
      <c r="N13" s="442">
        <v>893649</v>
      </c>
    </row>
    <row r="14" spans="1:14" ht="16.5" customHeight="1">
      <c r="A14" s="5" t="s">
        <v>0</v>
      </c>
      <c r="B14" s="435" t="s">
        <v>234</v>
      </c>
      <c r="C14" s="436">
        <v>1683780</v>
      </c>
      <c r="D14" s="436">
        <v>759701</v>
      </c>
      <c r="E14" s="437">
        <v>45.1</v>
      </c>
      <c r="F14" s="436">
        <v>1680665</v>
      </c>
      <c r="G14" s="438"/>
      <c r="H14" s="439">
        <v>10</v>
      </c>
      <c r="I14" s="436">
        <v>3115</v>
      </c>
      <c r="J14" s="436">
        <v>2280</v>
      </c>
      <c r="K14" s="438"/>
      <c r="L14" s="443">
        <v>835</v>
      </c>
      <c r="M14" s="441">
        <v>78.3</v>
      </c>
      <c r="N14" s="442">
        <v>1003877</v>
      </c>
    </row>
    <row r="15" spans="1:14" ht="16.5" customHeight="1">
      <c r="A15" s="5" t="s">
        <v>0</v>
      </c>
      <c r="B15" s="435" t="s">
        <v>235</v>
      </c>
      <c r="C15" s="436">
        <v>1782630</v>
      </c>
      <c r="D15" s="436">
        <v>727123</v>
      </c>
      <c r="E15" s="437">
        <v>40.799999999999997</v>
      </c>
      <c r="F15" s="436">
        <v>1775550</v>
      </c>
      <c r="G15" s="438"/>
      <c r="H15" s="439">
        <v>5.6</v>
      </c>
      <c r="I15" s="436">
        <v>7080</v>
      </c>
      <c r="J15" s="436">
        <v>6443</v>
      </c>
      <c r="K15" s="438"/>
      <c r="L15" s="443">
        <v>637</v>
      </c>
      <c r="M15" s="441">
        <v>87.9</v>
      </c>
      <c r="N15" s="442">
        <v>1108380</v>
      </c>
    </row>
    <row r="16" spans="1:14" ht="16.5" customHeight="1">
      <c r="A16" s="5" t="s">
        <v>0</v>
      </c>
      <c r="B16" s="435" t="s">
        <v>236</v>
      </c>
      <c r="C16" s="444">
        <v>1821553</v>
      </c>
      <c r="D16" s="444">
        <v>704115</v>
      </c>
      <c r="E16" s="445">
        <v>38.700000000000003</v>
      </c>
      <c r="F16" s="444">
        <v>1808682</v>
      </c>
      <c r="G16" s="446"/>
      <c r="H16" s="447">
        <v>1.9</v>
      </c>
      <c r="I16" s="444">
        <v>12871</v>
      </c>
      <c r="J16" s="444">
        <v>12441</v>
      </c>
      <c r="K16" s="446"/>
      <c r="L16" s="448">
        <v>430</v>
      </c>
      <c r="M16" s="449">
        <v>92.7</v>
      </c>
      <c r="N16" s="442">
        <v>1286618</v>
      </c>
    </row>
    <row r="17" spans="1:14" ht="16.5" customHeight="1">
      <c r="A17" s="5" t="s">
        <v>0</v>
      </c>
      <c r="B17" s="435" t="s">
        <v>237</v>
      </c>
      <c r="C17" s="444">
        <v>1911868</v>
      </c>
      <c r="D17" s="444">
        <v>735307</v>
      </c>
      <c r="E17" s="445">
        <v>38.5</v>
      </c>
      <c r="F17" s="444">
        <v>1902861</v>
      </c>
      <c r="G17" s="446"/>
      <c r="H17" s="447">
        <v>5.2</v>
      </c>
      <c r="I17" s="444">
        <v>9007</v>
      </c>
      <c r="J17" s="444">
        <v>8282</v>
      </c>
      <c r="K17" s="446"/>
      <c r="L17" s="448">
        <v>725</v>
      </c>
      <c r="M17" s="449">
        <v>90.9</v>
      </c>
      <c r="N17" s="442">
        <v>1526173</v>
      </c>
    </row>
    <row r="18" spans="1:14" ht="16.5" customHeight="1">
      <c r="A18" s="5" t="s">
        <v>0</v>
      </c>
      <c r="B18" s="435" t="s">
        <v>238</v>
      </c>
      <c r="C18" s="444">
        <v>1857783</v>
      </c>
      <c r="D18" s="444">
        <v>777637</v>
      </c>
      <c r="E18" s="445">
        <v>41.9</v>
      </c>
      <c r="F18" s="444">
        <v>1844325</v>
      </c>
      <c r="G18" s="446" t="s">
        <v>31</v>
      </c>
      <c r="H18" s="447">
        <v>3.1</v>
      </c>
      <c r="I18" s="444">
        <v>13458</v>
      </c>
      <c r="J18" s="444">
        <v>12541</v>
      </c>
      <c r="K18" s="446"/>
      <c r="L18" s="448">
        <v>917</v>
      </c>
      <c r="M18" s="449">
        <v>90.2</v>
      </c>
      <c r="N18" s="442">
        <v>1738255</v>
      </c>
    </row>
    <row r="19" spans="1:14" ht="16.5" customHeight="1">
      <c r="A19" s="5" t="s">
        <v>0</v>
      </c>
      <c r="B19" s="435" t="s">
        <v>239</v>
      </c>
      <c r="C19" s="444">
        <v>1860889</v>
      </c>
      <c r="D19" s="444">
        <v>775187</v>
      </c>
      <c r="E19" s="445">
        <v>41.7</v>
      </c>
      <c r="F19" s="444">
        <v>1852409</v>
      </c>
      <c r="G19" s="446"/>
      <c r="H19" s="447">
        <v>0.4</v>
      </c>
      <c r="I19" s="444">
        <v>8480</v>
      </c>
      <c r="J19" s="444">
        <v>7690</v>
      </c>
      <c r="K19" s="446"/>
      <c r="L19" s="448">
        <v>790</v>
      </c>
      <c r="M19" s="449">
        <v>95.4</v>
      </c>
      <c r="N19" s="442">
        <v>1962349</v>
      </c>
    </row>
    <row r="20" spans="1:14" ht="16.5" customHeight="1">
      <c r="A20" s="5" t="s">
        <v>0</v>
      </c>
      <c r="B20" s="450" t="s">
        <v>240</v>
      </c>
      <c r="C20" s="444">
        <v>1985575</v>
      </c>
      <c r="D20" s="444">
        <v>738656</v>
      </c>
      <c r="E20" s="445">
        <v>37.200000000000003</v>
      </c>
      <c r="F20" s="444">
        <v>1971451</v>
      </c>
      <c r="G20" s="446"/>
      <c r="H20" s="447">
        <v>6.4</v>
      </c>
      <c r="I20" s="444">
        <v>14124</v>
      </c>
      <c r="J20" s="444">
        <v>13602</v>
      </c>
      <c r="K20" s="446"/>
      <c r="L20" s="448">
        <v>522</v>
      </c>
      <c r="M20" s="449">
        <v>97.8</v>
      </c>
      <c r="N20" s="442">
        <v>2279721</v>
      </c>
    </row>
    <row r="21" spans="1:14" ht="16.5" customHeight="1">
      <c r="A21" s="5" t="s">
        <v>0</v>
      </c>
      <c r="B21" s="450" t="s">
        <v>241</v>
      </c>
      <c r="C21" s="444">
        <v>1910330</v>
      </c>
      <c r="D21" s="444">
        <v>712955</v>
      </c>
      <c r="E21" s="445">
        <v>37.299999999999997</v>
      </c>
      <c r="F21" s="444">
        <v>1906029</v>
      </c>
      <c r="G21" s="446" t="s">
        <v>31</v>
      </c>
      <c r="H21" s="447">
        <v>3.3</v>
      </c>
      <c r="I21" s="444">
        <v>4301</v>
      </c>
      <c r="J21" s="444">
        <v>3939</v>
      </c>
      <c r="K21" s="446"/>
      <c r="L21" s="448">
        <v>362</v>
      </c>
      <c r="M21" s="449">
        <v>99.4</v>
      </c>
      <c r="N21" s="442">
        <v>2431273</v>
      </c>
    </row>
    <row r="22" spans="1:14" ht="16.5" customHeight="1">
      <c r="A22" s="5" t="s">
        <v>0</v>
      </c>
      <c r="B22" s="450" t="s">
        <v>242</v>
      </c>
      <c r="C22" s="444">
        <v>1869632</v>
      </c>
      <c r="D22" s="444">
        <v>686522</v>
      </c>
      <c r="E22" s="445">
        <v>36.700000000000003</v>
      </c>
      <c r="F22" s="444">
        <v>1860866</v>
      </c>
      <c r="G22" s="446" t="s">
        <v>31</v>
      </c>
      <c r="H22" s="447">
        <v>2.4</v>
      </c>
      <c r="I22" s="444">
        <v>8766</v>
      </c>
      <c r="J22" s="444">
        <v>8390</v>
      </c>
      <c r="K22" s="446"/>
      <c r="L22" s="448">
        <v>376</v>
      </c>
      <c r="M22" s="449">
        <v>99.8</v>
      </c>
      <c r="N22" s="442">
        <v>2532886</v>
      </c>
    </row>
    <row r="23" spans="1:14" ht="16.5" customHeight="1">
      <c r="B23" s="450" t="s">
        <v>243</v>
      </c>
      <c r="C23" s="444">
        <v>1862127</v>
      </c>
      <c r="D23" s="444">
        <v>665501</v>
      </c>
      <c r="E23" s="445">
        <v>35.700000000000003</v>
      </c>
      <c r="F23" s="444">
        <v>1857703</v>
      </c>
      <c r="G23" s="446" t="s">
        <v>31</v>
      </c>
      <c r="H23" s="447">
        <v>0.2</v>
      </c>
      <c r="I23" s="444">
        <v>4424</v>
      </c>
      <c r="J23" s="444">
        <v>4114</v>
      </c>
      <c r="K23" s="446"/>
      <c r="L23" s="448">
        <v>310</v>
      </c>
      <c r="M23" s="449">
        <v>99.8</v>
      </c>
      <c r="N23" s="442">
        <v>2628930</v>
      </c>
    </row>
    <row r="24" spans="1:14" ht="16.5" customHeight="1">
      <c r="B24" s="450" t="s">
        <v>244</v>
      </c>
      <c r="C24" s="444">
        <v>1790706</v>
      </c>
      <c r="D24" s="444">
        <v>635039</v>
      </c>
      <c r="E24" s="445">
        <v>35.5</v>
      </c>
      <c r="F24" s="444">
        <v>1787971</v>
      </c>
      <c r="G24" s="446" t="s">
        <v>31</v>
      </c>
      <c r="H24" s="447">
        <v>3.8</v>
      </c>
      <c r="I24" s="444">
        <v>2735</v>
      </c>
      <c r="J24" s="444">
        <v>2489</v>
      </c>
      <c r="K24" s="446"/>
      <c r="L24" s="448">
        <v>246</v>
      </c>
      <c r="M24" s="449">
        <v>103.1</v>
      </c>
      <c r="N24" s="442">
        <v>2716248</v>
      </c>
    </row>
    <row r="25" spans="1:14" ht="16.5" customHeight="1">
      <c r="B25" s="450" t="s">
        <v>245</v>
      </c>
      <c r="C25" s="444">
        <v>1722657</v>
      </c>
      <c r="D25" s="444">
        <v>613049</v>
      </c>
      <c r="E25" s="445">
        <v>35.6</v>
      </c>
      <c r="F25" s="444">
        <v>1719987</v>
      </c>
      <c r="G25" s="446" t="s">
        <v>31</v>
      </c>
      <c r="H25" s="447">
        <v>3.8</v>
      </c>
      <c r="I25" s="444">
        <v>2670</v>
      </c>
      <c r="J25" s="444">
        <v>2478</v>
      </c>
      <c r="K25" s="446"/>
      <c r="L25" s="448">
        <v>192</v>
      </c>
      <c r="M25" s="449">
        <v>102.5</v>
      </c>
      <c r="N25" s="442">
        <v>2809765</v>
      </c>
    </row>
    <row r="26" spans="1:14" ht="16.5" customHeight="1">
      <c r="B26" s="450" t="s">
        <v>246</v>
      </c>
      <c r="C26" s="444">
        <v>1703865</v>
      </c>
      <c r="D26" s="444">
        <v>618500</v>
      </c>
      <c r="E26" s="445">
        <v>36.299999999999997</v>
      </c>
      <c r="F26" s="444">
        <v>1701951</v>
      </c>
      <c r="G26" s="446" t="s">
        <v>31</v>
      </c>
      <c r="H26" s="447">
        <v>1</v>
      </c>
      <c r="I26" s="444">
        <v>1914</v>
      </c>
      <c r="J26" s="444">
        <v>1685</v>
      </c>
      <c r="K26" s="446"/>
      <c r="L26" s="448">
        <v>229</v>
      </c>
      <c r="M26" s="449">
        <v>103.6</v>
      </c>
      <c r="N26" s="442">
        <v>2868808</v>
      </c>
    </row>
    <row r="27" spans="1:14" ht="16.5" customHeight="1">
      <c r="B27" s="450" t="s">
        <v>247</v>
      </c>
      <c r="C27" s="444">
        <v>1666375</v>
      </c>
      <c r="D27" s="444">
        <v>628573</v>
      </c>
      <c r="E27" s="445">
        <v>37.700000000000003</v>
      </c>
      <c r="F27" s="444">
        <v>1664689</v>
      </c>
      <c r="G27" s="446" t="s">
        <v>31</v>
      </c>
      <c r="H27" s="447">
        <v>2.2000000000000002</v>
      </c>
      <c r="I27" s="444">
        <v>1686</v>
      </c>
      <c r="J27" s="444">
        <v>1432</v>
      </c>
      <c r="K27" s="446"/>
      <c r="L27" s="448">
        <v>254</v>
      </c>
      <c r="M27" s="449">
        <v>101.7</v>
      </c>
      <c r="N27" s="442">
        <v>2916377</v>
      </c>
    </row>
    <row r="28" spans="1:14" ht="16.5" customHeight="1">
      <c r="B28" s="450" t="s">
        <v>248</v>
      </c>
      <c r="C28" s="444">
        <v>1590506</v>
      </c>
      <c r="D28" s="444">
        <v>652624</v>
      </c>
      <c r="E28" s="445">
        <v>41</v>
      </c>
      <c r="F28" s="444">
        <v>1587643</v>
      </c>
      <c r="G28" s="446" t="s">
        <v>31</v>
      </c>
      <c r="H28" s="447">
        <v>4.5999999999999996</v>
      </c>
      <c r="I28" s="444">
        <v>2863</v>
      </c>
      <c r="J28" s="444">
        <v>2497</v>
      </c>
      <c r="K28" s="446"/>
      <c r="L28" s="448">
        <v>366</v>
      </c>
      <c r="M28" s="449">
        <v>99.7</v>
      </c>
      <c r="N28" s="442">
        <v>2849274</v>
      </c>
    </row>
    <row r="29" spans="1:14" ht="16.5" customHeight="1">
      <c r="B29" s="450" t="s">
        <v>249</v>
      </c>
      <c r="C29" s="444">
        <v>1577285</v>
      </c>
      <c r="D29" s="444">
        <v>678485</v>
      </c>
      <c r="E29" s="445">
        <v>43</v>
      </c>
      <c r="F29" s="444">
        <v>1573282</v>
      </c>
      <c r="G29" s="446" t="s">
        <v>31</v>
      </c>
      <c r="H29" s="447">
        <v>0.9</v>
      </c>
      <c r="I29" s="444">
        <v>4003</v>
      </c>
      <c r="J29" s="444">
        <v>3569</v>
      </c>
      <c r="K29" s="446"/>
      <c r="L29" s="448">
        <v>434</v>
      </c>
      <c r="M29" s="449">
        <v>99.9</v>
      </c>
      <c r="N29" s="442">
        <v>2833410</v>
      </c>
    </row>
    <row r="30" spans="1:14" ht="16.5" customHeight="1">
      <c r="B30" s="450" t="s">
        <v>250</v>
      </c>
      <c r="C30" s="444">
        <v>1555121</v>
      </c>
      <c r="D30" s="444">
        <v>670787</v>
      </c>
      <c r="E30" s="445">
        <v>43.1</v>
      </c>
      <c r="F30" s="444">
        <v>1552859</v>
      </c>
      <c r="G30" s="446" t="s">
        <v>31</v>
      </c>
      <c r="H30" s="447">
        <v>1.3</v>
      </c>
      <c r="I30" s="444">
        <v>2262</v>
      </c>
      <c r="J30" s="444">
        <v>1813</v>
      </c>
      <c r="K30" s="446"/>
      <c r="L30" s="448">
        <v>449</v>
      </c>
      <c r="M30" s="449">
        <v>99.2</v>
      </c>
      <c r="N30" s="442">
        <v>2814500</v>
      </c>
    </row>
    <row r="31" spans="1:14" ht="16.5" customHeight="1">
      <c r="B31" s="450" t="s">
        <v>251</v>
      </c>
      <c r="C31" s="444">
        <v>1671647</v>
      </c>
      <c r="D31" s="444">
        <v>623613</v>
      </c>
      <c r="E31" s="445">
        <v>37.299999999999997</v>
      </c>
      <c r="F31" s="444">
        <v>1669763</v>
      </c>
      <c r="G31" s="446"/>
      <c r="H31" s="447">
        <v>7.5</v>
      </c>
      <c r="I31" s="444">
        <v>1884</v>
      </c>
      <c r="J31" s="444">
        <v>1495</v>
      </c>
      <c r="K31" s="446"/>
      <c r="L31" s="448">
        <v>389</v>
      </c>
      <c r="M31" s="449">
        <v>100.2</v>
      </c>
      <c r="N31" s="442">
        <v>2797041</v>
      </c>
    </row>
    <row r="32" spans="1:14" ht="16.5" customHeight="1">
      <c r="A32" s="31"/>
      <c r="B32" s="450" t="s">
        <v>252</v>
      </c>
      <c r="C32" s="451">
        <v>1642643</v>
      </c>
      <c r="D32" s="451">
        <v>626018</v>
      </c>
      <c r="E32" s="452">
        <v>38.1</v>
      </c>
      <c r="F32" s="451">
        <v>1641235</v>
      </c>
      <c r="G32" s="453" t="s">
        <v>31</v>
      </c>
      <c r="H32" s="454">
        <v>1.7</v>
      </c>
      <c r="I32" s="451">
        <f>C32-F32</f>
        <v>1408</v>
      </c>
      <c r="J32" s="451">
        <v>1000</v>
      </c>
      <c r="K32" s="453"/>
      <c r="L32" s="455">
        <f>I32-J32</f>
        <v>408</v>
      </c>
      <c r="M32" s="456">
        <v>99.4</v>
      </c>
      <c r="N32" s="457">
        <v>2770468</v>
      </c>
    </row>
    <row r="33" spans="1:14" ht="16.5" customHeight="1">
      <c r="A33" s="5"/>
      <c r="B33" s="450" t="s">
        <v>253</v>
      </c>
      <c r="C33" s="451">
        <v>1651156</v>
      </c>
      <c r="D33" s="451">
        <v>636066</v>
      </c>
      <c r="E33" s="452">
        <v>38.5</v>
      </c>
      <c r="F33" s="451">
        <v>1649897</v>
      </c>
      <c r="G33" s="453"/>
      <c r="H33" s="454">
        <v>0.5</v>
      </c>
      <c r="I33" s="451">
        <f>C33-F33</f>
        <v>1259</v>
      </c>
      <c r="J33" s="451">
        <v>806</v>
      </c>
      <c r="K33" s="453"/>
      <c r="L33" s="455">
        <f>I33-J33</f>
        <v>453</v>
      </c>
      <c r="M33" s="456">
        <v>99.5</v>
      </c>
      <c r="N33" s="442">
        <v>2745021</v>
      </c>
    </row>
    <row r="34" spans="1:14" ht="15" hidden="1" customHeight="1">
      <c r="A34" s="5"/>
      <c r="B34" s="682" t="s">
        <v>254</v>
      </c>
      <c r="C34" s="458">
        <v>1582165</v>
      </c>
      <c r="D34" s="683">
        <v>627006</v>
      </c>
      <c r="E34" s="684">
        <v>36.9</v>
      </c>
      <c r="F34" s="458">
        <v>1580639</v>
      </c>
      <c r="G34" s="459" t="s">
        <v>142</v>
      </c>
      <c r="H34" s="460" t="s">
        <v>143</v>
      </c>
      <c r="I34" s="683">
        <f>C34-F34</f>
        <v>1526</v>
      </c>
      <c r="J34" s="683">
        <v>1115</v>
      </c>
      <c r="K34" s="461"/>
      <c r="L34" s="681">
        <f>I34-J34</f>
        <v>411</v>
      </c>
      <c r="M34" s="677">
        <v>101.9</v>
      </c>
      <c r="N34" s="678">
        <v>2660209</v>
      </c>
    </row>
    <row r="35" spans="1:14" ht="16.5" customHeight="1">
      <c r="B35" s="682"/>
      <c r="C35" s="462">
        <v>1700781</v>
      </c>
      <c r="D35" s="683"/>
      <c r="E35" s="684"/>
      <c r="F35" s="462">
        <v>1699255</v>
      </c>
      <c r="G35" s="453"/>
      <c r="H35" s="463">
        <v>3</v>
      </c>
      <c r="I35" s="683"/>
      <c r="J35" s="683"/>
      <c r="K35" s="464"/>
      <c r="L35" s="681"/>
      <c r="M35" s="677"/>
      <c r="N35" s="679"/>
    </row>
    <row r="36" spans="1:14" ht="16.5" customHeight="1">
      <c r="A36" s="5"/>
      <c r="B36" s="465" t="s">
        <v>255</v>
      </c>
      <c r="C36" s="451">
        <v>1675766</v>
      </c>
      <c r="D36" s="451">
        <v>641870</v>
      </c>
      <c r="E36" s="452">
        <v>38.299999999999997</v>
      </c>
      <c r="F36" s="451">
        <v>1650402</v>
      </c>
      <c r="G36" s="453" t="s">
        <v>31</v>
      </c>
      <c r="H36" s="454">
        <v>2.9</v>
      </c>
      <c r="I36" s="451">
        <f t="shared" ref="I36:I43" si="0">C36-F36</f>
        <v>25364</v>
      </c>
      <c r="J36" s="451">
        <v>1141</v>
      </c>
      <c r="K36" s="453"/>
      <c r="L36" s="466">
        <f t="shared" ref="L36:L42" si="1">I36-J36</f>
        <v>24223</v>
      </c>
      <c r="M36" s="456">
        <v>98.3</v>
      </c>
      <c r="N36" s="442">
        <v>2578573</v>
      </c>
    </row>
    <row r="37" spans="1:14" ht="16.5" customHeight="1">
      <c r="A37" s="5"/>
      <c r="B37" s="465" t="s">
        <v>256</v>
      </c>
      <c r="C37" s="467">
        <v>1641158</v>
      </c>
      <c r="D37" s="467">
        <v>659256</v>
      </c>
      <c r="E37" s="468">
        <v>40.170172524522322</v>
      </c>
      <c r="F37" s="467">
        <v>1635843</v>
      </c>
      <c r="G37" s="453" t="s">
        <v>31</v>
      </c>
      <c r="H37" s="469">
        <v>0.88214871285904894</v>
      </c>
      <c r="I37" s="467">
        <f t="shared" si="0"/>
        <v>5315</v>
      </c>
      <c r="J37" s="467">
        <v>4881</v>
      </c>
      <c r="K37" s="470"/>
      <c r="L37" s="455">
        <f t="shared" si="1"/>
        <v>434</v>
      </c>
      <c r="M37" s="456">
        <v>98.8</v>
      </c>
      <c r="N37" s="471">
        <v>2473326</v>
      </c>
    </row>
    <row r="38" spans="1:14" ht="16.5" customHeight="1">
      <c r="A38" s="5"/>
      <c r="B38" s="465" t="s">
        <v>257</v>
      </c>
      <c r="C38" s="467">
        <v>1631983</v>
      </c>
      <c r="D38" s="467">
        <v>660088</v>
      </c>
      <c r="E38" s="468">
        <v>40.4</v>
      </c>
      <c r="F38" s="467">
        <v>1630073</v>
      </c>
      <c r="G38" s="453" t="s">
        <v>31</v>
      </c>
      <c r="H38" s="469">
        <v>0.4</v>
      </c>
      <c r="I38" s="467">
        <f t="shared" si="0"/>
        <v>1910</v>
      </c>
      <c r="J38" s="467">
        <v>1509</v>
      </c>
      <c r="K38" s="470"/>
      <c r="L38" s="455">
        <f t="shared" si="1"/>
        <v>401</v>
      </c>
      <c r="M38" s="456">
        <v>97.6</v>
      </c>
      <c r="N38" s="471">
        <v>2327170</v>
      </c>
    </row>
    <row r="39" spans="1:14" ht="16.5" customHeight="1">
      <c r="A39" s="5"/>
      <c r="B39" s="465" t="s">
        <v>258</v>
      </c>
      <c r="C39" s="467">
        <v>1574838</v>
      </c>
      <c r="D39" s="467">
        <v>659473</v>
      </c>
      <c r="E39" s="468">
        <v>41.9</v>
      </c>
      <c r="F39" s="467">
        <v>1572848</v>
      </c>
      <c r="G39" s="453" t="s">
        <v>31</v>
      </c>
      <c r="H39" s="469">
        <v>3.5</v>
      </c>
      <c r="I39" s="467">
        <f t="shared" si="0"/>
        <v>1990</v>
      </c>
      <c r="J39" s="467">
        <v>1590</v>
      </c>
      <c r="K39" s="470"/>
      <c r="L39" s="455">
        <f t="shared" si="1"/>
        <v>400</v>
      </c>
      <c r="M39" s="456">
        <v>100.1</v>
      </c>
      <c r="N39" s="471">
        <v>2185864</v>
      </c>
    </row>
    <row r="40" spans="1:14" ht="16.5" customHeight="1">
      <c r="A40" s="5"/>
      <c r="B40" s="465" t="s">
        <v>259</v>
      </c>
      <c r="C40" s="467">
        <v>1742817</v>
      </c>
      <c r="D40" s="467">
        <v>675404</v>
      </c>
      <c r="E40" s="468">
        <v>38.799999999999997</v>
      </c>
      <c r="F40" s="467">
        <v>1740813</v>
      </c>
      <c r="G40" s="453"/>
      <c r="H40" s="469">
        <v>10.7</v>
      </c>
      <c r="I40" s="467">
        <f t="shared" si="0"/>
        <v>2004</v>
      </c>
      <c r="J40" s="467">
        <v>1584</v>
      </c>
      <c r="K40" s="470"/>
      <c r="L40" s="455">
        <f t="shared" si="1"/>
        <v>420</v>
      </c>
      <c r="M40" s="456">
        <v>98.3</v>
      </c>
      <c r="N40" s="471">
        <v>2069777</v>
      </c>
    </row>
    <row r="41" spans="1:14" ht="16.5" customHeight="1">
      <c r="A41" s="5"/>
      <c r="B41" s="465" t="s">
        <v>260</v>
      </c>
      <c r="C41" s="467">
        <v>1761138</v>
      </c>
      <c r="D41" s="467">
        <v>737441</v>
      </c>
      <c r="E41" s="468">
        <v>41.9</v>
      </c>
      <c r="F41" s="467">
        <v>1758572</v>
      </c>
      <c r="G41" s="453"/>
      <c r="H41" s="469">
        <v>1</v>
      </c>
      <c r="I41" s="467">
        <f t="shared" si="0"/>
        <v>2566</v>
      </c>
      <c r="J41" s="467">
        <v>2137</v>
      </c>
      <c r="K41" s="470"/>
      <c r="L41" s="455">
        <f t="shared" si="1"/>
        <v>429</v>
      </c>
      <c r="M41" s="456">
        <v>96.9</v>
      </c>
      <c r="N41" s="471">
        <v>1906256</v>
      </c>
    </row>
    <row r="42" spans="1:14" ht="16.5" customHeight="1">
      <c r="A42" s="5"/>
      <c r="B42" s="465" t="s">
        <v>261</v>
      </c>
      <c r="C42" s="467">
        <v>1764214</v>
      </c>
      <c r="D42" s="467">
        <v>776114</v>
      </c>
      <c r="E42" s="468">
        <v>44</v>
      </c>
      <c r="F42" s="467">
        <v>1756789</v>
      </c>
      <c r="G42" s="453" t="s">
        <v>31</v>
      </c>
      <c r="H42" s="469">
        <v>0.1</v>
      </c>
      <c r="I42" s="467">
        <f t="shared" si="0"/>
        <v>7425</v>
      </c>
      <c r="J42" s="467">
        <v>4753</v>
      </c>
      <c r="K42" s="470"/>
      <c r="L42" s="472">
        <f t="shared" si="1"/>
        <v>2672</v>
      </c>
      <c r="M42" s="456">
        <v>93.4</v>
      </c>
      <c r="N42" s="471">
        <v>1802867</v>
      </c>
    </row>
    <row r="43" spans="1:14" ht="16.5" customHeight="1">
      <c r="A43" s="5"/>
      <c r="B43" s="465" t="s">
        <v>275</v>
      </c>
      <c r="C43" s="467">
        <v>2042685</v>
      </c>
      <c r="D43" s="467">
        <v>744663</v>
      </c>
      <c r="E43" s="468">
        <v>36.4</v>
      </c>
      <c r="F43" s="467">
        <v>2014653</v>
      </c>
      <c r="G43" s="453"/>
      <c r="H43" s="469">
        <v>14.7</v>
      </c>
      <c r="I43" s="467">
        <f t="shared" si="0"/>
        <v>28032</v>
      </c>
      <c r="J43" s="467">
        <v>14991</v>
      </c>
      <c r="K43" s="470"/>
      <c r="L43" s="472">
        <f>I43-J43</f>
        <v>13041</v>
      </c>
      <c r="M43" s="456">
        <v>94.3</v>
      </c>
      <c r="N43" s="473">
        <v>1734635</v>
      </c>
    </row>
    <row r="44" spans="1:14" ht="16.5" customHeight="1">
      <c r="A44" s="5"/>
      <c r="B44" s="465" t="s">
        <v>382</v>
      </c>
      <c r="C44" s="467">
        <v>2003681</v>
      </c>
      <c r="D44" s="467">
        <v>750030</v>
      </c>
      <c r="E44" s="468">
        <v>37.4</v>
      </c>
      <c r="F44" s="467">
        <v>1962155</v>
      </c>
      <c r="G44" s="453" t="s">
        <v>31</v>
      </c>
      <c r="H44" s="469">
        <v>2.6</v>
      </c>
      <c r="I44" s="467">
        <f>C44-F44-1</f>
        <v>41525</v>
      </c>
      <c r="J44" s="467">
        <v>10729</v>
      </c>
      <c r="K44" s="470"/>
      <c r="L44" s="472">
        <f>I44-J44</f>
        <v>30796</v>
      </c>
      <c r="M44" s="456">
        <v>85.1</v>
      </c>
      <c r="N44" s="473">
        <v>1702596</v>
      </c>
    </row>
    <row r="45" spans="1:14">
      <c r="A45" s="5"/>
      <c r="B45" s="43"/>
      <c r="C45" s="22"/>
      <c r="D45" s="22"/>
      <c r="E45" s="22"/>
    </row>
    <row r="46" spans="1:14" ht="14.25" customHeight="1">
      <c r="A46" s="5"/>
      <c r="B46" s="21"/>
      <c r="C46" s="23"/>
      <c r="D46" s="23"/>
      <c r="E46" s="23"/>
      <c r="G46" s="675"/>
      <c r="H46" s="675"/>
    </row>
    <row r="47" spans="1:14" ht="14.25" customHeight="1">
      <c r="A47" s="5"/>
      <c r="B47" s="21"/>
      <c r="C47" s="23"/>
      <c r="D47" s="23"/>
      <c r="E47" s="23"/>
      <c r="G47" s="402"/>
      <c r="H47" s="403"/>
    </row>
    <row r="48" spans="1:14" ht="14.25" customHeight="1">
      <c r="B48" s="21"/>
      <c r="C48" s="23"/>
      <c r="D48" s="23"/>
      <c r="E48" s="23"/>
      <c r="G48" s="680"/>
      <c r="H48" s="680"/>
    </row>
    <row r="49" spans="1:8" ht="14.25" customHeight="1">
      <c r="B49" s="21"/>
      <c r="C49" s="23"/>
      <c r="D49" s="23"/>
      <c r="E49" s="23"/>
      <c r="G49" s="402"/>
      <c r="H49" s="403"/>
    </row>
    <row r="50" spans="1:8" ht="14.25" customHeight="1">
      <c r="A50" s="5"/>
      <c r="B50" s="21"/>
      <c r="C50" s="23"/>
      <c r="D50" s="23"/>
      <c r="E50" s="23"/>
      <c r="G50" s="675"/>
      <c r="H50" s="675"/>
    </row>
    <row r="51" spans="1:8" ht="14.25" customHeight="1">
      <c r="A51" s="5"/>
      <c r="B51" s="21"/>
      <c r="C51" s="23"/>
      <c r="D51" s="23"/>
      <c r="E51" s="23"/>
      <c r="G51" s="402"/>
      <c r="H51" s="403"/>
    </row>
    <row r="52" spans="1:8" ht="14.25" customHeight="1">
      <c r="B52" s="21"/>
      <c r="C52" s="23"/>
      <c r="D52" s="23"/>
      <c r="E52" s="23"/>
      <c r="G52" s="675"/>
      <c r="H52" s="675"/>
    </row>
    <row r="53" spans="1:8" ht="14.25" customHeight="1">
      <c r="B53" s="21"/>
      <c r="C53" s="23"/>
      <c r="D53" s="23"/>
      <c r="E53" s="23"/>
      <c r="G53" s="402"/>
      <c r="H53" s="403"/>
    </row>
    <row r="54" spans="1:8" ht="14.25" customHeight="1">
      <c r="A54" s="5"/>
      <c r="B54" s="21"/>
      <c r="C54" s="23"/>
      <c r="D54" s="23"/>
      <c r="E54" s="23"/>
      <c r="G54" s="675"/>
      <c r="H54" s="675"/>
    </row>
    <row r="55" spans="1:8" ht="14.25" customHeight="1">
      <c r="A55" s="5"/>
      <c r="B55" s="21"/>
      <c r="C55" s="23"/>
      <c r="D55" s="23"/>
      <c r="E55" s="23"/>
      <c r="G55" s="402"/>
      <c r="H55" s="403"/>
    </row>
    <row r="56" spans="1:8" ht="14.25" customHeight="1">
      <c r="B56" s="21"/>
      <c r="C56" s="23"/>
      <c r="D56" s="23"/>
      <c r="E56" s="23"/>
      <c r="G56" s="675"/>
      <c r="H56" s="675"/>
    </row>
    <row r="57" spans="1:8" ht="14.25" customHeight="1">
      <c r="B57" s="21"/>
      <c r="C57" s="23"/>
      <c r="D57" s="23"/>
      <c r="E57" s="23"/>
      <c r="G57" s="402"/>
      <c r="H57" s="403"/>
    </row>
    <row r="58" spans="1:8" ht="14.25" customHeight="1">
      <c r="A58" s="5"/>
      <c r="B58" s="21"/>
      <c r="C58" s="23"/>
      <c r="D58" s="23"/>
      <c r="E58" s="23"/>
      <c r="G58" s="675"/>
      <c r="H58" s="675"/>
    </row>
    <row r="59" spans="1:8" ht="14.25" customHeight="1">
      <c r="A59" s="5"/>
      <c r="B59" s="21"/>
      <c r="C59" s="23"/>
      <c r="D59" s="23"/>
      <c r="E59" s="23"/>
      <c r="G59" s="402"/>
      <c r="H59" s="403"/>
    </row>
    <row r="60" spans="1:8" ht="14.25" customHeight="1">
      <c r="B60" s="21"/>
      <c r="C60" s="23"/>
      <c r="D60" s="23"/>
      <c r="E60" s="23"/>
      <c r="G60" s="675"/>
      <c r="H60" s="675"/>
    </row>
    <row r="61" spans="1:8" ht="14.25" customHeight="1">
      <c r="B61" s="21"/>
      <c r="C61" s="23"/>
      <c r="D61" s="23"/>
      <c r="E61" s="23"/>
      <c r="G61" s="402"/>
      <c r="H61" s="403"/>
    </row>
    <row r="62" spans="1:8" ht="14.25" customHeight="1">
      <c r="A62" s="5"/>
      <c r="B62" s="21"/>
      <c r="C62" s="23"/>
      <c r="D62" s="23"/>
      <c r="E62" s="23"/>
      <c r="G62" s="675"/>
      <c r="H62" s="676"/>
    </row>
    <row r="63" spans="1:8" ht="14.25" customHeight="1">
      <c r="A63" s="5"/>
      <c r="B63" s="21"/>
      <c r="C63" s="23"/>
      <c r="D63" s="23"/>
      <c r="E63" s="23"/>
      <c r="G63" s="402"/>
      <c r="H63" s="403"/>
    </row>
    <row r="64" spans="1:8" ht="14.25" customHeight="1">
      <c r="C64" s="23"/>
      <c r="D64" s="23"/>
      <c r="E64" s="23"/>
      <c r="G64" s="675"/>
      <c r="H64" s="676"/>
    </row>
    <row r="65" spans="1:1" ht="10.7" customHeight="1"/>
    <row r="66" spans="1:1">
      <c r="A66" s="5"/>
    </row>
    <row r="67" spans="1:1" ht="10.7" customHeight="1"/>
    <row r="68" spans="1:1">
      <c r="A68" s="5"/>
    </row>
    <row r="69" spans="1:1">
      <c r="A69" s="5"/>
    </row>
    <row r="70" spans="1:1">
      <c r="A70" s="5"/>
    </row>
    <row r="71" spans="1:1">
      <c r="A71" s="5"/>
    </row>
    <row r="72" spans="1:1">
      <c r="A72" s="5"/>
    </row>
  </sheetData>
  <mergeCells count="25">
    <mergeCell ref="B5:B8"/>
    <mergeCell ref="G6:H6"/>
    <mergeCell ref="K6:L6"/>
    <mergeCell ref="G7:H7"/>
    <mergeCell ref="K7:L7"/>
    <mergeCell ref="G8:H8"/>
    <mergeCell ref="K8:L8"/>
    <mergeCell ref="B34:B35"/>
    <mergeCell ref="D34:D35"/>
    <mergeCell ref="E34:E35"/>
    <mergeCell ref="I34:I35"/>
    <mergeCell ref="J34:J35"/>
    <mergeCell ref="G64:H64"/>
    <mergeCell ref="M34:M35"/>
    <mergeCell ref="N34:N35"/>
    <mergeCell ref="G46:H46"/>
    <mergeCell ref="G48:H48"/>
    <mergeCell ref="G50:H50"/>
    <mergeCell ref="G52:H52"/>
    <mergeCell ref="L34:L35"/>
    <mergeCell ref="G54:H54"/>
    <mergeCell ref="G56:H56"/>
    <mergeCell ref="G58:H58"/>
    <mergeCell ref="G60:H60"/>
    <mergeCell ref="G62:H62"/>
  </mergeCells>
  <phoneticPr fontId="6"/>
  <printOptions verticalCentered="1"/>
  <pageMargins left="0.62992125984251968" right="0.31496062992125984" top="0.19685039370078741" bottom="0.59055118110236227" header="0" footer="0"/>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B1:AB20"/>
  <sheetViews>
    <sheetView view="pageBreakPreview" topLeftCell="B1" zoomScale="85" zoomScaleNormal="100" zoomScaleSheetLayoutView="85" workbookViewId="0">
      <pane xSplit="1" topLeftCell="P1" activePane="topRight" state="frozen"/>
      <selection activeCell="B1" sqref="B1"/>
      <selection pane="topRight" activeCell="X21" sqref="X21"/>
    </sheetView>
  </sheetViews>
  <sheetFormatPr defaultRowHeight="12.75"/>
  <cols>
    <col min="1" max="1" width="9.140625" style="1"/>
    <col min="2" max="2" width="13.140625" style="1" customWidth="1"/>
    <col min="3" max="26" width="11.85546875" style="1" customWidth="1"/>
    <col min="27" max="28" width="9.7109375" style="1" bestFit="1" customWidth="1"/>
    <col min="29" max="16384" width="9.140625" style="1"/>
  </cols>
  <sheetData>
    <row r="1" spans="2:28">
      <c r="X1" s="45"/>
      <c r="Y1" s="45"/>
      <c r="Z1" s="45" t="s">
        <v>200</v>
      </c>
    </row>
    <row r="2" spans="2:28">
      <c r="C2" s="26" t="s">
        <v>32</v>
      </c>
      <c r="D2" s="26" t="s">
        <v>89</v>
      </c>
      <c r="E2" s="26" t="s">
        <v>33</v>
      </c>
      <c r="F2" s="26" t="s">
        <v>90</v>
      </c>
      <c r="G2" s="26" t="s">
        <v>34</v>
      </c>
      <c r="H2" s="26" t="s">
        <v>91</v>
      </c>
      <c r="I2" s="26" t="s">
        <v>35</v>
      </c>
      <c r="J2" s="26" t="s">
        <v>92</v>
      </c>
      <c r="K2" s="26" t="s">
        <v>36</v>
      </c>
      <c r="L2" s="26" t="s">
        <v>44</v>
      </c>
      <c r="M2" s="26" t="s">
        <v>45</v>
      </c>
      <c r="N2" s="26" t="s">
        <v>87</v>
      </c>
      <c r="O2" s="26" t="s">
        <v>102</v>
      </c>
      <c r="P2" s="26" t="s">
        <v>105</v>
      </c>
      <c r="Q2" s="26" t="s">
        <v>109</v>
      </c>
      <c r="R2" s="26" t="s">
        <v>135</v>
      </c>
      <c r="S2" s="26" t="s">
        <v>144</v>
      </c>
      <c r="T2" s="26" t="s">
        <v>160</v>
      </c>
      <c r="U2" s="26" t="s">
        <v>165</v>
      </c>
      <c r="V2" s="26" t="s">
        <v>171</v>
      </c>
      <c r="W2" s="26" t="s">
        <v>194</v>
      </c>
      <c r="X2" s="26" t="s">
        <v>198</v>
      </c>
      <c r="Y2" s="26" t="s">
        <v>214</v>
      </c>
      <c r="Z2" s="26" t="s">
        <v>230</v>
      </c>
      <c r="AA2" s="26" t="s">
        <v>276</v>
      </c>
      <c r="AB2" s="26" t="s">
        <v>383</v>
      </c>
    </row>
    <row r="3" spans="2:28">
      <c r="B3" s="1" t="s">
        <v>37</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30">
        <v>626018</v>
      </c>
      <c r="R3" s="30">
        <v>636066</v>
      </c>
      <c r="S3" s="30">
        <v>627006</v>
      </c>
      <c r="T3" s="30">
        <v>641870</v>
      </c>
      <c r="U3" s="30">
        <v>659256</v>
      </c>
      <c r="V3" s="30">
        <v>660088</v>
      </c>
      <c r="W3" s="30">
        <v>659473</v>
      </c>
      <c r="X3" s="30">
        <v>675404</v>
      </c>
      <c r="Y3" s="30">
        <v>737441</v>
      </c>
      <c r="Z3" s="30">
        <v>776114</v>
      </c>
      <c r="AA3" s="1">
        <v>744663</v>
      </c>
      <c r="AB3" s="1">
        <v>750030</v>
      </c>
    </row>
    <row r="4" spans="2:28">
      <c r="B4" s="1" t="s">
        <v>38</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30">
        <v>239462</v>
      </c>
      <c r="R4" s="30">
        <v>241497</v>
      </c>
      <c r="S4" s="30">
        <v>232278</v>
      </c>
      <c r="T4" s="30">
        <v>209070</v>
      </c>
      <c r="U4" s="30">
        <v>207535</v>
      </c>
      <c r="V4" s="30">
        <v>203645</v>
      </c>
      <c r="W4" s="30">
        <v>196519</v>
      </c>
      <c r="X4" s="30">
        <v>300874</v>
      </c>
      <c r="Y4" s="30">
        <v>302071</v>
      </c>
      <c r="Z4" s="30">
        <v>304487</v>
      </c>
      <c r="AA4" s="1">
        <v>305796</v>
      </c>
      <c r="AB4" s="1">
        <v>307225</v>
      </c>
    </row>
    <row r="5" spans="2:28">
      <c r="B5" s="1" t="s">
        <v>39</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30">
        <v>481221</v>
      </c>
      <c r="R5" s="30">
        <v>496850</v>
      </c>
      <c r="S5" s="30">
        <v>498403</v>
      </c>
      <c r="T5" s="30">
        <v>501060</v>
      </c>
      <c r="U5" s="30">
        <v>517169</v>
      </c>
      <c r="V5" s="30">
        <v>528188</v>
      </c>
      <c r="W5" s="30">
        <v>541680</v>
      </c>
      <c r="X5" s="30">
        <v>552538</v>
      </c>
      <c r="Y5" s="30">
        <v>553538</v>
      </c>
      <c r="Z5" s="30">
        <v>572052</v>
      </c>
      <c r="AA5" s="1">
        <v>589363</v>
      </c>
      <c r="AB5" s="1">
        <v>675283</v>
      </c>
    </row>
    <row r="6" spans="2:28">
      <c r="B6" s="1" t="s">
        <v>1</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30">
        <v>2770468</v>
      </c>
      <c r="R6" s="30">
        <v>2745021</v>
      </c>
      <c r="S6" s="30">
        <v>2660209</v>
      </c>
      <c r="T6" s="30">
        <v>2578573</v>
      </c>
      <c r="U6" s="30">
        <v>2473326</v>
      </c>
      <c r="V6" s="30">
        <v>2327260</v>
      </c>
      <c r="W6" s="30">
        <v>2185864</v>
      </c>
      <c r="X6" s="30">
        <v>2069777</v>
      </c>
      <c r="Y6" s="30">
        <v>1906256</v>
      </c>
      <c r="Z6" s="30">
        <v>1802867</v>
      </c>
      <c r="AA6" s="1">
        <v>1734635</v>
      </c>
      <c r="AB6" s="1">
        <v>1702596</v>
      </c>
    </row>
    <row r="7" spans="2:28">
      <c r="B7" s="1" t="s">
        <v>42</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30">
        <v>222238</v>
      </c>
      <c r="R7" s="30">
        <v>237153</v>
      </c>
      <c r="S7" s="30">
        <v>260026</v>
      </c>
      <c r="T7" s="30">
        <v>279755</v>
      </c>
      <c r="U7" s="30">
        <v>265954</v>
      </c>
      <c r="V7" s="30">
        <v>278423</v>
      </c>
      <c r="W7" s="30">
        <v>265961</v>
      </c>
      <c r="X7" s="30">
        <v>262980</v>
      </c>
      <c r="Y7" s="30">
        <v>292271</v>
      </c>
      <c r="Z7" s="30">
        <v>225144</v>
      </c>
      <c r="AA7" s="1">
        <v>195501</v>
      </c>
      <c r="AB7" s="1">
        <v>204626</v>
      </c>
    </row>
    <row r="8" spans="2:28">
      <c r="B8" s="1" t="s">
        <v>40</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30">
        <v>95376</v>
      </c>
      <c r="R8" s="30">
        <v>90088</v>
      </c>
      <c r="S8" s="30">
        <v>76715</v>
      </c>
      <c r="T8" s="30">
        <v>83723</v>
      </c>
      <c r="U8" s="30">
        <v>101864</v>
      </c>
      <c r="V8" s="30">
        <v>100879</v>
      </c>
      <c r="W8" s="30">
        <v>100112</v>
      </c>
      <c r="X8" s="30">
        <v>115757</v>
      </c>
      <c r="Y8" s="30">
        <v>124704</v>
      </c>
      <c r="Z8" s="30">
        <v>157306</v>
      </c>
      <c r="AA8" s="1">
        <v>177781</v>
      </c>
      <c r="AB8" s="1">
        <v>213390</v>
      </c>
    </row>
    <row r="9" spans="2:28" ht="38.25">
      <c r="B9" s="25" t="s">
        <v>43</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30">
        <v>138152</v>
      </c>
      <c r="R9" s="30">
        <v>135459</v>
      </c>
      <c r="S9" s="30">
        <v>132093</v>
      </c>
      <c r="T9" s="30">
        <v>130665</v>
      </c>
      <c r="U9" s="30">
        <v>129916</v>
      </c>
      <c r="V9" s="30">
        <v>130341</v>
      </c>
      <c r="W9" s="30">
        <v>130977</v>
      </c>
      <c r="X9" s="30">
        <v>131222</v>
      </c>
      <c r="Y9" s="30">
        <v>137234</v>
      </c>
      <c r="Z9" s="30">
        <v>142375</v>
      </c>
      <c r="AA9" s="1">
        <v>143507</v>
      </c>
      <c r="AB9" s="1">
        <v>148231</v>
      </c>
    </row>
    <row r="10" spans="2:28">
      <c r="D10" s="24"/>
      <c r="E10" s="24"/>
    </row>
    <row r="12" spans="2:28">
      <c r="B12" s="1" t="s">
        <v>41</v>
      </c>
    </row>
    <row r="13" spans="2:28">
      <c r="C13" s="2" t="s">
        <v>313</v>
      </c>
      <c r="D13" s="2" t="s">
        <v>314</v>
      </c>
      <c r="E13" s="2" t="s">
        <v>315</v>
      </c>
      <c r="F13" s="2" t="s">
        <v>316</v>
      </c>
      <c r="G13" s="2" t="s">
        <v>317</v>
      </c>
      <c r="H13" s="2" t="s">
        <v>318</v>
      </c>
      <c r="I13" s="2" t="s">
        <v>319</v>
      </c>
      <c r="J13" s="2" t="s">
        <v>320</v>
      </c>
      <c r="K13" s="2" t="s">
        <v>321</v>
      </c>
      <c r="L13" s="2" t="s">
        <v>322</v>
      </c>
      <c r="M13" s="2" t="s">
        <v>323</v>
      </c>
      <c r="N13" s="2" t="s">
        <v>324</v>
      </c>
      <c r="O13" s="2" t="s">
        <v>325</v>
      </c>
      <c r="P13" s="2" t="s">
        <v>326</v>
      </c>
      <c r="Q13" s="2" t="s">
        <v>327</v>
      </c>
      <c r="R13" s="2" t="s">
        <v>328</v>
      </c>
      <c r="S13" s="2" t="s">
        <v>329</v>
      </c>
      <c r="T13" s="2" t="s">
        <v>330</v>
      </c>
      <c r="U13" s="2" t="s">
        <v>331</v>
      </c>
      <c r="V13" s="2" t="s">
        <v>332</v>
      </c>
      <c r="W13" s="2" t="s">
        <v>333</v>
      </c>
      <c r="X13" s="2" t="s">
        <v>334</v>
      </c>
      <c r="Y13" s="2" t="s">
        <v>335</v>
      </c>
      <c r="Z13" s="2" t="s">
        <v>311</v>
      </c>
      <c r="AA13" s="2" t="s">
        <v>312</v>
      </c>
      <c r="AB13" s="2" t="s">
        <v>384</v>
      </c>
    </row>
    <row r="14" spans="2:28">
      <c r="B14" s="1" t="s">
        <v>37</v>
      </c>
      <c r="C14" s="24">
        <f t="shared" ref="C14:AA14" si="0">C3/$C$3*100</f>
        <v>100</v>
      </c>
      <c r="D14" s="24">
        <f t="shared" si="0"/>
        <v>99.684942974678421</v>
      </c>
      <c r="E14" s="24">
        <f t="shared" si="0"/>
        <v>94.987249835077293</v>
      </c>
      <c r="F14" s="24">
        <f t="shared" si="0"/>
        <v>91.682237342101786</v>
      </c>
      <c r="G14" s="24">
        <f t="shared" si="0"/>
        <v>88.283093525642428</v>
      </c>
      <c r="H14" s="24">
        <f t="shared" si="0"/>
        <v>85.579904248383244</v>
      </c>
      <c r="I14" s="24">
        <f t="shared" si="0"/>
        <v>81.662652368650157</v>
      </c>
      <c r="J14" s="24">
        <f t="shared" si="0"/>
        <v>78.834854823008683</v>
      </c>
      <c r="K14" s="24">
        <f>K3/$C$3*100</f>
        <v>79.535824555673145</v>
      </c>
      <c r="L14" s="24">
        <f t="shared" si="0"/>
        <v>80.831159011209593</v>
      </c>
      <c r="M14" s="24">
        <f t="shared" si="0"/>
        <v>83.923990242233842</v>
      </c>
      <c r="N14" s="24">
        <f>N3/$C$3*100</f>
        <v>87.249577887883419</v>
      </c>
      <c r="O14" s="24">
        <f t="shared" si="0"/>
        <v>86.259655854852596</v>
      </c>
      <c r="P14" s="24">
        <f t="shared" si="0"/>
        <v>80.193329278313669</v>
      </c>
      <c r="Q14" s="24">
        <f t="shared" si="0"/>
        <v>80.502599541945656</v>
      </c>
      <c r="R14" s="24">
        <f t="shared" si="0"/>
        <v>81.794719129876796</v>
      </c>
      <c r="S14" s="24">
        <f t="shared" si="0"/>
        <v>80.629651109708007</v>
      </c>
      <c r="T14" s="24">
        <f t="shared" si="0"/>
        <v>82.541082793128425</v>
      </c>
      <c r="U14" s="24">
        <f t="shared" si="0"/>
        <v>84.776830320573737</v>
      </c>
      <c r="V14" s="24">
        <f t="shared" si="0"/>
        <v>84.883821114478863</v>
      </c>
      <c r="W14" s="24">
        <f t="shared" si="0"/>
        <v>84.804735371387935</v>
      </c>
      <c r="X14" s="24">
        <f t="shared" si="0"/>
        <v>86.853377604203502</v>
      </c>
      <c r="Y14" s="24">
        <f t="shared" si="0"/>
        <v>94.831007269458638</v>
      </c>
      <c r="Z14" s="24">
        <f t="shared" si="0"/>
        <v>99.80415026548377</v>
      </c>
      <c r="AA14" s="24">
        <f t="shared" si="0"/>
        <v>95.759718223284125</v>
      </c>
      <c r="AB14" s="24">
        <f>AB3/$C$3*100</f>
        <v>96.44988600079472</v>
      </c>
    </row>
    <row r="15" spans="2:28">
      <c r="B15" s="1" t="s">
        <v>38</v>
      </c>
      <c r="C15" s="24">
        <f t="shared" ref="C15:AB15" si="1">C4/$C$4*100</f>
        <v>100</v>
      </c>
      <c r="D15" s="24">
        <f t="shared" si="1"/>
        <v>101.88069350573024</v>
      </c>
      <c r="E15" s="24">
        <f t="shared" si="1"/>
        <v>103.15837766196694</v>
      </c>
      <c r="F15" s="24">
        <f t="shared" si="1"/>
        <v>103.33739137735611</v>
      </c>
      <c r="G15" s="24">
        <f t="shared" si="1"/>
        <v>103.03633648581383</v>
      </c>
      <c r="H15" s="24">
        <f t="shared" si="1"/>
        <v>102.58565371490943</v>
      </c>
      <c r="I15" s="24">
        <f t="shared" si="1"/>
        <v>98.532507331466235</v>
      </c>
      <c r="J15" s="24">
        <f t="shared" si="1"/>
        <v>97.223938061854184</v>
      </c>
      <c r="K15" s="24">
        <f t="shared" si="1"/>
        <v>93.589090058591765</v>
      </c>
      <c r="L15" s="24">
        <f t="shared" si="1"/>
        <v>88.703844746832033</v>
      </c>
      <c r="M15" s="24">
        <f t="shared" si="1"/>
        <v>83.524441219332274</v>
      </c>
      <c r="N15" s="24">
        <f t="shared" si="1"/>
        <v>82.631171775204351</v>
      </c>
      <c r="O15" s="24">
        <f t="shared" si="1"/>
        <v>76.919524789051678</v>
      </c>
      <c r="P15" s="24">
        <f t="shared" si="1"/>
        <v>73.135948472836091</v>
      </c>
      <c r="Q15" s="24">
        <f t="shared" si="1"/>
        <v>71.803990476590286</v>
      </c>
      <c r="R15" s="24">
        <f t="shared" si="1"/>
        <v>72.414196357355749</v>
      </c>
      <c r="S15" s="24">
        <f t="shared" si="1"/>
        <v>69.649828782526825</v>
      </c>
      <c r="T15" s="24">
        <f t="shared" si="1"/>
        <v>62.690783042573486</v>
      </c>
      <c r="U15" s="24">
        <f t="shared" si="1"/>
        <v>62.230504896639815</v>
      </c>
      <c r="V15" s="24">
        <f t="shared" si="1"/>
        <v>61.064067119648321</v>
      </c>
      <c r="W15" s="24">
        <f t="shared" si="1"/>
        <v>58.927297042825359</v>
      </c>
      <c r="X15" s="24">
        <f t="shared" si="1"/>
        <v>90.218714579572648</v>
      </c>
      <c r="Y15" s="24">
        <f t="shared" si="1"/>
        <v>90.577641576760001</v>
      </c>
      <c r="Z15" s="24">
        <f t="shared" si="1"/>
        <v>91.302092391467312</v>
      </c>
      <c r="AA15" s="24">
        <f t="shared" si="1"/>
        <v>91.694603201256996</v>
      </c>
      <c r="AB15" s="24">
        <f t="shared" si="1"/>
        <v>92.123096667406315</v>
      </c>
    </row>
    <row r="16" spans="2:28">
      <c r="B16" s="1" t="s">
        <v>39</v>
      </c>
      <c r="C16" s="24">
        <f t="shared" ref="C16:AB16" si="2">C5/$C$5*100</f>
        <v>100</v>
      </c>
      <c r="D16" s="24">
        <f t="shared" si="2"/>
        <v>106.73001265385942</v>
      </c>
      <c r="E16" s="24">
        <f t="shared" si="2"/>
        <v>113.61049119981594</v>
      </c>
      <c r="F16" s="24">
        <f t="shared" si="2"/>
        <v>121.83503968710457</v>
      </c>
      <c r="G16" s="24">
        <f t="shared" si="2"/>
        <v>117.51064074542737</v>
      </c>
      <c r="H16" s="24">
        <f t="shared" si="2"/>
        <v>126.71896928563211</v>
      </c>
      <c r="I16" s="24">
        <f t="shared" si="2"/>
        <v>136.35798918670196</v>
      </c>
      <c r="J16" s="24">
        <f t="shared" si="2"/>
        <v>150.85609110778788</v>
      </c>
      <c r="K16" s="24">
        <f>K5/$C$5*100</f>
        <v>159.54538134130908</v>
      </c>
      <c r="L16" s="24">
        <f t="shared" si="2"/>
        <v>163.95398596571954</v>
      </c>
      <c r="M16" s="24">
        <f t="shared" si="2"/>
        <v>167.0995053491315</v>
      </c>
      <c r="N16" s="24">
        <f t="shared" si="2"/>
        <v>172.35430806395951</v>
      </c>
      <c r="O16" s="24">
        <f t="shared" si="2"/>
        <v>177.09099275278962</v>
      </c>
      <c r="P16" s="24">
        <f t="shared" si="2"/>
        <v>196.13436098009893</v>
      </c>
      <c r="Q16" s="24">
        <f t="shared" si="2"/>
        <v>221.42919590475097</v>
      </c>
      <c r="R16" s="24">
        <f t="shared" si="2"/>
        <v>228.62072932244334</v>
      </c>
      <c r="S16" s="24">
        <f t="shared" si="2"/>
        <v>229.33532727481884</v>
      </c>
      <c r="T16" s="24">
        <f t="shared" si="2"/>
        <v>230.5579201656505</v>
      </c>
      <c r="U16" s="24">
        <f t="shared" si="2"/>
        <v>237.97032094788912</v>
      </c>
      <c r="V16" s="24">
        <f t="shared" si="2"/>
        <v>243.04060738525251</v>
      </c>
      <c r="W16" s="24">
        <f t="shared" si="2"/>
        <v>249.24882089037155</v>
      </c>
      <c r="X16" s="24">
        <f t="shared" si="2"/>
        <v>254.24502473254344</v>
      </c>
      <c r="Y16" s="24">
        <f t="shared" si="2"/>
        <v>254.70516507534796</v>
      </c>
      <c r="Z16" s="24">
        <f t="shared" si="2"/>
        <v>263.22420338203153</v>
      </c>
      <c r="AA16" s="24">
        <f t="shared" si="2"/>
        <v>271.18969285632119</v>
      </c>
      <c r="AB16" s="24">
        <f t="shared" si="2"/>
        <v>310.72495111008863</v>
      </c>
    </row>
    <row r="17" spans="2:28" hidden="1">
      <c r="B17" s="1" t="s">
        <v>1</v>
      </c>
      <c r="C17" s="24">
        <f t="shared" ref="C17:AB17" si="3">C6/$C$6*100</f>
        <v>100</v>
      </c>
      <c r="D17" s="24">
        <f t="shared" si="3"/>
        <v>112.89189445737249</v>
      </c>
      <c r="E17" s="24">
        <f t="shared" si="3"/>
        <v>131.14997511872539</v>
      </c>
      <c r="F17" s="24">
        <f t="shared" si="3"/>
        <v>139.86860385846725</v>
      </c>
      <c r="G17" s="24">
        <f t="shared" si="3"/>
        <v>145.71429393270839</v>
      </c>
      <c r="H17" s="24">
        <f t="shared" si="3"/>
        <v>151.23960523628583</v>
      </c>
      <c r="I17" s="24">
        <f t="shared" si="3"/>
        <v>156.26291884677451</v>
      </c>
      <c r="J17" s="24">
        <f t="shared" si="3"/>
        <v>161.64285447186978</v>
      </c>
      <c r="K17" s="24">
        <f t="shared" si="3"/>
        <v>164.13903598724008</v>
      </c>
      <c r="L17" s="24">
        <f t="shared" si="3"/>
        <v>167.77613181035002</v>
      </c>
      <c r="M17" s="24">
        <f t="shared" si="3"/>
        <v>163.91576609875997</v>
      </c>
      <c r="N17" s="24">
        <f t="shared" si="3"/>
        <v>163.00312669890207</v>
      </c>
      <c r="O17" s="24">
        <f t="shared" si="3"/>
        <v>161.91525409102806</v>
      </c>
      <c r="P17" s="24">
        <f t="shared" si="3"/>
        <v>160.91085600214006</v>
      </c>
      <c r="Q17" s="24">
        <f t="shared" si="3"/>
        <v>159.3821389842112</v>
      </c>
      <c r="R17" s="24">
        <f t="shared" si="3"/>
        <v>157.91819957371044</v>
      </c>
      <c r="S17" s="24">
        <f t="shared" si="3"/>
        <v>153.03905353357246</v>
      </c>
      <c r="T17" s="24">
        <f t="shared" si="3"/>
        <v>148.34261946607376</v>
      </c>
      <c r="U17" s="24">
        <f t="shared" si="3"/>
        <v>142.28786915613648</v>
      </c>
      <c r="V17" s="24">
        <f t="shared" si="3"/>
        <v>133.88484428349122</v>
      </c>
      <c r="W17" s="24">
        <f t="shared" si="3"/>
        <v>125.75047964769266</v>
      </c>
      <c r="X17" s="24">
        <f t="shared" si="3"/>
        <v>119.07211542610261</v>
      </c>
      <c r="Y17" s="24">
        <f t="shared" si="3"/>
        <v>109.6649225804039</v>
      </c>
      <c r="Z17" s="24">
        <f t="shared" si="3"/>
        <v>103.71706107561893</v>
      </c>
      <c r="AA17" s="24">
        <f t="shared" si="3"/>
        <v>99.791745169724805</v>
      </c>
      <c r="AB17" s="24">
        <f t="shared" si="3"/>
        <v>97.948574863872111</v>
      </c>
    </row>
    <row r="18" spans="2:28">
      <c r="B18" s="1" t="s">
        <v>42</v>
      </c>
      <c r="C18" s="24">
        <f t="shared" ref="C18:AB18" si="4">C7/$C$7*100</f>
        <v>100</v>
      </c>
      <c r="D18" s="24">
        <f t="shared" si="4"/>
        <v>110.07380631683115</v>
      </c>
      <c r="E18" s="24">
        <f t="shared" si="4"/>
        <v>114.39566783034168</v>
      </c>
      <c r="F18" s="24">
        <f t="shared" si="4"/>
        <v>130.16025729129444</v>
      </c>
      <c r="G18" s="24">
        <f t="shared" si="4"/>
        <v>136.86879793287338</v>
      </c>
      <c r="H18" s="24">
        <f t="shared" si="4"/>
        <v>144.30921685587839</v>
      </c>
      <c r="I18" s="24">
        <f t="shared" si="4"/>
        <v>160.67855081228183</v>
      </c>
      <c r="J18" s="24">
        <f t="shared" si="4"/>
        <v>150.3951455510047</v>
      </c>
      <c r="K18" s="24">
        <f t="shared" si="4"/>
        <v>149.51139393606201</v>
      </c>
      <c r="L18" s="24">
        <f t="shared" si="4"/>
        <v>144.58891118502433</v>
      </c>
      <c r="M18" s="24">
        <f t="shared" si="4"/>
        <v>142.60081365623026</v>
      </c>
      <c r="N18" s="24">
        <f t="shared" si="4"/>
        <v>142.51834849775972</v>
      </c>
      <c r="O18" s="24">
        <f t="shared" si="4"/>
        <v>146.92679842766432</v>
      </c>
      <c r="P18" s="24">
        <f t="shared" si="4"/>
        <v>152.22381044008907</v>
      </c>
      <c r="Q18" s="24">
        <f t="shared" si="4"/>
        <v>152.72409906814372</v>
      </c>
      <c r="R18" s="24">
        <f t="shared" si="4"/>
        <v>162.97383105637869</v>
      </c>
      <c r="S18" s="24">
        <f t="shared" si="4"/>
        <v>178.69237747051872</v>
      </c>
      <c r="T18" s="24">
        <f t="shared" si="4"/>
        <v>192.25033673273043</v>
      </c>
      <c r="U18" s="24">
        <f t="shared" si="4"/>
        <v>182.76615629896369</v>
      </c>
      <c r="V18" s="24">
        <f t="shared" si="4"/>
        <v>191.33497347370735</v>
      </c>
      <c r="W18" s="24">
        <f t="shared" si="4"/>
        <v>182.77096676654114</v>
      </c>
      <c r="X18" s="24">
        <f t="shared" si="4"/>
        <v>180.72239478820197</v>
      </c>
      <c r="Y18" s="24">
        <f t="shared" si="4"/>
        <v>200.85145276120838</v>
      </c>
      <c r="Z18" s="24">
        <f t="shared" si="4"/>
        <v>154.72113032243877</v>
      </c>
      <c r="AA18" s="24">
        <f t="shared" si="4"/>
        <v>134.35017455125208</v>
      </c>
      <c r="AB18" s="24">
        <f t="shared" si="4"/>
        <v>140.62096264328321</v>
      </c>
    </row>
    <row r="19" spans="2:28">
      <c r="B19" s="1" t="s">
        <v>40</v>
      </c>
      <c r="C19" s="24">
        <f t="shared" ref="C19:AB19" si="5">C8/$C$8*100</f>
        <v>100</v>
      </c>
      <c r="D19" s="24">
        <f t="shared" si="5"/>
        <v>96.467714342225733</v>
      </c>
      <c r="E19" s="24">
        <f t="shared" si="5"/>
        <v>113.28924858131518</v>
      </c>
      <c r="F19" s="24">
        <f t="shared" si="5"/>
        <v>83.156035961086332</v>
      </c>
      <c r="G19" s="24">
        <f t="shared" si="5"/>
        <v>79.566044545582443</v>
      </c>
      <c r="H19" s="24">
        <f t="shared" si="5"/>
        <v>72.85647578907016</v>
      </c>
      <c r="I19" s="24">
        <f t="shared" si="5"/>
        <v>58.708165874486916</v>
      </c>
      <c r="J19" s="24">
        <f t="shared" si="5"/>
        <v>44.799039188938437</v>
      </c>
      <c r="K19" s="24">
        <f t="shared" si="5"/>
        <v>37.72692330435811</v>
      </c>
      <c r="L19" s="24">
        <f t="shared" si="5"/>
        <v>34.006431235331419</v>
      </c>
      <c r="M19" s="24">
        <f t="shared" si="5"/>
        <v>30.697220132172692</v>
      </c>
      <c r="N19" s="24">
        <f t="shared" si="5"/>
        <v>33.059281960935444</v>
      </c>
      <c r="O19" s="24">
        <f t="shared" si="5"/>
        <v>25.326710425167047</v>
      </c>
      <c r="P19" s="24">
        <f t="shared" si="5"/>
        <v>25.656632389854391</v>
      </c>
      <c r="Q19" s="24">
        <f t="shared" si="5"/>
        <v>19.447859891235861</v>
      </c>
      <c r="R19" s="24">
        <f t="shared" si="5"/>
        <v>18.369598241503692</v>
      </c>
      <c r="S19" s="24">
        <f t="shared" si="5"/>
        <v>15.64274630469048</v>
      </c>
      <c r="T19" s="24">
        <f t="shared" si="5"/>
        <v>17.071728460765183</v>
      </c>
      <c r="U19" s="24">
        <f t="shared" si="5"/>
        <v>20.770810266323288</v>
      </c>
      <c r="V19" s="24">
        <f t="shared" si="5"/>
        <v>20.569961604260847</v>
      </c>
      <c r="W19" s="24">
        <f t="shared" si="5"/>
        <v>20.41356472730461</v>
      </c>
      <c r="X19" s="24">
        <f t="shared" si="5"/>
        <v>23.60369398412378</v>
      </c>
      <c r="Y19" s="24">
        <f t="shared" si="5"/>
        <v>25.428052338918356</v>
      </c>
      <c r="Z19" s="24">
        <f t="shared" si="5"/>
        <v>32.075837192278442</v>
      </c>
      <c r="AA19" s="24">
        <f t="shared" si="5"/>
        <v>36.250838568652519</v>
      </c>
      <c r="AB19" s="24">
        <f t="shared" si="5"/>
        <v>43.511772586298655</v>
      </c>
    </row>
    <row r="20" spans="2:28" ht="38.25">
      <c r="B20" s="25" t="s">
        <v>43</v>
      </c>
      <c r="C20" s="24">
        <f t="shared" ref="C20:AB20" si="6">C9/$C$9*100</f>
        <v>100</v>
      </c>
      <c r="D20" s="24">
        <f t="shared" si="6"/>
        <v>95.70975657513759</v>
      </c>
      <c r="E20" s="24">
        <f t="shared" si="6"/>
        <v>91.601571450592218</v>
      </c>
      <c r="F20" s="24">
        <f t="shared" si="6"/>
        <v>90.077197718647014</v>
      </c>
      <c r="G20" s="24">
        <f t="shared" si="6"/>
        <v>82.509488278695002</v>
      </c>
      <c r="H20" s="24">
        <f t="shared" si="6"/>
        <v>74.5889106914466</v>
      </c>
      <c r="I20" s="24">
        <f t="shared" si="6"/>
        <v>66.870805264276171</v>
      </c>
      <c r="J20" s="24">
        <f t="shared" si="6"/>
        <v>63.192144413476484</v>
      </c>
      <c r="K20" s="24">
        <f t="shared" si="6"/>
        <v>59.057296288427011</v>
      </c>
      <c r="L20" s="24">
        <f t="shared" si="6"/>
        <v>55.976886511438003</v>
      </c>
      <c r="M20" s="24">
        <f t="shared" si="6"/>
        <v>54.307116104868911</v>
      </c>
      <c r="N20" s="24">
        <f t="shared" si="6"/>
        <v>54.240041994225798</v>
      </c>
      <c r="O20" s="24">
        <f t="shared" si="6"/>
        <v>54.274203963621673</v>
      </c>
      <c r="P20" s="24">
        <f t="shared" si="6"/>
        <v>56.629296805022648</v>
      </c>
      <c r="Q20" s="24">
        <f t="shared" si="6"/>
        <v>57.555419463157151</v>
      </c>
      <c r="R20" s="24">
        <f t="shared" si="6"/>
        <v>56.43349039507067</v>
      </c>
      <c r="S20" s="24">
        <f t="shared" si="6"/>
        <v>55.031183212308306</v>
      </c>
      <c r="T20" s="24">
        <f t="shared" si="6"/>
        <v>54.436265013560636</v>
      </c>
      <c r="U20" s="24">
        <f t="shared" si="6"/>
        <v>54.124224585786116</v>
      </c>
      <c r="V20" s="24">
        <f t="shared" si="6"/>
        <v>54.301283573508641</v>
      </c>
      <c r="W20" s="24">
        <f t="shared" si="6"/>
        <v>54.56624714101811</v>
      </c>
      <c r="X20" s="24">
        <f t="shared" si="6"/>
        <v>54.66831643982286</v>
      </c>
      <c r="Y20" s="24">
        <f t="shared" si="6"/>
        <v>57.17297204967651</v>
      </c>
      <c r="Z20" s="24">
        <f t="shared" si="6"/>
        <v>59.314760887044692</v>
      </c>
      <c r="AA20" s="24">
        <f t="shared" si="6"/>
        <v>59.786362708460913</v>
      </c>
      <c r="AB20" s="24">
        <f t="shared" si="6"/>
        <v>61.754425433169601</v>
      </c>
    </row>
  </sheetData>
  <phoneticPr fontId="6"/>
  <pageMargins left="0.78700000000000003" right="0.78700000000000003" top="0.98399999999999999" bottom="0.98399999999999999" header="0.51200000000000001" footer="0.51200000000000001"/>
  <pageSetup paperSize="9" scale="4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X51"/>
  <sheetViews>
    <sheetView view="pageBreakPreview" zoomScaleNormal="100" zoomScaleSheetLayoutView="100" workbookViewId="0"/>
  </sheetViews>
  <sheetFormatPr defaultRowHeight="19.5"/>
  <cols>
    <col min="1" max="1" width="9.140625" style="405"/>
    <col min="2" max="2" width="4.5703125" style="405" customWidth="1"/>
    <col min="3" max="3" width="11.5703125" style="405" customWidth="1"/>
    <col min="4" max="4" width="9.140625" style="405"/>
    <col min="5" max="7" width="10.5703125" style="405" customWidth="1"/>
    <col min="8" max="11" width="9.140625" style="405"/>
    <col min="12" max="12" width="12.7109375" style="405" customWidth="1"/>
    <col min="13" max="16384" width="9.140625" style="405"/>
  </cols>
  <sheetData>
    <row r="1" spans="1:13" ht="15" customHeight="1"/>
    <row r="2" spans="1:13" ht="30" customHeight="1">
      <c r="A2" s="358" t="s">
        <v>2</v>
      </c>
    </row>
    <row r="3" spans="1:13" ht="20.25" customHeight="1">
      <c r="A3" s="405" t="s">
        <v>3</v>
      </c>
    </row>
    <row r="4" spans="1:13" ht="15" customHeight="1"/>
    <row r="5" spans="1:13" ht="20.25" customHeight="1">
      <c r="C5" s="698" t="s">
        <v>153</v>
      </c>
      <c r="D5" s="698"/>
      <c r="E5" s="698"/>
      <c r="F5" s="698"/>
      <c r="G5" s="698"/>
      <c r="H5" s="698"/>
      <c r="I5" s="698"/>
      <c r="J5" s="698"/>
      <c r="K5" s="698"/>
      <c r="L5" s="698"/>
    </row>
    <row r="6" spans="1:13" ht="20.25" customHeight="1">
      <c r="C6" s="698" t="s">
        <v>145</v>
      </c>
      <c r="D6" s="698"/>
      <c r="E6" s="698"/>
      <c r="F6" s="698"/>
      <c r="G6" s="698"/>
      <c r="H6" s="698"/>
      <c r="I6" s="698"/>
      <c r="J6" s="698"/>
      <c r="K6" s="698"/>
      <c r="L6" s="698"/>
    </row>
    <row r="7" spans="1:13" ht="12.75" customHeight="1">
      <c r="C7" s="698"/>
      <c r="D7" s="698"/>
      <c r="E7" s="698"/>
      <c r="F7" s="698"/>
      <c r="G7" s="698"/>
      <c r="H7" s="698"/>
      <c r="I7" s="698"/>
      <c r="J7" s="698"/>
      <c r="K7" s="698"/>
      <c r="L7" s="698"/>
    </row>
    <row r="8" spans="1:13">
      <c r="C8" s="405" t="s">
        <v>4</v>
      </c>
    </row>
    <row r="10" spans="1:13" ht="18.75" customHeight="1">
      <c r="D10" s="405" t="s">
        <v>161</v>
      </c>
      <c r="M10" s="357"/>
    </row>
    <row r="11" spans="1:13" ht="9.75" customHeight="1"/>
    <row r="12" spans="1:13" ht="18.75" customHeight="1">
      <c r="D12" s="405" t="s">
        <v>5</v>
      </c>
    </row>
    <row r="13" spans="1:13" ht="9.75" customHeight="1"/>
    <row r="14" spans="1:13" ht="18.75" customHeight="1">
      <c r="D14" s="405" t="s">
        <v>6</v>
      </c>
    </row>
    <row r="15" spans="1:13" ht="18.75" customHeight="1">
      <c r="D15" s="405" t="s">
        <v>7</v>
      </c>
    </row>
    <row r="16" spans="1:13" ht="15" customHeight="1"/>
    <row r="17" spans="1:12" ht="18.75" customHeight="1">
      <c r="C17" s="405" t="s">
        <v>8</v>
      </c>
    </row>
    <row r="18" spans="1:12" ht="14.25" customHeight="1"/>
    <row r="19" spans="1:12" ht="19.5" customHeight="1"/>
    <row r="20" spans="1:12" ht="19.5" customHeight="1">
      <c r="C20" s="356" t="s">
        <v>154</v>
      </c>
      <c r="E20" s="698" t="s">
        <v>166</v>
      </c>
      <c r="F20" s="698"/>
      <c r="G20" s="698"/>
      <c r="H20" s="698"/>
      <c r="I20" s="356" t="s">
        <v>262</v>
      </c>
      <c r="J20" s="356"/>
    </row>
    <row r="21" spans="1:12" ht="19.5" customHeight="1">
      <c r="E21" s="405" t="s">
        <v>155</v>
      </c>
    </row>
    <row r="22" spans="1:12" ht="19.5" customHeight="1"/>
    <row r="23" spans="1:12" ht="19.5" customHeight="1"/>
    <row r="24" spans="1:12" ht="26.25" customHeight="1"/>
    <row r="25" spans="1:12" ht="20.25" customHeight="1">
      <c r="A25" s="405" t="s">
        <v>9</v>
      </c>
    </row>
    <row r="26" spans="1:12" ht="15" customHeight="1"/>
    <row r="27" spans="1:12" ht="20.25" customHeight="1">
      <c r="C27" s="693" t="s">
        <v>146</v>
      </c>
      <c r="D27" s="693"/>
      <c r="E27" s="693"/>
      <c r="F27" s="693"/>
      <c r="G27" s="693"/>
      <c r="H27" s="693"/>
      <c r="I27" s="693"/>
      <c r="J27" s="693"/>
      <c r="K27" s="693"/>
      <c r="L27" s="693"/>
    </row>
    <row r="28" spans="1:12" ht="20.25" customHeight="1">
      <c r="C28" s="693" t="s">
        <v>147</v>
      </c>
      <c r="D28" s="693"/>
      <c r="E28" s="693"/>
      <c r="F28" s="693"/>
      <c r="G28" s="693"/>
      <c r="H28" s="693"/>
      <c r="I28" s="693"/>
      <c r="J28" s="693"/>
      <c r="K28" s="693"/>
      <c r="L28" s="693"/>
    </row>
    <row r="29" spans="1:12" ht="20.25" customHeight="1">
      <c r="C29" s="693" t="s">
        <v>506</v>
      </c>
      <c r="D29" s="693"/>
      <c r="E29" s="693"/>
      <c r="F29" s="693"/>
      <c r="G29" s="693"/>
      <c r="H29" s="693"/>
      <c r="I29" s="693"/>
      <c r="J29" s="693"/>
      <c r="K29" s="693"/>
      <c r="L29" s="693"/>
    </row>
    <row r="30" spans="1:12" ht="20.25" customHeight="1">
      <c r="C30" s="693" t="s">
        <v>507</v>
      </c>
      <c r="D30" s="693"/>
      <c r="E30" s="693"/>
      <c r="F30" s="693"/>
      <c r="G30" s="693"/>
      <c r="H30" s="693"/>
      <c r="I30" s="693"/>
      <c r="J30" s="693"/>
      <c r="K30" s="693"/>
      <c r="L30" s="693"/>
    </row>
    <row r="31" spans="1:12" ht="18" customHeight="1">
      <c r="C31" s="404"/>
      <c r="D31" s="404"/>
      <c r="E31" s="404"/>
      <c r="F31" s="404"/>
      <c r="G31" s="404"/>
      <c r="H31" s="404"/>
      <c r="I31" s="404"/>
      <c r="J31" s="404"/>
    </row>
    <row r="32" spans="1:12" ht="18" customHeight="1">
      <c r="A32" s="694" t="s">
        <v>310</v>
      </c>
      <c r="B32" s="694"/>
      <c r="C32" s="694"/>
      <c r="D32" s="695" t="s">
        <v>93</v>
      </c>
      <c r="E32" s="695"/>
      <c r="F32" s="695"/>
      <c r="G32" s="695"/>
      <c r="H32" s="695"/>
      <c r="I32" s="695"/>
      <c r="J32" s="695"/>
      <c r="K32" s="695"/>
      <c r="L32" s="696" t="s">
        <v>309</v>
      </c>
    </row>
    <row r="33" spans="1:22" ht="21" customHeight="1">
      <c r="A33" s="694"/>
      <c r="B33" s="694"/>
      <c r="C33" s="694"/>
      <c r="D33" s="697" t="s">
        <v>505</v>
      </c>
      <c r="E33" s="697"/>
      <c r="F33" s="697"/>
      <c r="G33" s="697"/>
      <c r="H33" s="697"/>
      <c r="I33" s="697"/>
      <c r="J33" s="697"/>
      <c r="K33" s="697"/>
      <c r="L33" s="696"/>
    </row>
    <row r="34" spans="1:22" ht="26.25" customHeight="1">
      <c r="C34" s="404"/>
      <c r="D34" s="404"/>
      <c r="E34" s="404"/>
      <c r="F34" s="404"/>
      <c r="G34" s="404"/>
      <c r="H34" s="404"/>
      <c r="I34" s="404"/>
      <c r="J34" s="404"/>
    </row>
    <row r="35" spans="1:22" ht="26.25" customHeight="1">
      <c r="C35" s="355"/>
      <c r="D35" s="404"/>
      <c r="E35" s="404"/>
      <c r="F35" s="404"/>
      <c r="G35" s="404"/>
      <c r="H35" s="404"/>
      <c r="I35" s="404"/>
      <c r="J35" s="404"/>
    </row>
    <row r="36" spans="1:22" ht="20.25" customHeight="1">
      <c r="A36" s="405" t="s">
        <v>94</v>
      </c>
      <c r="C36" s="404"/>
      <c r="D36" s="404"/>
      <c r="E36" s="404"/>
      <c r="F36" s="404"/>
      <c r="G36" s="404"/>
      <c r="H36" s="404"/>
      <c r="I36" s="404"/>
      <c r="J36" s="404"/>
    </row>
    <row r="37" spans="1:22" ht="15" customHeight="1">
      <c r="C37" s="404"/>
      <c r="D37" s="404"/>
      <c r="E37" s="404"/>
      <c r="F37" s="404"/>
      <c r="G37" s="404"/>
      <c r="H37" s="404"/>
      <c r="I37" s="404"/>
      <c r="J37" s="404"/>
    </row>
    <row r="38" spans="1:22" ht="18" customHeight="1">
      <c r="C38" s="693" t="s">
        <v>96</v>
      </c>
      <c r="D38" s="693"/>
      <c r="E38" s="693"/>
      <c r="F38" s="693"/>
      <c r="G38" s="693"/>
      <c r="H38" s="693"/>
      <c r="I38" s="693"/>
      <c r="J38" s="404"/>
    </row>
    <row r="39" spans="1:22" ht="26.25" customHeight="1">
      <c r="C39" s="404"/>
      <c r="D39" s="404"/>
      <c r="E39" s="404"/>
      <c r="F39" s="404"/>
      <c r="G39" s="404"/>
      <c r="H39" s="404"/>
      <c r="I39" s="404"/>
      <c r="J39" s="404"/>
    </row>
    <row r="40" spans="1:22" ht="20.25" customHeight="1">
      <c r="A40" s="405" t="s">
        <v>95</v>
      </c>
      <c r="C40" s="404"/>
      <c r="D40" s="404"/>
      <c r="E40" s="404"/>
      <c r="F40" s="404"/>
      <c r="G40" s="404"/>
      <c r="H40" s="404"/>
      <c r="I40" s="404"/>
      <c r="J40" s="404"/>
    </row>
    <row r="41" spans="1:22" ht="15" customHeight="1">
      <c r="C41" s="404"/>
      <c r="D41" s="404"/>
      <c r="E41" s="404"/>
      <c r="F41" s="404"/>
      <c r="G41" s="404"/>
      <c r="H41" s="404"/>
      <c r="I41" s="404"/>
      <c r="J41" s="404"/>
    </row>
    <row r="42" spans="1:22" ht="20.25" customHeight="1">
      <c r="C42" s="693" t="s">
        <v>148</v>
      </c>
      <c r="D42" s="693"/>
      <c r="E42" s="693"/>
      <c r="F42" s="693"/>
      <c r="G42" s="693"/>
      <c r="H42" s="693"/>
      <c r="I42" s="693"/>
      <c r="J42" s="693"/>
      <c r="K42" s="693"/>
      <c r="L42" s="693"/>
    </row>
    <row r="43" spans="1:22" ht="20.25" customHeight="1">
      <c r="C43" s="693" t="s">
        <v>149</v>
      </c>
      <c r="D43" s="693"/>
      <c r="E43" s="693"/>
      <c r="F43" s="693"/>
      <c r="G43" s="693"/>
      <c r="H43" s="693"/>
      <c r="I43" s="693"/>
      <c r="J43" s="693"/>
      <c r="K43" s="693"/>
      <c r="L43" s="693"/>
    </row>
    <row r="44" spans="1:22" ht="20.25" customHeight="1">
      <c r="C44" s="693" t="s">
        <v>150</v>
      </c>
      <c r="D44" s="693"/>
      <c r="E44" s="693"/>
      <c r="F44" s="693"/>
      <c r="G44" s="693"/>
      <c r="H44" s="693"/>
      <c r="I44" s="693"/>
      <c r="J44" s="693"/>
      <c r="K44" s="693"/>
      <c r="L44" s="693"/>
    </row>
    <row r="45" spans="1:22" ht="20.25" customHeight="1">
      <c r="C45" s="693" t="s">
        <v>151</v>
      </c>
      <c r="D45" s="693"/>
      <c r="E45" s="693"/>
      <c r="F45" s="693"/>
      <c r="G45" s="693"/>
      <c r="H45" s="693"/>
      <c r="I45" s="693"/>
      <c r="J45" s="693"/>
      <c r="K45" s="693"/>
      <c r="L45" s="693"/>
    </row>
    <row r="46" spans="1:22" ht="20.25" customHeight="1">
      <c r="C46" s="693" t="s">
        <v>152</v>
      </c>
      <c r="D46" s="693"/>
      <c r="E46" s="693"/>
      <c r="F46" s="693"/>
      <c r="G46" s="693"/>
      <c r="H46" s="693"/>
      <c r="I46" s="693"/>
      <c r="J46" s="693"/>
      <c r="K46" s="693"/>
      <c r="L46" s="693"/>
    </row>
    <row r="47" spans="1:22" ht="26.25" customHeight="1">
      <c r="C47" s="692"/>
      <c r="D47" s="692"/>
      <c r="E47" s="692"/>
      <c r="F47" s="692"/>
      <c r="G47" s="692"/>
      <c r="H47" s="692"/>
      <c r="I47" s="692"/>
      <c r="J47" s="692"/>
      <c r="K47" s="692"/>
      <c r="L47" s="692"/>
    </row>
    <row r="48" spans="1:22" ht="18" customHeight="1">
      <c r="C48" s="404"/>
      <c r="D48" s="404"/>
      <c r="E48" s="404"/>
      <c r="F48" s="404"/>
      <c r="G48" s="404"/>
      <c r="H48" s="404"/>
      <c r="I48" s="404"/>
      <c r="J48" s="404"/>
      <c r="P48" s="404"/>
      <c r="Q48" s="404"/>
      <c r="R48" s="404"/>
      <c r="S48" s="404"/>
      <c r="T48" s="404"/>
      <c r="U48" s="404"/>
      <c r="V48" s="404"/>
    </row>
    <row r="49" spans="3:24" ht="15" customHeight="1">
      <c r="C49" s="404"/>
      <c r="D49" s="404"/>
      <c r="E49" s="404"/>
      <c r="F49" s="404"/>
      <c r="G49" s="404"/>
      <c r="H49" s="404"/>
      <c r="I49" s="404"/>
      <c r="J49" s="404"/>
      <c r="P49" s="404"/>
      <c r="Q49" s="404"/>
      <c r="R49" s="404"/>
      <c r="S49" s="404"/>
      <c r="T49" s="404"/>
      <c r="U49" s="404"/>
      <c r="V49" s="404"/>
    </row>
    <row r="50" spans="3:24" ht="20.25" customHeight="1">
      <c r="C50" s="693"/>
      <c r="D50" s="693"/>
      <c r="E50" s="693"/>
      <c r="F50" s="693"/>
      <c r="G50" s="693"/>
      <c r="H50" s="693"/>
      <c r="I50" s="693"/>
      <c r="J50" s="693"/>
      <c r="K50" s="693"/>
      <c r="L50" s="693"/>
      <c r="P50" s="693"/>
      <c r="Q50" s="693"/>
      <c r="R50" s="693"/>
      <c r="S50" s="693"/>
      <c r="T50" s="693"/>
      <c r="U50" s="693"/>
      <c r="V50" s="693"/>
      <c r="W50" s="693"/>
      <c r="X50" s="693"/>
    </row>
    <row r="51" spans="3:24" ht="20.25" customHeight="1"/>
  </sheetData>
  <mergeCells count="21">
    <mergeCell ref="C28:L28"/>
    <mergeCell ref="C5:L5"/>
    <mergeCell ref="C6:L6"/>
    <mergeCell ref="C7:L7"/>
    <mergeCell ref="E20:H20"/>
    <mergeCell ref="C27:L27"/>
    <mergeCell ref="C29:L29"/>
    <mergeCell ref="C30:L30"/>
    <mergeCell ref="A32:C33"/>
    <mergeCell ref="D32:K32"/>
    <mergeCell ref="L32:L33"/>
    <mergeCell ref="D33:K33"/>
    <mergeCell ref="C47:L47"/>
    <mergeCell ref="C50:L50"/>
    <mergeCell ref="P50:X50"/>
    <mergeCell ref="C38:I38"/>
    <mergeCell ref="C42:L42"/>
    <mergeCell ref="C43:L43"/>
    <mergeCell ref="C44:L44"/>
    <mergeCell ref="C45:L45"/>
    <mergeCell ref="C46:L46"/>
  </mergeCells>
  <phoneticPr fontId="6"/>
  <pageMargins left="0.62992125984251968" right="0.35433070866141736" top="0.6692913385826772" bottom="0.98425196850393704" header="0.51181102362204722" footer="0.51181102362204722"/>
  <pageSetup paperSize="9" scale="85" firstPageNumber="8" fitToHeight="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2"/>
    <outlinePr summaryBelow="0" summaryRight="0"/>
    <pageSetUpPr autoPageBreaks="0" fitToPage="1"/>
  </sheetPr>
  <dimension ref="A1:L66"/>
  <sheetViews>
    <sheetView zoomScaleNormal="75" workbookViewId="0">
      <pane xSplit="2" ySplit="5" topLeftCell="C6" activePane="bottomRight" state="frozen"/>
      <selection activeCell="AI59" sqref="AI59"/>
      <selection pane="topRight" activeCell="AI59" sqref="AI59"/>
      <selection pane="bottomLeft" activeCell="AI59" sqref="AI59"/>
      <selection pane="bottomRight" activeCell="AI59" sqref="AI59"/>
    </sheetView>
  </sheetViews>
  <sheetFormatPr defaultColWidth="9.85546875" defaultRowHeight="12.75"/>
  <cols>
    <col min="1" max="1" width="4.28515625" style="104" customWidth="1"/>
    <col min="2" max="2" width="9.85546875" customWidth="1"/>
    <col min="3" max="3" width="11.28515625" customWidth="1"/>
    <col min="4" max="7" width="11.28515625" style="104" customWidth="1"/>
    <col min="8" max="9" width="11.28515625" customWidth="1"/>
    <col min="10" max="10" width="4.42578125" customWidth="1"/>
    <col min="11" max="255" width="9.85546875" customWidth="1"/>
  </cols>
  <sheetData>
    <row r="1" spans="1:12" ht="23.25" customHeight="1">
      <c r="A1" s="720"/>
      <c r="B1" s="720"/>
      <c r="C1" s="720"/>
      <c r="D1" s="720"/>
      <c r="E1" s="720"/>
      <c r="F1" s="720"/>
      <c r="G1" s="720"/>
      <c r="H1" s="720"/>
      <c r="I1" s="720"/>
      <c r="K1" s="173"/>
    </row>
    <row r="2" spans="1:12" ht="20.25" customHeight="1">
      <c r="A2" s="721" t="s">
        <v>305</v>
      </c>
      <c r="B2" s="721"/>
      <c r="C2" s="721"/>
      <c r="D2" s="721"/>
      <c r="E2" s="721"/>
      <c r="F2" s="722" t="str">
        <f>J66&amp;"年度決算現在）"</f>
        <v>2年度決算現在）</v>
      </c>
      <c r="G2" s="722"/>
      <c r="H2" s="406"/>
      <c r="I2" s="406"/>
    </row>
    <row r="3" spans="1:12" ht="13.5" thickBot="1">
      <c r="A3" s="172"/>
      <c r="B3" s="171"/>
      <c r="C3" s="171"/>
      <c r="D3" s="170"/>
      <c r="E3" s="170"/>
      <c r="F3" s="723" t="s">
        <v>304</v>
      </c>
      <c r="G3" s="723"/>
      <c r="H3" s="723"/>
      <c r="I3" s="723"/>
    </row>
    <row r="4" spans="1:12" ht="22.5" customHeight="1">
      <c r="A4" s="169" t="s">
        <v>303</v>
      </c>
      <c r="B4" s="168"/>
      <c r="C4" s="724" t="s">
        <v>302</v>
      </c>
      <c r="D4" s="725"/>
      <c r="E4" s="725"/>
      <c r="F4" s="725"/>
      <c r="G4" s="725"/>
      <c r="H4" s="726"/>
      <c r="I4" s="167" t="s">
        <v>301</v>
      </c>
      <c r="J4" s="719" t="s">
        <v>300</v>
      </c>
    </row>
    <row r="5" spans="1:12" s="159" customFormat="1" ht="24" customHeight="1" thickBot="1">
      <c r="A5" s="166" t="s">
        <v>299</v>
      </c>
      <c r="B5" s="165"/>
      <c r="C5" s="164" t="s">
        <v>298</v>
      </c>
      <c r="D5" s="163" t="s">
        <v>297</v>
      </c>
      <c r="E5" s="163" t="s">
        <v>296</v>
      </c>
      <c r="F5" s="163" t="s">
        <v>295</v>
      </c>
      <c r="G5" s="162" t="s">
        <v>294</v>
      </c>
      <c r="H5" s="161" t="s">
        <v>293</v>
      </c>
      <c r="I5" s="160" t="s">
        <v>292</v>
      </c>
      <c r="J5" s="719"/>
    </row>
    <row r="6" spans="1:12" s="159" customFormat="1" ht="22.5" hidden="1" customHeight="1">
      <c r="A6" s="703">
        <v>3</v>
      </c>
      <c r="B6" s="117" t="s">
        <v>289</v>
      </c>
      <c r="C6" s="153">
        <v>764545</v>
      </c>
      <c r="D6" s="152">
        <v>3203</v>
      </c>
      <c r="E6" s="152">
        <v>730</v>
      </c>
      <c r="F6" s="152">
        <v>409</v>
      </c>
      <c r="G6" s="152">
        <v>277</v>
      </c>
      <c r="H6" s="151">
        <f>SUM(C6:G6)</f>
        <v>769164</v>
      </c>
      <c r="I6" s="717">
        <v>773063</v>
      </c>
      <c r="J6" t="str">
        <f>IF(AND(I6="",I4&lt;&gt;""),A4,"")</f>
        <v/>
      </c>
    </row>
    <row r="7" spans="1:12" ht="22.5" hidden="1" customHeight="1">
      <c r="A7" s="708"/>
      <c r="B7" s="113" t="s">
        <v>288</v>
      </c>
      <c r="C7" s="158">
        <v>98.9</v>
      </c>
      <c r="D7" s="157">
        <v>0.41</v>
      </c>
      <c r="E7" s="157">
        <v>0.1</v>
      </c>
      <c r="F7" s="157">
        <v>0.05</v>
      </c>
      <c r="G7" s="157">
        <f>G6/I6*100</f>
        <v>3.5831491094516228E-2</v>
      </c>
      <c r="H7" s="156">
        <f>H6/I6*100</f>
        <v>99.495642657842893</v>
      </c>
      <c r="I7" s="718"/>
      <c r="K7" s="155"/>
      <c r="L7" s="155"/>
    </row>
    <row r="8" spans="1:12" ht="22.5" hidden="1" customHeight="1">
      <c r="A8" s="703">
        <v>4</v>
      </c>
      <c r="B8" s="117" t="s">
        <v>289</v>
      </c>
      <c r="C8" s="153">
        <v>755803</v>
      </c>
      <c r="D8" s="152">
        <v>4754</v>
      </c>
      <c r="E8" s="152">
        <v>1058</v>
      </c>
      <c r="F8" s="152">
        <v>537</v>
      </c>
      <c r="G8" s="152">
        <v>487</v>
      </c>
      <c r="H8" s="151">
        <f>SUM(C8:G8)</f>
        <v>762639</v>
      </c>
      <c r="I8" s="717">
        <v>768239</v>
      </c>
      <c r="J8" t="str">
        <f>IF(AND(I8="",I6&lt;&gt;""),A6,"")</f>
        <v/>
      </c>
    </row>
    <row r="9" spans="1:12" ht="22.5" hidden="1" customHeight="1">
      <c r="A9" s="704"/>
      <c r="B9" s="125" t="s">
        <v>288</v>
      </c>
      <c r="C9" s="150">
        <v>98.38</v>
      </c>
      <c r="D9" s="154">
        <v>0.62</v>
      </c>
      <c r="E9" s="154">
        <v>0.14000000000000001</v>
      </c>
      <c r="F9" s="154">
        <v>7.0000000000000007E-2</v>
      </c>
      <c r="G9" s="149">
        <v>0.06</v>
      </c>
      <c r="H9" s="148">
        <f>H8/I8*100</f>
        <v>99.27106017788735</v>
      </c>
      <c r="I9" s="718"/>
    </row>
    <row r="10" spans="1:12" ht="22.5" hidden="1" customHeight="1">
      <c r="A10" s="703">
        <v>5</v>
      </c>
      <c r="B10" s="117" t="s">
        <v>289</v>
      </c>
      <c r="C10" s="153">
        <v>721279</v>
      </c>
      <c r="D10" s="152">
        <v>5485</v>
      </c>
      <c r="E10" s="152">
        <v>1422</v>
      </c>
      <c r="F10" s="152">
        <v>724</v>
      </c>
      <c r="G10" s="152">
        <v>402</v>
      </c>
      <c r="H10" s="151">
        <f>SUM(C10:G10)</f>
        <v>729312</v>
      </c>
      <c r="I10" s="717">
        <v>735275</v>
      </c>
      <c r="J10" t="str">
        <f>IF(AND(I10="",I8&lt;&gt;""),A8,"")</f>
        <v/>
      </c>
    </row>
    <row r="11" spans="1:12" ht="22.5" hidden="1" customHeight="1">
      <c r="A11" s="704"/>
      <c r="B11" s="125" t="s">
        <v>288</v>
      </c>
      <c r="C11" s="150">
        <v>98.1</v>
      </c>
      <c r="D11" s="154">
        <v>0.75</v>
      </c>
      <c r="E11" s="154">
        <v>0.19</v>
      </c>
      <c r="F11" s="149">
        <v>0.09</v>
      </c>
      <c r="G11" s="149">
        <v>0.06</v>
      </c>
      <c r="H11" s="148">
        <f>H10/I10*100</f>
        <v>99.18901091428377</v>
      </c>
      <c r="I11" s="718"/>
    </row>
    <row r="12" spans="1:12" s="159" customFormat="1" ht="22.5" hidden="1" customHeight="1">
      <c r="A12" s="703">
        <v>6</v>
      </c>
      <c r="B12" s="117" t="s">
        <v>289</v>
      </c>
      <c r="C12" s="153">
        <v>696932</v>
      </c>
      <c r="D12" s="152">
        <v>5557</v>
      </c>
      <c r="E12" s="152">
        <v>1540</v>
      </c>
      <c r="F12" s="152">
        <v>921</v>
      </c>
      <c r="G12" s="152">
        <v>356</v>
      </c>
      <c r="H12" s="151">
        <f>SUM(C12:G12)</f>
        <v>705306</v>
      </c>
      <c r="I12" s="717">
        <v>711837</v>
      </c>
      <c r="J12" t="str">
        <f>IF(AND(I12="",I10&lt;&gt;""),A10,"")</f>
        <v/>
      </c>
    </row>
    <row r="13" spans="1:12" ht="22.5" hidden="1" customHeight="1">
      <c r="A13" s="708"/>
      <c r="B13" s="113" t="s">
        <v>288</v>
      </c>
      <c r="C13" s="158">
        <v>97.91</v>
      </c>
      <c r="D13" s="157">
        <v>0.78</v>
      </c>
      <c r="E13" s="157">
        <v>0.21</v>
      </c>
      <c r="F13" s="157">
        <v>0.13</v>
      </c>
      <c r="G13" s="157">
        <v>0.05</v>
      </c>
      <c r="H13" s="156">
        <f>H12/I12*100</f>
        <v>99.082514676815066</v>
      </c>
      <c r="I13" s="718"/>
      <c r="K13" s="155"/>
      <c r="L13" s="155"/>
    </row>
    <row r="14" spans="1:12" ht="22.5" hidden="1" customHeight="1">
      <c r="A14" s="703">
        <v>7</v>
      </c>
      <c r="B14" s="117" t="s">
        <v>289</v>
      </c>
      <c r="C14" s="153">
        <v>727321</v>
      </c>
      <c r="D14" s="152">
        <v>5917</v>
      </c>
      <c r="E14" s="152">
        <v>1784</v>
      </c>
      <c r="F14" s="152">
        <v>769</v>
      </c>
      <c r="G14" s="152">
        <v>416</v>
      </c>
      <c r="H14" s="151">
        <f>SUM(C14:G14)</f>
        <v>736207</v>
      </c>
      <c r="I14" s="717">
        <v>743431</v>
      </c>
      <c r="J14" t="str">
        <f>IF(AND(I14="",I12&lt;&gt;""),A12,"")</f>
        <v/>
      </c>
    </row>
    <row r="15" spans="1:12" ht="22.5" hidden="1" customHeight="1">
      <c r="A15" s="704"/>
      <c r="B15" s="125" t="s">
        <v>288</v>
      </c>
      <c r="C15" s="150">
        <v>97.83</v>
      </c>
      <c r="D15" s="154">
        <v>0.8</v>
      </c>
      <c r="E15" s="154">
        <v>0.24</v>
      </c>
      <c r="F15" s="154">
        <v>0.1</v>
      </c>
      <c r="G15" s="149">
        <v>0.06</v>
      </c>
      <c r="H15" s="148">
        <f>H14/I14*100</f>
        <v>99.028289108202372</v>
      </c>
      <c r="I15" s="718"/>
    </row>
    <row r="16" spans="1:12" ht="22.5" hidden="1" customHeight="1">
      <c r="A16" s="703">
        <v>8</v>
      </c>
      <c r="B16" s="117" t="s">
        <v>289</v>
      </c>
      <c r="C16" s="153">
        <v>768725</v>
      </c>
      <c r="D16" s="152">
        <v>5803</v>
      </c>
      <c r="E16" s="152">
        <v>1680</v>
      </c>
      <c r="F16" s="152">
        <v>720</v>
      </c>
      <c r="G16" s="152">
        <v>324</v>
      </c>
      <c r="H16" s="151">
        <f>SUM(C16:G16)</f>
        <v>777252</v>
      </c>
      <c r="I16" s="717">
        <v>784886</v>
      </c>
      <c r="J16" t="str">
        <f>IF(AND(I16="",I14&lt;&gt;""),A14,"")</f>
        <v/>
      </c>
    </row>
    <row r="17" spans="1:12" ht="22.5" hidden="1" customHeight="1">
      <c r="A17" s="704"/>
      <c r="B17" s="125" t="s">
        <v>288</v>
      </c>
      <c r="C17" s="150">
        <v>97.94</v>
      </c>
      <c r="D17" s="154">
        <v>0.74</v>
      </c>
      <c r="E17" s="154">
        <v>0.21</v>
      </c>
      <c r="F17" s="149">
        <v>0.09</v>
      </c>
      <c r="G17" s="149">
        <v>0.04</v>
      </c>
      <c r="H17" s="148">
        <f>H16/I16*100</f>
        <v>99.027374676067609</v>
      </c>
      <c r="I17" s="718"/>
    </row>
    <row r="18" spans="1:12" ht="22.5" hidden="1" customHeight="1">
      <c r="A18" s="703">
        <v>9</v>
      </c>
      <c r="B18" s="117" t="s">
        <v>289</v>
      </c>
      <c r="C18" s="153">
        <v>765884</v>
      </c>
      <c r="D18" s="152">
        <v>5759</v>
      </c>
      <c r="E18" s="152">
        <v>1760</v>
      </c>
      <c r="F18" s="152">
        <v>755</v>
      </c>
      <c r="G18" s="152">
        <v>453</v>
      </c>
      <c r="H18" s="151">
        <f>SUM(C18:G18)</f>
        <v>774611</v>
      </c>
      <c r="I18" s="717">
        <v>782786</v>
      </c>
      <c r="J18" t="str">
        <f>IF(AND(I18="",I16&lt;&gt;""),A16,"")</f>
        <v/>
      </c>
    </row>
    <row r="19" spans="1:12" ht="22.5" hidden="1" customHeight="1">
      <c r="A19" s="704"/>
      <c r="B19" s="125" t="s">
        <v>288</v>
      </c>
      <c r="C19" s="150">
        <v>97.84</v>
      </c>
      <c r="D19" s="154">
        <v>0.74</v>
      </c>
      <c r="E19" s="149">
        <v>0.22</v>
      </c>
      <c r="F19" s="149">
        <v>0.1</v>
      </c>
      <c r="G19" s="149">
        <v>0.06</v>
      </c>
      <c r="H19" s="148">
        <f>H18/I18*100</f>
        <v>98.955653269220463</v>
      </c>
      <c r="I19" s="718"/>
    </row>
    <row r="20" spans="1:12" ht="22.5" hidden="1" customHeight="1">
      <c r="A20" s="703">
        <v>10</v>
      </c>
      <c r="B20" s="117" t="s">
        <v>291</v>
      </c>
      <c r="C20" s="153">
        <v>729633</v>
      </c>
      <c r="D20" s="152">
        <v>6320</v>
      </c>
      <c r="E20" s="152">
        <v>1734</v>
      </c>
      <c r="F20" s="152">
        <v>816</v>
      </c>
      <c r="G20" s="152">
        <v>484</v>
      </c>
      <c r="H20" s="151">
        <f>SUM(C20:G20)</f>
        <v>738987</v>
      </c>
      <c r="I20" s="717">
        <v>746923</v>
      </c>
      <c r="J20" t="str">
        <f>IF(AND(I20="",I18&lt;&gt;""),A18,"")</f>
        <v/>
      </c>
    </row>
    <row r="21" spans="1:12" ht="22.5" hidden="1" customHeight="1">
      <c r="A21" s="704"/>
      <c r="B21" s="125" t="s">
        <v>288</v>
      </c>
      <c r="C21" s="150">
        <v>97.69</v>
      </c>
      <c r="D21" s="149">
        <v>0.85</v>
      </c>
      <c r="E21" s="149">
        <v>0.23</v>
      </c>
      <c r="F21" s="149">
        <v>0.11</v>
      </c>
      <c r="G21" s="149">
        <v>0.06</v>
      </c>
      <c r="H21" s="148">
        <f>H20/I20*100</f>
        <v>98.937507614573391</v>
      </c>
      <c r="I21" s="718"/>
    </row>
    <row r="22" spans="1:12" s="159" customFormat="1" ht="22.5" hidden="1" customHeight="1">
      <c r="A22" s="703">
        <v>11</v>
      </c>
      <c r="B22" s="117" t="s">
        <v>289</v>
      </c>
      <c r="C22" s="153">
        <v>703134</v>
      </c>
      <c r="D22" s="152">
        <v>5285</v>
      </c>
      <c r="E22" s="152">
        <v>1502</v>
      </c>
      <c r="F22" s="152">
        <v>822</v>
      </c>
      <c r="G22" s="152">
        <v>614</v>
      </c>
      <c r="H22" s="151">
        <f>SUM(C22:G22)</f>
        <v>711357</v>
      </c>
      <c r="I22" s="717">
        <v>719232</v>
      </c>
      <c r="J22" t="str">
        <f>IF(AND(I22="",I20&lt;&gt;""),A20,"")</f>
        <v/>
      </c>
    </row>
    <row r="23" spans="1:12" ht="22.5" hidden="1" customHeight="1">
      <c r="A23" s="708"/>
      <c r="B23" s="113" t="s">
        <v>288</v>
      </c>
      <c r="C23" s="158">
        <v>97.76</v>
      </c>
      <c r="D23" s="157">
        <f>D22/I22*100</f>
        <v>0.73481157679302367</v>
      </c>
      <c r="E23" s="157">
        <f>E22/I22*100</f>
        <v>0.20883386723616304</v>
      </c>
      <c r="F23" s="157">
        <f>F22/I22*100</f>
        <v>0.11428857447944474</v>
      </c>
      <c r="G23" s="157">
        <f>G22/I22*100</f>
        <v>8.5368837871507383E-2</v>
      </c>
      <c r="H23" s="156">
        <f>H22/I22*100</f>
        <v>98.905082087560061</v>
      </c>
      <c r="I23" s="718"/>
      <c r="K23" s="155"/>
      <c r="L23" s="155"/>
    </row>
    <row r="24" spans="1:12" ht="22.5" hidden="1" customHeight="1">
      <c r="A24" s="703">
        <v>12</v>
      </c>
      <c r="B24" s="117" t="s">
        <v>289</v>
      </c>
      <c r="C24" s="153">
        <v>677946</v>
      </c>
      <c r="D24" s="152">
        <v>4770</v>
      </c>
      <c r="E24" s="152">
        <v>1562</v>
      </c>
      <c r="F24" s="152">
        <v>957</v>
      </c>
      <c r="G24" s="152">
        <v>543</v>
      </c>
      <c r="H24" s="151">
        <f>SUM(C24:G24)</f>
        <v>685778</v>
      </c>
      <c r="I24" s="717">
        <v>692413</v>
      </c>
      <c r="J24" t="str">
        <f>IF(AND(I24="",I22&lt;&gt;""),A22,"")</f>
        <v/>
      </c>
    </row>
    <row r="25" spans="1:12" ht="22.5" hidden="1" customHeight="1">
      <c r="A25" s="704"/>
      <c r="B25" s="125" t="s">
        <v>288</v>
      </c>
      <c r="C25" s="150">
        <f>C24/I24*100</f>
        <v>97.910640037087688</v>
      </c>
      <c r="D25" s="154">
        <f>D24/I24*100</f>
        <v>0.68889521138395726</v>
      </c>
      <c r="E25" s="154">
        <f>E24/I24*100</f>
        <v>0.22558790779491431</v>
      </c>
      <c r="F25" s="154">
        <f>F24/I24*100</f>
        <v>0.13821230970533482</v>
      </c>
      <c r="G25" s="149">
        <f>G24/I24*100</f>
        <v>7.8421404566349856E-2</v>
      </c>
      <c r="H25" s="148">
        <f>H24/I24*100</f>
        <v>99.041756870538251</v>
      </c>
      <c r="I25" s="718"/>
    </row>
    <row r="26" spans="1:12" ht="22.5" hidden="1" customHeight="1">
      <c r="A26" s="703">
        <v>13</v>
      </c>
      <c r="B26" s="117" t="s">
        <v>289</v>
      </c>
      <c r="C26" s="153">
        <v>657520</v>
      </c>
      <c r="D26" s="152">
        <v>4707</v>
      </c>
      <c r="E26" s="152">
        <v>1664</v>
      </c>
      <c r="F26" s="152">
        <v>865</v>
      </c>
      <c r="G26" s="152">
        <v>508</v>
      </c>
      <c r="H26" s="151">
        <f>SUM(C26:G26)</f>
        <v>665264</v>
      </c>
      <c r="I26" s="717">
        <v>670946</v>
      </c>
      <c r="J26" t="str">
        <f>IF(AND(I26="",I24&lt;&gt;""),A24,"")</f>
        <v/>
      </c>
    </row>
    <row r="27" spans="1:12" ht="22.5" hidden="1" customHeight="1">
      <c r="A27" s="704"/>
      <c r="B27" s="125" t="s">
        <v>288</v>
      </c>
      <c r="C27" s="150">
        <f>C26/I26*100</f>
        <v>97.998944773498906</v>
      </c>
      <c r="D27" s="154">
        <f>D26/I26*100</f>
        <v>0.70154677127518461</v>
      </c>
      <c r="E27" s="154">
        <f>E26/I26*100</f>
        <v>0.24800803641425689</v>
      </c>
      <c r="F27" s="149">
        <f>F26/I26*100</f>
        <v>0.12892244681390158</v>
      </c>
      <c r="G27" s="149">
        <f>G26/I26*100</f>
        <v>7.5713991886083229E-2</v>
      </c>
      <c r="H27" s="148">
        <f>H26/I26*100</f>
        <v>99.153136019888336</v>
      </c>
      <c r="I27" s="718"/>
    </row>
    <row r="28" spans="1:12" ht="22.5" hidden="1" customHeight="1">
      <c r="A28" s="703">
        <v>14</v>
      </c>
      <c r="B28" s="117" t="s">
        <v>289</v>
      </c>
      <c r="C28" s="153">
        <v>626827</v>
      </c>
      <c r="D28" s="152">
        <v>4818</v>
      </c>
      <c r="E28" s="152">
        <v>1550</v>
      </c>
      <c r="F28" s="152">
        <v>696</v>
      </c>
      <c r="G28" s="152">
        <v>445</v>
      </c>
      <c r="H28" s="151">
        <f>SUM(C28:G28)</f>
        <v>634336</v>
      </c>
      <c r="I28" s="717">
        <v>639566</v>
      </c>
      <c r="J28" t="str">
        <f>IF(AND(I28="",I26&lt;&gt;""),A26,"")</f>
        <v/>
      </c>
    </row>
    <row r="29" spans="1:12" ht="22.5" hidden="1" customHeight="1">
      <c r="A29" s="704"/>
      <c r="B29" s="125" t="s">
        <v>288</v>
      </c>
      <c r="C29" s="150">
        <f>C28/I28*100</f>
        <v>98.008180547433739</v>
      </c>
      <c r="D29" s="154">
        <f>D28/I28*100</f>
        <v>0.75332334739495221</v>
      </c>
      <c r="E29" s="149">
        <f>E28/I28*100</f>
        <v>0.24235184484478539</v>
      </c>
      <c r="F29" s="149">
        <f>F28/I28*100</f>
        <v>0.10882379613675523</v>
      </c>
      <c r="G29" s="149">
        <f>G28/I28*100</f>
        <v>6.957843287479322E-2</v>
      </c>
      <c r="H29" s="148">
        <f>H28/I28*100</f>
        <v>99.182257968685022</v>
      </c>
      <c r="I29" s="718"/>
    </row>
    <row r="30" spans="1:12" ht="22.5" hidden="1" customHeight="1">
      <c r="A30" s="703">
        <v>15</v>
      </c>
      <c r="B30" s="117" t="s">
        <v>289</v>
      </c>
      <c r="C30" s="153">
        <v>604217</v>
      </c>
      <c r="D30" s="152">
        <v>4169</v>
      </c>
      <c r="E30" s="152">
        <v>1301</v>
      </c>
      <c r="F30" s="152">
        <v>682</v>
      </c>
      <c r="G30" s="152">
        <v>379</v>
      </c>
      <c r="H30" s="151">
        <f>SUM(C30:G30)</f>
        <v>610748</v>
      </c>
      <c r="I30" s="717">
        <v>614721</v>
      </c>
      <c r="J30" t="str">
        <f>IF(AND(I30="",I28&lt;&gt;""),A28,"")</f>
        <v/>
      </c>
    </row>
    <row r="31" spans="1:12" ht="23.25" hidden="1" customHeight="1">
      <c r="A31" s="704"/>
      <c r="B31" s="125" t="s">
        <v>288</v>
      </c>
      <c r="C31" s="150">
        <f>C30/I30*100</f>
        <v>98.291257334628241</v>
      </c>
      <c r="D31" s="149">
        <f>D30/I30*100</f>
        <v>0.67819384729007148</v>
      </c>
      <c r="E31" s="149">
        <f>E30/I30*100</f>
        <v>0.21164072807013262</v>
      </c>
      <c r="F31" s="149">
        <f>F30/I30*100</f>
        <v>0.11094463992608028</v>
      </c>
      <c r="G31" s="149">
        <f>G30/I30*100</f>
        <v>6.1653986117279222E-2</v>
      </c>
      <c r="H31" s="148">
        <f>H30/I30*100</f>
        <v>99.353690536031792</v>
      </c>
      <c r="I31" s="718"/>
    </row>
    <row r="32" spans="1:12" ht="22.5" hidden="1" customHeight="1">
      <c r="A32" s="703">
        <v>16</v>
      </c>
      <c r="B32" s="117" t="s">
        <v>289</v>
      </c>
      <c r="C32" s="121">
        <v>610454</v>
      </c>
      <c r="D32" s="135">
        <v>3894</v>
      </c>
      <c r="E32" s="135">
        <v>1178</v>
      </c>
      <c r="F32" s="135">
        <v>558</v>
      </c>
      <c r="G32" s="135">
        <v>294</v>
      </c>
      <c r="H32" s="134">
        <f>SUM(C32:G32)</f>
        <v>616378</v>
      </c>
      <c r="I32" s="702">
        <v>619678</v>
      </c>
      <c r="J32" t="str">
        <f>IF(AND(I32="",I30&lt;&gt;""),A30,"")</f>
        <v/>
      </c>
    </row>
    <row r="33" spans="1:10" ht="22.5" hidden="1" customHeight="1">
      <c r="A33" s="700"/>
      <c r="B33" s="125" t="s">
        <v>288</v>
      </c>
      <c r="C33" s="147">
        <f>C32/I32*100</f>
        <v>98.51148499704685</v>
      </c>
      <c r="D33" s="115">
        <f>D32/I32*100</f>
        <v>0.62839087397002957</v>
      </c>
      <c r="E33" s="115">
        <f>E32/I32*100</f>
        <v>0.19009872869458008</v>
      </c>
      <c r="F33" s="115">
        <f>F32/I32*100</f>
        <v>9.0046766223748465E-2</v>
      </c>
      <c r="G33" s="144">
        <f>G32/I32*100</f>
        <v>4.7443995107136289E-2</v>
      </c>
      <c r="H33" s="136">
        <f>H32/I32*100</f>
        <v>99.467465361042358</v>
      </c>
      <c r="I33" s="714"/>
    </row>
    <row r="34" spans="1:10" ht="22.5" hidden="1" customHeight="1">
      <c r="A34" s="703">
        <v>17</v>
      </c>
      <c r="B34" s="117" t="s">
        <v>289</v>
      </c>
      <c r="C34" s="143">
        <v>621308</v>
      </c>
      <c r="D34" s="142">
        <v>3634</v>
      </c>
      <c r="E34" s="142">
        <v>1046</v>
      </c>
      <c r="F34" s="142">
        <v>519</v>
      </c>
      <c r="G34" s="135">
        <v>308</v>
      </c>
      <c r="H34" s="134">
        <f>SUM(C34:G34)</f>
        <v>626815</v>
      </c>
      <c r="I34" s="702">
        <v>629682</v>
      </c>
      <c r="J34" t="str">
        <f>IF(AND(I34="",I32&lt;&gt;""),A32,"")</f>
        <v/>
      </c>
    </row>
    <row r="35" spans="1:10" ht="22.5" hidden="1" customHeight="1">
      <c r="A35" s="700"/>
      <c r="B35" s="125" t="s">
        <v>288</v>
      </c>
      <c r="C35" s="146">
        <f>C34/I34*100</f>
        <v>98.670122379232694</v>
      </c>
      <c r="D35" s="145">
        <f>D34/I34*100</f>
        <v>0.57711670335185061</v>
      </c>
      <c r="E35" s="145">
        <f>E34/I34*100</f>
        <v>0.16611559485581612</v>
      </c>
      <c r="F35" s="145">
        <f>F34/I34*100</f>
        <v>8.2422556147388679E-2</v>
      </c>
      <c r="G35" s="144">
        <f>G34/I34*100</f>
        <v>4.8913578599991743E-2</v>
      </c>
      <c r="H35" s="136">
        <f>H34/I34*100</f>
        <v>99.544690812187739</v>
      </c>
      <c r="I35" s="714"/>
    </row>
    <row r="36" spans="1:10" ht="22.5" hidden="1" customHeight="1">
      <c r="A36" s="703">
        <v>18</v>
      </c>
      <c r="B36" s="117" t="s">
        <v>289</v>
      </c>
      <c r="C36" s="143">
        <v>645520</v>
      </c>
      <c r="D36" s="142">
        <v>3105</v>
      </c>
      <c r="E36" s="142">
        <v>1013</v>
      </c>
      <c r="F36" s="135">
        <v>472</v>
      </c>
      <c r="G36" s="135">
        <f>'[5]22②'!H5</f>
        <v>348</v>
      </c>
      <c r="H36" s="134">
        <f>SUM(C36:G36)</f>
        <v>650458</v>
      </c>
      <c r="I36" s="702">
        <v>653362</v>
      </c>
      <c r="J36" t="str">
        <f>IF(AND(I36="",I34&lt;&gt;""),A34,"")</f>
        <v/>
      </c>
    </row>
    <row r="37" spans="1:10" ht="22.5" hidden="1" customHeight="1">
      <c r="A37" s="700"/>
      <c r="B37" s="125" t="s">
        <v>288</v>
      </c>
      <c r="C37" s="146">
        <f>C36/I36*100</f>
        <v>98.79974654173337</v>
      </c>
      <c r="D37" s="145">
        <f>D36/I36*100</f>
        <v>0.47523424992576851</v>
      </c>
      <c r="E37" s="145">
        <f>E36/I36*100</f>
        <v>0.15504421744760177</v>
      </c>
      <c r="F37" s="144">
        <f>IF(F36="","",F36/$I$36*100)</f>
        <v>7.2241728169070124E-2</v>
      </c>
      <c r="G37" s="144">
        <f>IF(G36="","",G36/$I$36*100)</f>
        <v>5.3262969073805948E-2</v>
      </c>
      <c r="H37" s="136">
        <f>H36/I36*100</f>
        <v>99.555529706349617</v>
      </c>
      <c r="I37" s="714"/>
    </row>
    <row r="38" spans="1:10" ht="22.5" hidden="1" customHeight="1">
      <c r="A38" s="703">
        <v>19</v>
      </c>
      <c r="B38" s="117" t="s">
        <v>289</v>
      </c>
      <c r="C38" s="143">
        <v>672059</v>
      </c>
      <c r="D38" s="142">
        <v>3402</v>
      </c>
      <c r="E38" s="135">
        <v>1130</v>
      </c>
      <c r="F38" s="135">
        <f>'[5]22②'!H6</f>
        <v>735</v>
      </c>
      <c r="G38" s="135">
        <f>'[5]23②'!H5</f>
        <v>468</v>
      </c>
      <c r="H38" s="134">
        <f>SUM(C38:G38)</f>
        <v>677794</v>
      </c>
      <c r="I38" s="702">
        <v>681324</v>
      </c>
      <c r="J38" t="str">
        <f>IF(AND(I38="",I36&lt;&gt;""),A36,"")</f>
        <v/>
      </c>
    </row>
    <row r="39" spans="1:10" ht="22.5" hidden="1" customHeight="1">
      <c r="A39" s="704"/>
      <c r="B39" s="117" t="s">
        <v>288</v>
      </c>
      <c r="C39" s="116">
        <f>IF(C38="","",C38/$I$38*100)</f>
        <v>98.640147712395276</v>
      </c>
      <c r="D39" s="141">
        <f>IF(D38="","",D38/$I$38*100)</f>
        <v>0.49932190851929475</v>
      </c>
      <c r="E39" s="141">
        <f>IF(E38="","",E38/$I$38*100)</f>
        <v>0.16585354398201149</v>
      </c>
      <c r="F39" s="141">
        <f>IF(F38="","",F38/$I$38*100)</f>
        <v>0.10787819011219332</v>
      </c>
      <c r="G39" s="141">
        <f>IF(G38="","",G38/$I$38*100)</f>
        <v>6.8689786357151658E-2</v>
      </c>
      <c r="H39" s="140">
        <f>H38/I38*100</f>
        <v>99.481891141365935</v>
      </c>
      <c r="I39" s="715"/>
    </row>
    <row r="40" spans="1:10" ht="22.5" hidden="1" customHeight="1">
      <c r="A40" s="699">
        <v>20</v>
      </c>
      <c r="B40" s="113" t="s">
        <v>289</v>
      </c>
      <c r="C40" s="139">
        <v>664784</v>
      </c>
      <c r="D40" s="130">
        <v>3478</v>
      </c>
      <c r="E40" s="130">
        <f>'[5]22②'!H7</f>
        <v>1337</v>
      </c>
      <c r="F40" s="130">
        <f>'[5]23②'!H6</f>
        <v>750</v>
      </c>
      <c r="G40" s="129">
        <f>'[5]24②'!H5</f>
        <v>506</v>
      </c>
      <c r="H40" s="128">
        <f>SUM(C40:G40)</f>
        <v>670855</v>
      </c>
      <c r="I40" s="713">
        <v>674493</v>
      </c>
      <c r="J40" t="str">
        <f>IF(AND(I40="",I38&lt;&gt;""),A38,"")</f>
        <v/>
      </c>
    </row>
    <row r="41" spans="1:10" ht="22.5" hidden="1" customHeight="1" thickBot="1">
      <c r="A41" s="705"/>
      <c r="B41" s="109" t="s">
        <v>288</v>
      </c>
      <c r="C41" s="108">
        <f>IF(C40="","",C40/$I$40*100)</f>
        <v>98.560548441570177</v>
      </c>
      <c r="D41" s="138">
        <f>IF(D40="","",D40/$I$40*100)</f>
        <v>0.51564656712523327</v>
      </c>
      <c r="E41" s="138">
        <f>IF(E40="","",E40/$I$40*100)</f>
        <v>0.19822296154296637</v>
      </c>
      <c r="F41" s="138">
        <f>IF(F40="","",F40/$I$40*100)</f>
        <v>0.11119463063367595</v>
      </c>
      <c r="G41" s="138">
        <f>IF(G40="","",G40/$I$40*100)</f>
        <v>7.5019310800853375E-2</v>
      </c>
      <c r="H41" s="137">
        <f>H40/I40*100</f>
        <v>99.46063191167292</v>
      </c>
      <c r="I41" s="716"/>
    </row>
    <row r="42" spans="1:10" ht="22.5" customHeight="1">
      <c r="A42" s="703">
        <v>21</v>
      </c>
      <c r="B42" s="113" t="s">
        <v>289</v>
      </c>
      <c r="C42" s="131">
        <f>'[5]21①'!D39</f>
        <v>617600</v>
      </c>
      <c r="D42" s="130">
        <f>'[5]22②'!H8</f>
        <v>3466</v>
      </c>
      <c r="E42" s="130">
        <f>'[5]23②'!H7</f>
        <v>1276</v>
      </c>
      <c r="F42" s="130">
        <f>'[5]24②'!H6</f>
        <v>723</v>
      </c>
      <c r="G42" s="130">
        <f>'[5]25②'!H5</f>
        <v>482</v>
      </c>
      <c r="H42" s="134">
        <f>SUM(C42:G42)</f>
        <v>623547</v>
      </c>
      <c r="I42" s="712">
        <f>'[5]21①'!B39</f>
        <v>627167</v>
      </c>
      <c r="J42" t="str">
        <f>IF(AND(I42="",I40&lt;&gt;""),A40,"")</f>
        <v/>
      </c>
    </row>
    <row r="43" spans="1:10" ht="22.5" customHeight="1" thickBot="1">
      <c r="A43" s="700"/>
      <c r="B43" s="125" t="s">
        <v>288</v>
      </c>
      <c r="C43" s="116">
        <f>IF(C42="","",C42/$I$42*100)</f>
        <v>98.474568974451785</v>
      </c>
      <c r="D43" s="115">
        <f>IF(D42="","",D42/$I$42*100)</f>
        <v>0.55264387316296937</v>
      </c>
      <c r="E43" s="115">
        <f>IF(E42="","",E42/$I$42*100)</f>
        <v>0.20345458227234531</v>
      </c>
      <c r="F43" s="115">
        <f>IF(F42="","",F42/$I$42*100)</f>
        <v>0.11528030014334299</v>
      </c>
      <c r="G43" s="115">
        <f>IF(G42="","",G42/$I$42*100)</f>
        <v>7.6853533428895338E-2</v>
      </c>
      <c r="H43" s="136">
        <f>H42/I42*100</f>
        <v>99.422801263459334</v>
      </c>
      <c r="I43" s="713"/>
    </row>
    <row r="44" spans="1:10" ht="22.5" customHeight="1">
      <c r="A44" s="711">
        <v>22</v>
      </c>
      <c r="B44" s="117" t="s">
        <v>289</v>
      </c>
      <c r="C44" s="121">
        <f>'[5]22①'!D39</f>
        <v>619504</v>
      </c>
      <c r="D44" s="133">
        <f>'[5]23②'!H8</f>
        <v>3260</v>
      </c>
      <c r="E44" s="127">
        <f>'[5]24②'!H7</f>
        <v>1079</v>
      </c>
      <c r="F44" s="127">
        <f>'[5]25②'!H6</f>
        <v>598</v>
      </c>
      <c r="G44" s="127">
        <f>'[5]26② '!H5</f>
        <v>270</v>
      </c>
      <c r="H44" s="126">
        <f>SUM(C44:G44)</f>
        <v>624711</v>
      </c>
      <c r="I44" s="712">
        <f>'[5]22①'!B39</f>
        <v>627558</v>
      </c>
    </row>
    <row r="45" spans="1:10" ht="22.5" customHeight="1" thickBot="1">
      <c r="A45" s="709"/>
      <c r="B45" s="117" t="s">
        <v>288</v>
      </c>
      <c r="C45" s="116">
        <f>IF(C44="","",C44/$I$44*100)</f>
        <v>98.716612647755269</v>
      </c>
      <c r="D45" s="115">
        <f>IF(D44="","",D44/$I$44*100)</f>
        <v>0.51947389723340309</v>
      </c>
      <c r="E45" s="115">
        <f>IF(E44="","",E44/$I$44*100)</f>
        <v>0.17193629911498221</v>
      </c>
      <c r="F45" s="115">
        <f>IF(F44="","",F44/$I$44*100)</f>
        <v>9.5289997099869655E-2</v>
      </c>
      <c r="G45" s="115">
        <f>IF(G44="","",G44/$I$44*100)</f>
        <v>4.3023911734054857E-2</v>
      </c>
      <c r="H45" s="114">
        <f>H44/I44*100</f>
        <v>99.546336752937577</v>
      </c>
      <c r="I45" s="713"/>
    </row>
    <row r="46" spans="1:10" ht="22.5" customHeight="1">
      <c r="A46" s="699">
        <v>23</v>
      </c>
      <c r="B46" s="113" t="s">
        <v>289</v>
      </c>
      <c r="C46" s="131">
        <f>'[5]23①'!D39</f>
        <v>629609</v>
      </c>
      <c r="D46" s="130">
        <f>'[5]24②'!H8</f>
        <v>2891</v>
      </c>
      <c r="E46" s="130">
        <f>'[5]25②'!H7</f>
        <v>942</v>
      </c>
      <c r="F46" s="130">
        <f>'[5]26② '!H6</f>
        <v>388</v>
      </c>
      <c r="G46" s="127">
        <f>'[5]27②  '!H5</f>
        <v>271</v>
      </c>
      <c r="H46" s="128">
        <f>SUM(C46:G46)</f>
        <v>634101</v>
      </c>
      <c r="I46" s="712">
        <f>'[5]23①'!B39</f>
        <v>636694</v>
      </c>
    </row>
    <row r="47" spans="1:10" ht="22.5" customHeight="1" thickBot="1">
      <c r="A47" s="700"/>
      <c r="B47" s="125" t="s">
        <v>288</v>
      </c>
      <c r="C47" s="116">
        <f>IF(C46="","",C46/$I$46*100)</f>
        <v>98.88722054864661</v>
      </c>
      <c r="D47" s="115">
        <f>IF(D46="","",D46/$I$46*100)</f>
        <v>0.45406427577454794</v>
      </c>
      <c r="E47" s="115">
        <f>IF(E46="","",E46/$I$46*100)</f>
        <v>0.14795176332743831</v>
      </c>
      <c r="F47" s="115">
        <f>IF(F46="","",F46/$I$46*100)</f>
        <v>6.0939792113637009E-2</v>
      </c>
      <c r="G47" s="115">
        <f>IF(G46="","",G46/$I$46*100)</f>
        <v>4.25636176876176E-2</v>
      </c>
      <c r="H47" s="114">
        <f>IF(H46=0,"",H46/$I$46*100)</f>
        <v>99.592739997549842</v>
      </c>
      <c r="I47" s="713"/>
    </row>
    <row r="48" spans="1:10" ht="22.5" customHeight="1">
      <c r="A48" s="711">
        <v>24</v>
      </c>
      <c r="B48" s="117" t="s">
        <v>289</v>
      </c>
      <c r="C48" s="131">
        <f>'[5]24①'!D39</f>
        <v>621099</v>
      </c>
      <c r="D48" s="127">
        <f>'[5]25②'!H8</f>
        <v>2485</v>
      </c>
      <c r="E48" s="127">
        <f>'[5]26② '!H7</f>
        <v>695</v>
      </c>
      <c r="F48" s="127">
        <f>'[5]27②  '!H6</f>
        <v>408</v>
      </c>
      <c r="G48" s="127">
        <v>202</v>
      </c>
      <c r="H48" s="126">
        <f>SUM(C48:G48)</f>
        <v>624889</v>
      </c>
      <c r="I48" s="712">
        <f>'[5]24①'!B39</f>
        <v>627027</v>
      </c>
    </row>
    <row r="49" spans="1:10" ht="22.5" customHeight="1">
      <c r="A49" s="709"/>
      <c r="B49" s="117" t="s">
        <v>288</v>
      </c>
      <c r="C49" s="116">
        <f>IF(C48="","",C48/$I$48*100)</f>
        <v>99.054586166145953</v>
      </c>
      <c r="D49" s="115">
        <f>IF(D48="","",D48/$I$48*100)</f>
        <v>0.39631467225494271</v>
      </c>
      <c r="E49" s="115">
        <f>IF(E48="","",E48/$I$48*100)</f>
        <v>0.11084052201898803</v>
      </c>
      <c r="F49" s="115">
        <v>7.0000000000000007E-2</v>
      </c>
      <c r="G49" s="115">
        <f>IF(G48="","",G48/$I$48*100)</f>
        <v>3.2215518629979248E-2</v>
      </c>
      <c r="H49" s="114">
        <f>IF(H48=0,"",H48/$I$48*100)</f>
        <v>99.659025847371808</v>
      </c>
      <c r="I49" s="713"/>
    </row>
    <row r="50" spans="1:10" ht="22.5" customHeight="1">
      <c r="A50" s="711">
        <v>25</v>
      </c>
      <c r="B50" s="117" t="s">
        <v>289</v>
      </c>
      <c r="C50" s="121">
        <f>'[5]25①'!D39</f>
        <v>636500</v>
      </c>
      <c r="D50" s="127">
        <f>'[5]26② '!H8</f>
        <v>2133</v>
      </c>
      <c r="E50" s="127">
        <f>'[5]27②  '!H7</f>
        <v>740</v>
      </c>
      <c r="F50" s="127">
        <v>351</v>
      </c>
      <c r="G50" s="127">
        <v>178</v>
      </c>
      <c r="H50" s="126">
        <f>SUM(C50:G50)</f>
        <v>639902</v>
      </c>
      <c r="I50" s="701">
        <f>'[5]25①'!B39</f>
        <v>641765</v>
      </c>
    </row>
    <row r="51" spans="1:10" ht="22.5" customHeight="1">
      <c r="A51" s="709"/>
      <c r="B51" s="117" t="s">
        <v>288</v>
      </c>
      <c r="C51" s="116">
        <f>IF(C50="","",C50/$I$50*100)</f>
        <v>99.17960624216029</v>
      </c>
      <c r="D51" s="115">
        <f>IF(D50="","",D50/$I$50*100)</f>
        <v>0.33236465061198411</v>
      </c>
      <c r="E51" s="115">
        <f>IF(E50="","",E50/$I$50*100)</f>
        <v>0.11530700490054771</v>
      </c>
      <c r="F51" s="115">
        <f>IF(F50="","",F50/$I$50*100)</f>
        <v>5.4692917189313843E-2</v>
      </c>
      <c r="G51" s="115">
        <f>IF(G50="","",G50/$I$50*100)</f>
        <v>2.7736009286888505E-2</v>
      </c>
      <c r="H51" s="114">
        <f>IF(H50=0,"",H50/$I$50*100)</f>
        <v>99.709706824149023</v>
      </c>
      <c r="I51" s="701"/>
    </row>
    <row r="52" spans="1:10" ht="22.5" customHeight="1">
      <c r="A52" s="703">
        <v>26</v>
      </c>
      <c r="B52" s="117" t="s">
        <v>289</v>
      </c>
      <c r="C52" s="121">
        <f>'[5]26①'!D39</f>
        <v>655221</v>
      </c>
      <c r="D52" s="135">
        <f>'[5]27②  '!H8</f>
        <v>2134</v>
      </c>
      <c r="E52" s="135">
        <v>750</v>
      </c>
      <c r="F52" s="135">
        <v>352</v>
      </c>
      <c r="G52" s="135">
        <v>171</v>
      </c>
      <c r="H52" s="134">
        <f>SUM(C52:G52)</f>
        <v>658628</v>
      </c>
      <c r="I52" s="701">
        <f>'[5]26①'!B39</f>
        <v>660105</v>
      </c>
    </row>
    <row r="53" spans="1:10" ht="22.5" customHeight="1">
      <c r="A53" s="704"/>
      <c r="B53" s="117" t="s">
        <v>288</v>
      </c>
      <c r="C53" s="116">
        <f>IF(C52="","",C52/$I$52*100)</f>
        <v>99.260117708546375</v>
      </c>
      <c r="D53" s="115">
        <f>IF(D52="","",D52/$I$52*100)</f>
        <v>0.32328190212163216</v>
      </c>
      <c r="E53" s="115">
        <f>IF(E52="","",E52/$I$52*100)</f>
        <v>0.11361828799963643</v>
      </c>
      <c r="F53" s="115">
        <f>IF(F52="","",F52/$I$52*100)</f>
        <v>5.3324849834496028E-2</v>
      </c>
      <c r="G53" s="115">
        <f>IF(G52="","",G52/$I$52*100)</f>
        <v>2.5904969663917105E-2</v>
      </c>
      <c r="H53" s="114">
        <f>IF(H52=0,"",H52/$I$52*100)</f>
        <v>99.776247718166047</v>
      </c>
      <c r="I53" s="701"/>
    </row>
    <row r="54" spans="1:10" ht="22.5" customHeight="1">
      <c r="A54" s="708">
        <v>27</v>
      </c>
      <c r="B54" s="113" t="s">
        <v>289</v>
      </c>
      <c r="C54" s="121">
        <f>'[5]27① '!D39</f>
        <v>655980</v>
      </c>
      <c r="D54" s="133">
        <v>1988</v>
      </c>
      <c r="E54" s="133">
        <v>643</v>
      </c>
      <c r="F54" s="133">
        <v>267</v>
      </c>
      <c r="G54" s="133">
        <v>150</v>
      </c>
      <c r="H54" s="132">
        <f>SUM(C54:G54)</f>
        <v>659028</v>
      </c>
      <c r="I54" s="701">
        <f>'[5]27① '!B39</f>
        <v>660348</v>
      </c>
      <c r="J54" t="str">
        <f>IF(AND(I54="",I42&lt;&gt;""),A42,"")</f>
        <v/>
      </c>
    </row>
    <row r="55" spans="1:10" ht="22.5" customHeight="1">
      <c r="A55" s="709"/>
      <c r="B55" s="117" t="s">
        <v>288</v>
      </c>
      <c r="C55" s="116">
        <f>IF(C54="","",C54/$I$54*100)</f>
        <v>99.338530592960069</v>
      </c>
      <c r="D55" s="115">
        <f>IF(D54="","",D54/$I$54*100)</f>
        <v>0.30105338397329895</v>
      </c>
      <c r="E55" s="115">
        <f>IF(E54="","",E54/$I$54*100)</f>
        <v>9.7372900349512681E-2</v>
      </c>
      <c r="F55" s="115">
        <f>IF(F54="","",F54/$I$54*100)</f>
        <v>4.0433226117138232E-2</v>
      </c>
      <c r="G55" s="115">
        <f>IF(G54="","",G54/$I$54*100)</f>
        <v>2.2715295571425976E-2</v>
      </c>
      <c r="H55" s="114">
        <f>IF(H54=0,"",H54/$I$54*100)</f>
        <v>99.800105398971453</v>
      </c>
      <c r="I55" s="701"/>
    </row>
    <row r="56" spans="1:10" ht="22.5" customHeight="1">
      <c r="A56" s="703">
        <v>28</v>
      </c>
      <c r="B56" s="113" t="s">
        <v>289</v>
      </c>
      <c r="C56" s="131">
        <f>'[5]28①  '!D39</f>
        <v>655789</v>
      </c>
      <c r="D56" s="130">
        <v>2001</v>
      </c>
      <c r="E56" s="130">
        <v>543</v>
      </c>
      <c r="F56" s="130">
        <v>273</v>
      </c>
      <c r="G56" s="129">
        <v>94</v>
      </c>
      <c r="H56" s="128">
        <f>SUM(C56:G56)</f>
        <v>658700</v>
      </c>
      <c r="I56" s="701">
        <f>'[5]28①  '!B39</f>
        <v>659834</v>
      </c>
    </row>
    <row r="57" spans="1:10" ht="22.5" customHeight="1">
      <c r="A57" s="704"/>
      <c r="B57" s="125" t="s">
        <v>288</v>
      </c>
      <c r="C57" s="116">
        <f>IF(C56="","",C56/$I$56*100)</f>
        <v>99.386967025039624</v>
      </c>
      <c r="D57" s="115">
        <f>IF(D56="","",D56/$I$56*100)</f>
        <v>0.30325809218682276</v>
      </c>
      <c r="E57" s="115">
        <f>IF(E56="","",E56/$I$56*100)</f>
        <v>8.2293425316064345E-2</v>
      </c>
      <c r="F57" s="115">
        <f>IF(F56="","",F56/$I$56*100)</f>
        <v>4.1374042562220194E-2</v>
      </c>
      <c r="G57" s="115">
        <f>IF(G56="","",G56/$I$56*100)</f>
        <v>1.4246007329116111E-2</v>
      </c>
      <c r="H57" s="114">
        <f>IF(H56=0,"",H56/$I$56*100)</f>
        <v>99.828138592433859</v>
      </c>
      <c r="I57" s="701"/>
    </row>
    <row r="58" spans="1:10" ht="22.5" customHeight="1">
      <c r="A58" s="708">
        <v>29</v>
      </c>
      <c r="B58" s="117" t="s">
        <v>289</v>
      </c>
      <c r="C58" s="121">
        <v>671941</v>
      </c>
      <c r="D58" s="127">
        <v>1909</v>
      </c>
      <c r="E58" s="127">
        <v>660</v>
      </c>
      <c r="F58" s="120">
        <v>194</v>
      </c>
      <c r="G58" s="127"/>
      <c r="H58" s="126">
        <f>SUM(C58:G58)</f>
        <v>674704</v>
      </c>
      <c r="I58" s="701">
        <v>675791</v>
      </c>
    </row>
    <row r="59" spans="1:10" ht="22.5" customHeight="1">
      <c r="A59" s="709"/>
      <c r="B59" s="117" t="s">
        <v>288</v>
      </c>
      <c r="C59" s="116">
        <f>IF(C58="","",C58/$I$58*100)</f>
        <v>99.430297236867617</v>
      </c>
      <c r="D59" s="115">
        <f>IF(D58="","",D58/$I$58*100)</f>
        <v>0.28248378566746229</v>
      </c>
      <c r="E59" s="115">
        <f>IF(E58="","",E58/$I$58*100)</f>
        <v>9.7663330822695169E-2</v>
      </c>
      <c r="F59" s="115">
        <f>IF(F58="","",F58/$I$58*100)</f>
        <v>2.8707100272125554E-2</v>
      </c>
      <c r="G59" s="115" t="str">
        <f>IF(G58="","",G58/$I$58*100)</f>
        <v/>
      </c>
      <c r="H59" s="114">
        <f>IF(H58=0,"",H58/$I$58*100)</f>
        <v>99.839151453629896</v>
      </c>
      <c r="I59" s="710"/>
    </row>
    <row r="60" spans="1:10" ht="22.5" customHeight="1">
      <c r="A60" s="699">
        <v>30</v>
      </c>
      <c r="B60" s="117" t="s">
        <v>289</v>
      </c>
      <c r="C60" s="121">
        <v>734327</v>
      </c>
      <c r="D60" s="127">
        <v>2146</v>
      </c>
      <c r="E60" s="120">
        <v>614</v>
      </c>
      <c r="F60" s="127"/>
      <c r="G60" s="127"/>
      <c r="H60" s="126">
        <f>SUM(C60:G60)</f>
        <v>737087</v>
      </c>
      <c r="I60" s="701">
        <v>738724</v>
      </c>
    </row>
    <row r="61" spans="1:10" ht="22.5" customHeight="1">
      <c r="A61" s="700"/>
      <c r="B61" s="125" t="s">
        <v>288</v>
      </c>
      <c r="C61" s="124">
        <f>IF(C60="","",C60/$I$60*100)</f>
        <v>99.40478446618765</v>
      </c>
      <c r="D61" s="123">
        <f>IF(D60="","",D60/$I$60*100)</f>
        <v>0.29050091779879905</v>
      </c>
      <c r="E61" s="123">
        <f>IF(E60="","",E60/$I$62*100)</f>
        <v>7.8935020023012004E-2</v>
      </c>
      <c r="F61" s="123" t="str">
        <f>IF(F60="","",F60/$I$62*100)</f>
        <v/>
      </c>
      <c r="G61" s="123" t="str">
        <f>IF(G60="","",G60/$I$62*100)</f>
        <v/>
      </c>
      <c r="H61" s="122">
        <f>IF(H60=0,"",H60/$I$60*100)</f>
        <v>99.778401676404187</v>
      </c>
      <c r="I61" s="702"/>
    </row>
    <row r="62" spans="1:10" ht="22.5" customHeight="1">
      <c r="A62" s="703" t="s">
        <v>290</v>
      </c>
      <c r="B62" s="117" t="s">
        <v>289</v>
      </c>
      <c r="C62" s="121">
        <v>772694</v>
      </c>
      <c r="D62" s="120">
        <v>2806</v>
      </c>
      <c r="E62" s="119"/>
      <c r="F62" s="119"/>
      <c r="G62" s="119"/>
      <c r="H62" s="118">
        <f>SUM(C62:G62)</f>
        <v>775500</v>
      </c>
      <c r="I62" s="701">
        <v>777855</v>
      </c>
    </row>
    <row r="63" spans="1:10" ht="22.5" customHeight="1">
      <c r="A63" s="704"/>
      <c r="B63" s="117" t="s">
        <v>288</v>
      </c>
      <c r="C63" s="116">
        <f>IF(C62="","",C62/$I$62*100)</f>
        <v>99.336508732347284</v>
      </c>
      <c r="D63" s="115">
        <f>IF(D62="","",D62/$I$62*100)</f>
        <v>0.3607356126784555</v>
      </c>
      <c r="E63" s="115" t="str">
        <f>IF(E62="","",E62/$I$62*100)</f>
        <v/>
      </c>
      <c r="F63" s="115" t="str">
        <f>IF(F62="","",F62/$I$62*100)</f>
        <v/>
      </c>
      <c r="G63" s="115" t="str">
        <f>IF(G62="","",G62/$I$62*100)</f>
        <v/>
      </c>
      <c r="H63" s="114">
        <f>IF(H62=0,"",H62/$I$62*100)</f>
        <v>99.697244345025751</v>
      </c>
      <c r="I63" s="701"/>
    </row>
    <row r="64" spans="1:10" ht="22.5" customHeight="1">
      <c r="A64" s="699">
        <v>2</v>
      </c>
      <c r="B64" s="113" t="s">
        <v>289</v>
      </c>
      <c r="C64" s="112">
        <v>740865</v>
      </c>
      <c r="D64" s="111"/>
      <c r="E64" s="111"/>
      <c r="F64" s="111"/>
      <c r="G64" s="111"/>
      <c r="H64" s="110">
        <f>SUM(C64:G64)</f>
        <v>740865</v>
      </c>
      <c r="I64" s="706">
        <v>755396</v>
      </c>
      <c r="J64">
        <v>2</v>
      </c>
    </row>
    <row r="65" spans="1:10" ht="22.5" customHeight="1" thickBot="1">
      <c r="A65" s="705"/>
      <c r="B65" s="109" t="s">
        <v>288</v>
      </c>
      <c r="C65" s="108">
        <f t="shared" ref="C65:H65" si="0">IF(C64="","",C64/$I$64*100)</f>
        <v>98.076373187043615</v>
      </c>
      <c r="D65" s="107" t="str">
        <f t="shared" si="0"/>
        <v/>
      </c>
      <c r="E65" s="107" t="str">
        <f t="shared" si="0"/>
        <v/>
      </c>
      <c r="F65" s="107" t="str">
        <f t="shared" si="0"/>
        <v/>
      </c>
      <c r="G65" s="107" t="str">
        <f t="shared" si="0"/>
        <v/>
      </c>
      <c r="H65" s="106">
        <f t="shared" si="0"/>
        <v>98.076373187043615</v>
      </c>
      <c r="I65" s="707"/>
    </row>
    <row r="66" spans="1:10">
      <c r="J66" s="105">
        <f>SUM(J6:J65)</f>
        <v>2</v>
      </c>
    </row>
  </sheetData>
  <mergeCells count="66">
    <mergeCell ref="J4:J5"/>
    <mergeCell ref="A1:I1"/>
    <mergeCell ref="A2:E2"/>
    <mergeCell ref="F2:G2"/>
    <mergeCell ref="F3:I3"/>
    <mergeCell ref="C4:H4"/>
    <mergeCell ref="A6:A7"/>
    <mergeCell ref="I6:I7"/>
    <mergeCell ref="A8:A9"/>
    <mergeCell ref="I8:I9"/>
    <mergeCell ref="A10:A11"/>
    <mergeCell ref="I10:I11"/>
    <mergeCell ref="A12:A13"/>
    <mergeCell ref="I12:I13"/>
    <mergeCell ref="A14:A15"/>
    <mergeCell ref="I14:I15"/>
    <mergeCell ref="A16:A17"/>
    <mergeCell ref="I16:I17"/>
    <mergeCell ref="A18:A19"/>
    <mergeCell ref="I18:I19"/>
    <mergeCell ref="A20:A21"/>
    <mergeCell ref="I20:I21"/>
    <mergeCell ref="A22:A23"/>
    <mergeCell ref="I22:I23"/>
    <mergeCell ref="A24:A25"/>
    <mergeCell ref="I24:I25"/>
    <mergeCell ref="A26:A27"/>
    <mergeCell ref="I26:I27"/>
    <mergeCell ref="A28:A29"/>
    <mergeCell ref="I28:I29"/>
    <mergeCell ref="A30:A31"/>
    <mergeCell ref="I30:I31"/>
    <mergeCell ref="A32:A33"/>
    <mergeCell ref="I32:I33"/>
    <mergeCell ref="A34:A35"/>
    <mergeCell ref="I34:I35"/>
    <mergeCell ref="A36:A37"/>
    <mergeCell ref="I36:I37"/>
    <mergeCell ref="A38:A39"/>
    <mergeCell ref="I38:I39"/>
    <mergeCell ref="A40:A41"/>
    <mergeCell ref="I40:I41"/>
    <mergeCell ref="A42:A43"/>
    <mergeCell ref="I42:I43"/>
    <mergeCell ref="A44:A45"/>
    <mergeCell ref="I44:I45"/>
    <mergeCell ref="A46:A47"/>
    <mergeCell ref="I46:I47"/>
    <mergeCell ref="A48:A49"/>
    <mergeCell ref="I48:I49"/>
    <mergeCell ref="A50:A51"/>
    <mergeCell ref="I50:I51"/>
    <mergeCell ref="A52:A53"/>
    <mergeCell ref="I52:I53"/>
    <mergeCell ref="A54:A55"/>
    <mergeCell ref="I54:I55"/>
    <mergeCell ref="A56:A57"/>
    <mergeCell ref="I56:I57"/>
    <mergeCell ref="A58:A59"/>
    <mergeCell ref="I58:I59"/>
    <mergeCell ref="A60:A61"/>
    <mergeCell ref="I60:I61"/>
    <mergeCell ref="A62:A63"/>
    <mergeCell ref="I62:I63"/>
    <mergeCell ref="A64:A65"/>
    <mergeCell ref="I64:I65"/>
  </mergeCells>
  <phoneticPr fontId="6"/>
  <pageMargins left="0.98425196850393704" right="0.23622047244094491" top="0.86614173228346458" bottom="0.49" header="0" footer="0.5799999999999999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pageSetUpPr autoPageBreaks="0" fitToPage="1"/>
  </sheetPr>
  <dimension ref="A1:T73"/>
  <sheetViews>
    <sheetView view="pageBreakPreview" zoomScaleNormal="100" zoomScaleSheetLayoutView="100" workbookViewId="0"/>
  </sheetViews>
  <sheetFormatPr defaultColWidth="9.85546875" defaultRowHeight="16.5"/>
  <cols>
    <col min="1" max="1" width="0.7109375" style="176" customWidth="1"/>
    <col min="2" max="4" width="1.7109375" style="176" customWidth="1"/>
    <col min="5" max="5" width="13.7109375" style="176" customWidth="1"/>
    <col min="6" max="6" width="14.7109375" style="176" customWidth="1"/>
    <col min="7" max="7" width="4.7109375" style="176" customWidth="1"/>
    <col min="8" max="8" width="10.7109375" style="176" customWidth="1"/>
    <col min="9" max="9" width="13.7109375" style="176" customWidth="1"/>
    <col min="10" max="10" width="1.7109375" style="176" customWidth="1"/>
    <col min="11" max="12" width="1.7109375" style="177" customWidth="1"/>
    <col min="13" max="13" width="1.7109375" style="176" customWidth="1"/>
    <col min="14" max="14" width="13.7109375" style="176" customWidth="1"/>
    <col min="15" max="16" width="14.7109375" style="176" customWidth="1"/>
    <col min="17" max="17" width="13.7109375" style="176" customWidth="1"/>
    <col min="18" max="18" width="1.7109375" style="175" customWidth="1"/>
    <col min="19" max="19" width="1.42578125" style="175" customWidth="1"/>
    <col min="20" max="20" width="9.85546875" style="205"/>
    <col min="21" max="16384" width="9.85546875" style="174"/>
  </cols>
  <sheetData>
    <row r="1" spans="1:20" ht="10.5" customHeight="1">
      <c r="H1" s="177"/>
      <c r="K1" s="176"/>
      <c r="L1" s="176"/>
      <c r="O1" s="528"/>
      <c r="P1" s="528"/>
      <c r="Q1" s="253"/>
      <c r="R1" s="252"/>
      <c r="S1" s="251"/>
    </row>
    <row r="2" spans="1:20" ht="21.95" customHeight="1">
      <c r="A2" s="177"/>
      <c r="B2" s="250" t="s">
        <v>337</v>
      </c>
      <c r="E2" s="177"/>
      <c r="H2" s="177"/>
      <c r="K2" s="176"/>
      <c r="L2" s="176"/>
      <c r="P2" s="249"/>
      <c r="Q2" s="177"/>
      <c r="R2" s="174"/>
      <c r="S2" s="174"/>
      <c r="T2" s="205" t="s">
        <v>307</v>
      </c>
    </row>
    <row r="3" spans="1:20" ht="36" customHeight="1">
      <c r="A3" s="177"/>
      <c r="H3" s="177"/>
      <c r="K3" s="176"/>
      <c r="L3" s="176"/>
      <c r="P3" s="177"/>
      <c r="Q3" s="248" t="s">
        <v>167</v>
      </c>
      <c r="R3" s="247"/>
      <c r="S3" s="174"/>
    </row>
    <row r="4" spans="1:20" ht="24.95" customHeight="1">
      <c r="A4" s="175"/>
      <c r="B4" s="246"/>
      <c r="C4" s="244"/>
      <c r="D4" s="244"/>
      <c r="E4" s="243"/>
      <c r="F4" s="529" t="s">
        <v>201</v>
      </c>
      <c r="G4" s="529"/>
      <c r="H4" s="529"/>
      <c r="I4" s="530" t="s">
        <v>202</v>
      </c>
      <c r="J4" s="531"/>
      <c r="K4" s="245"/>
      <c r="L4" s="244"/>
      <c r="M4" s="244"/>
      <c r="N4" s="243"/>
      <c r="O4" s="529" t="s">
        <v>201</v>
      </c>
      <c r="P4" s="529"/>
      <c r="Q4" s="530" t="s">
        <v>202</v>
      </c>
      <c r="R4" s="532"/>
      <c r="S4" s="205"/>
    </row>
    <row r="5" spans="1:20" ht="24.95" customHeight="1">
      <c r="A5" s="175"/>
      <c r="B5" s="242"/>
      <c r="C5" s="240"/>
      <c r="D5" s="240"/>
      <c r="E5" s="239"/>
      <c r="F5" s="373" t="s">
        <v>338</v>
      </c>
      <c r="G5" s="533" t="s">
        <v>281</v>
      </c>
      <c r="H5" s="534"/>
      <c r="I5" s="535" t="s">
        <v>110</v>
      </c>
      <c r="J5" s="536"/>
      <c r="K5" s="241"/>
      <c r="L5" s="240"/>
      <c r="M5" s="240"/>
      <c r="N5" s="239"/>
      <c r="O5" s="373" t="str">
        <f>F5</f>
        <v>R３年度</v>
      </c>
      <c r="P5" s="373" t="str">
        <f>G5</f>
        <v>R２年度</v>
      </c>
      <c r="Q5" s="535" t="s">
        <v>203</v>
      </c>
      <c r="R5" s="537"/>
      <c r="S5" s="205"/>
    </row>
    <row r="6" spans="1:20" ht="24" customHeight="1">
      <c r="A6" s="238"/>
      <c r="B6" s="544" t="s">
        <v>204</v>
      </c>
      <c r="C6" s="552"/>
      <c r="D6" s="552"/>
      <c r="E6" s="545"/>
      <c r="F6" s="555">
        <v>2003681</v>
      </c>
      <c r="G6" s="540">
        <v>2042685</v>
      </c>
      <c r="H6" s="541"/>
      <c r="I6" s="375">
        <v>-1.9</v>
      </c>
      <c r="J6" s="229"/>
      <c r="K6" s="557" t="s">
        <v>205</v>
      </c>
      <c r="L6" s="552"/>
      <c r="M6" s="552"/>
      <c r="N6" s="545"/>
      <c r="O6" s="538">
        <v>1962155</v>
      </c>
      <c r="P6" s="538">
        <v>2014653</v>
      </c>
      <c r="Q6" s="372">
        <v>-2.6</v>
      </c>
      <c r="R6" s="231"/>
      <c r="S6" s="205"/>
    </row>
    <row r="7" spans="1:20" ht="24" customHeight="1">
      <c r="A7" s="238" t="s">
        <v>0</v>
      </c>
      <c r="B7" s="546"/>
      <c r="C7" s="553"/>
      <c r="D7" s="553"/>
      <c r="E7" s="547"/>
      <c r="F7" s="556"/>
      <c r="G7" s="542"/>
      <c r="H7" s="543"/>
      <c r="I7" s="370">
        <v>-39004</v>
      </c>
      <c r="J7" s="229"/>
      <c r="K7" s="558"/>
      <c r="L7" s="553"/>
      <c r="M7" s="553"/>
      <c r="N7" s="547"/>
      <c r="O7" s="551"/>
      <c r="P7" s="551"/>
      <c r="Q7" s="370">
        <v>-52498</v>
      </c>
      <c r="R7" s="227"/>
      <c r="S7" s="205"/>
    </row>
    <row r="8" spans="1:20" ht="24" customHeight="1">
      <c r="A8" s="175"/>
      <c r="B8" s="237"/>
      <c r="C8" s="544" t="s">
        <v>206</v>
      </c>
      <c r="D8" s="552"/>
      <c r="E8" s="552"/>
      <c r="F8" s="538">
        <v>750030</v>
      </c>
      <c r="G8" s="540">
        <v>744663</v>
      </c>
      <c r="H8" s="541"/>
      <c r="I8" s="375">
        <v>0.7</v>
      </c>
      <c r="J8" s="233"/>
      <c r="K8" s="376"/>
      <c r="L8" s="544" t="s">
        <v>207</v>
      </c>
      <c r="M8" s="552"/>
      <c r="N8" s="545"/>
      <c r="O8" s="538">
        <v>1187134</v>
      </c>
      <c r="P8" s="538">
        <v>1090660</v>
      </c>
      <c r="Q8" s="372">
        <v>8.8000000000000007</v>
      </c>
      <c r="R8" s="231"/>
      <c r="S8" s="205"/>
    </row>
    <row r="9" spans="1:20" ht="24" customHeight="1">
      <c r="A9" s="175"/>
      <c r="B9" s="228"/>
      <c r="C9" s="546"/>
      <c r="D9" s="553"/>
      <c r="E9" s="553"/>
      <c r="F9" s="539"/>
      <c r="G9" s="542"/>
      <c r="H9" s="543"/>
      <c r="I9" s="370">
        <v>5367</v>
      </c>
      <c r="J9" s="226"/>
      <c r="K9" s="377"/>
      <c r="L9" s="548"/>
      <c r="M9" s="554"/>
      <c r="N9" s="549"/>
      <c r="O9" s="539"/>
      <c r="P9" s="539"/>
      <c r="Q9" s="370">
        <v>96474</v>
      </c>
      <c r="R9" s="227"/>
      <c r="S9" s="205"/>
    </row>
    <row r="10" spans="1:20" ht="24" customHeight="1">
      <c r="A10" s="175"/>
      <c r="B10" s="228"/>
      <c r="C10" s="598" t="s">
        <v>209</v>
      </c>
      <c r="D10" s="599"/>
      <c r="E10" s="600"/>
      <c r="F10" s="538">
        <v>131888</v>
      </c>
      <c r="G10" s="540">
        <v>106086</v>
      </c>
      <c r="H10" s="541"/>
      <c r="I10" s="372">
        <v>24.3</v>
      </c>
      <c r="J10" s="229"/>
      <c r="K10" s="236"/>
      <c r="L10" s="371"/>
      <c r="M10" s="546" t="s">
        <v>208</v>
      </c>
      <c r="N10" s="547"/>
      <c r="O10" s="538">
        <v>307225</v>
      </c>
      <c r="P10" s="538">
        <v>305796</v>
      </c>
      <c r="Q10" s="372">
        <v>0.5</v>
      </c>
      <c r="R10" s="231"/>
      <c r="S10" s="205"/>
    </row>
    <row r="11" spans="1:20" ht="24" customHeight="1">
      <c r="A11" s="175"/>
      <c r="B11" s="228"/>
      <c r="C11" s="601"/>
      <c r="D11" s="602"/>
      <c r="E11" s="603"/>
      <c r="F11" s="539"/>
      <c r="G11" s="542"/>
      <c r="H11" s="543"/>
      <c r="I11" s="370">
        <v>25802</v>
      </c>
      <c r="J11" s="229"/>
      <c r="K11" s="236"/>
      <c r="L11" s="371"/>
      <c r="M11" s="546"/>
      <c r="N11" s="547"/>
      <c r="O11" s="539"/>
      <c r="P11" s="539"/>
      <c r="Q11" s="370">
        <v>1429</v>
      </c>
      <c r="R11" s="227"/>
      <c r="S11" s="205"/>
    </row>
    <row r="12" spans="1:20" ht="12.6" customHeight="1">
      <c r="A12" s="175"/>
      <c r="B12" s="228"/>
      <c r="C12" s="367"/>
      <c r="D12" s="578" t="s">
        <v>357</v>
      </c>
      <c r="E12" s="579"/>
      <c r="F12" s="538">
        <v>10327</v>
      </c>
      <c r="G12" s="540">
        <v>0</v>
      </c>
      <c r="H12" s="541"/>
      <c r="I12" s="576" t="s">
        <v>358</v>
      </c>
      <c r="J12" s="233"/>
      <c r="K12" s="236"/>
      <c r="L12" s="371"/>
      <c r="M12" s="544" t="s">
        <v>210</v>
      </c>
      <c r="N12" s="545"/>
      <c r="O12" s="538">
        <v>675283</v>
      </c>
      <c r="P12" s="538">
        <v>589363</v>
      </c>
      <c r="Q12" s="572">
        <v>14.6</v>
      </c>
      <c r="R12" s="231"/>
      <c r="S12" s="205"/>
    </row>
    <row r="13" spans="1:20" ht="12.6" customHeight="1">
      <c r="A13" s="175"/>
      <c r="B13" s="228"/>
      <c r="C13" s="367"/>
      <c r="D13" s="580"/>
      <c r="E13" s="579"/>
      <c r="F13" s="539"/>
      <c r="G13" s="542"/>
      <c r="H13" s="543"/>
      <c r="I13" s="577"/>
      <c r="J13" s="229"/>
      <c r="K13" s="236"/>
      <c r="L13" s="371"/>
      <c r="M13" s="546"/>
      <c r="N13" s="547"/>
      <c r="O13" s="539"/>
      <c r="P13" s="539"/>
      <c r="Q13" s="573"/>
      <c r="R13" s="227"/>
      <c r="S13" s="205"/>
    </row>
    <row r="14" spans="1:20" ht="12.6" customHeight="1">
      <c r="A14" s="175"/>
      <c r="B14" s="228"/>
      <c r="C14" s="367"/>
      <c r="D14" s="580"/>
      <c r="E14" s="579"/>
      <c r="F14" s="539"/>
      <c r="G14" s="542"/>
      <c r="H14" s="543"/>
      <c r="I14" s="577"/>
      <c r="J14" s="229"/>
      <c r="K14" s="236"/>
      <c r="L14" s="371"/>
      <c r="M14" s="546"/>
      <c r="N14" s="547"/>
      <c r="O14" s="539"/>
      <c r="P14" s="539"/>
      <c r="Q14" s="574">
        <v>85920</v>
      </c>
      <c r="R14" s="227"/>
      <c r="S14" s="205"/>
    </row>
    <row r="15" spans="1:20" ht="12.6" customHeight="1">
      <c r="A15" s="175"/>
      <c r="B15" s="228"/>
      <c r="C15" s="367"/>
      <c r="D15" s="580"/>
      <c r="E15" s="579"/>
      <c r="F15" s="539"/>
      <c r="G15" s="542"/>
      <c r="H15" s="543"/>
      <c r="I15" s="574">
        <v>10327</v>
      </c>
      <c r="J15" s="229"/>
      <c r="K15" s="236"/>
      <c r="L15" s="371"/>
      <c r="M15" s="548"/>
      <c r="N15" s="549"/>
      <c r="O15" s="550"/>
      <c r="P15" s="550"/>
      <c r="Q15" s="575"/>
      <c r="R15" s="227"/>
      <c r="S15" s="205"/>
    </row>
    <row r="16" spans="1:20" ht="12" customHeight="1">
      <c r="A16" s="175"/>
      <c r="B16" s="228"/>
      <c r="C16" s="367"/>
      <c r="D16" s="580"/>
      <c r="E16" s="579"/>
      <c r="F16" s="539"/>
      <c r="G16" s="542"/>
      <c r="H16" s="543"/>
      <c r="I16" s="574"/>
      <c r="J16" s="229"/>
      <c r="K16" s="236"/>
      <c r="L16" s="228"/>
      <c r="M16" s="246"/>
      <c r="N16" s="583" t="s">
        <v>351</v>
      </c>
      <c r="O16" s="538">
        <v>41235</v>
      </c>
      <c r="P16" s="538">
        <v>0</v>
      </c>
      <c r="Q16" s="576" t="s">
        <v>352</v>
      </c>
      <c r="R16" s="231"/>
      <c r="S16" s="205"/>
    </row>
    <row r="17" spans="1:20" ht="12" customHeight="1">
      <c r="A17" s="175"/>
      <c r="B17" s="228"/>
      <c r="C17" s="385"/>
      <c r="D17" s="581"/>
      <c r="E17" s="582"/>
      <c r="F17" s="550"/>
      <c r="G17" s="568"/>
      <c r="H17" s="569"/>
      <c r="I17" s="575"/>
      <c r="J17" s="229"/>
      <c r="K17" s="236"/>
      <c r="L17" s="228"/>
      <c r="M17" s="386"/>
      <c r="N17" s="584"/>
      <c r="O17" s="539"/>
      <c r="P17" s="539"/>
      <c r="Q17" s="577"/>
      <c r="R17" s="227"/>
      <c r="S17" s="205"/>
    </row>
    <row r="18" spans="1:20" ht="12" customHeight="1">
      <c r="A18" s="175"/>
      <c r="B18" s="228"/>
      <c r="C18" s="368"/>
      <c r="D18" s="586" t="s">
        <v>282</v>
      </c>
      <c r="E18" s="587"/>
      <c r="F18" s="538">
        <v>17773</v>
      </c>
      <c r="G18" s="592">
        <v>11021</v>
      </c>
      <c r="H18" s="593"/>
      <c r="I18" s="572">
        <v>61.3</v>
      </c>
      <c r="J18" s="233"/>
      <c r="K18" s="236"/>
      <c r="L18" s="228"/>
      <c r="M18" s="386"/>
      <c r="N18" s="584"/>
      <c r="O18" s="539"/>
      <c r="P18" s="539"/>
      <c r="Q18" s="577"/>
      <c r="R18" s="227"/>
      <c r="S18" s="205"/>
    </row>
    <row r="19" spans="1:20" ht="12" customHeight="1">
      <c r="A19" s="175"/>
      <c r="B19" s="228"/>
      <c r="C19" s="234"/>
      <c r="D19" s="588"/>
      <c r="E19" s="589"/>
      <c r="F19" s="539"/>
      <c r="G19" s="594"/>
      <c r="H19" s="595"/>
      <c r="I19" s="573"/>
      <c r="J19" s="229"/>
      <c r="K19" s="377"/>
      <c r="L19" s="228"/>
      <c r="M19" s="387"/>
      <c r="N19" s="584"/>
      <c r="O19" s="539"/>
      <c r="P19" s="539"/>
      <c r="Q19" s="574">
        <v>41235</v>
      </c>
      <c r="R19" s="227"/>
      <c r="S19" s="205"/>
    </row>
    <row r="20" spans="1:20" ht="12" customHeight="1">
      <c r="A20" s="175"/>
      <c r="B20" s="228"/>
      <c r="C20" s="234"/>
      <c r="D20" s="588"/>
      <c r="E20" s="589"/>
      <c r="F20" s="539"/>
      <c r="G20" s="594"/>
      <c r="H20" s="595"/>
      <c r="I20" s="574">
        <v>6752</v>
      </c>
      <c r="J20" s="229"/>
      <c r="K20" s="378"/>
      <c r="L20" s="388"/>
      <c r="N20" s="584"/>
      <c r="O20" s="539"/>
      <c r="P20" s="539"/>
      <c r="Q20" s="574"/>
      <c r="R20" s="227"/>
      <c r="S20" s="205"/>
    </row>
    <row r="21" spans="1:20" ht="12" customHeight="1">
      <c r="A21" s="175"/>
      <c r="B21" s="228"/>
      <c r="C21" s="234"/>
      <c r="D21" s="590"/>
      <c r="E21" s="591"/>
      <c r="F21" s="550"/>
      <c r="G21" s="596"/>
      <c r="H21" s="597"/>
      <c r="I21" s="575"/>
      <c r="J21" s="229"/>
      <c r="K21" s="378"/>
      <c r="L21" s="388"/>
      <c r="N21" s="585"/>
      <c r="O21" s="550"/>
      <c r="P21" s="550"/>
      <c r="Q21" s="575"/>
      <c r="R21" s="227"/>
      <c r="S21" s="205"/>
    </row>
    <row r="22" spans="1:20" ht="12" customHeight="1">
      <c r="A22" s="175"/>
      <c r="B22" s="228"/>
      <c r="C22" s="544" t="s">
        <v>10</v>
      </c>
      <c r="D22" s="552"/>
      <c r="E22" s="545"/>
      <c r="F22" s="538">
        <v>72485</v>
      </c>
      <c r="G22" s="540">
        <v>33867</v>
      </c>
      <c r="H22" s="541"/>
      <c r="I22" s="572">
        <v>114</v>
      </c>
      <c r="J22" s="233"/>
      <c r="K22" s="378"/>
      <c r="L22" s="388"/>
      <c r="N22" s="583" t="s">
        <v>350</v>
      </c>
      <c r="O22" s="538">
        <v>33175</v>
      </c>
      <c r="P22" s="538">
        <v>0</v>
      </c>
      <c r="Q22" s="572" t="s">
        <v>352</v>
      </c>
      <c r="R22" s="231"/>
      <c r="S22" s="205"/>
    </row>
    <row r="23" spans="1:20" ht="12" customHeight="1">
      <c r="A23" s="175"/>
      <c r="B23" s="228"/>
      <c r="C23" s="546"/>
      <c r="D23" s="553"/>
      <c r="E23" s="547"/>
      <c r="F23" s="539"/>
      <c r="G23" s="542"/>
      <c r="H23" s="543"/>
      <c r="I23" s="573"/>
      <c r="J23" s="229"/>
      <c r="K23" s="378"/>
      <c r="L23" s="388"/>
      <c r="N23" s="610"/>
      <c r="O23" s="539"/>
      <c r="P23" s="539"/>
      <c r="Q23" s="573"/>
      <c r="R23" s="227"/>
      <c r="S23" s="205"/>
    </row>
    <row r="24" spans="1:20" ht="12" customHeight="1">
      <c r="A24" s="175"/>
      <c r="B24" s="228"/>
      <c r="C24" s="546"/>
      <c r="D24" s="553"/>
      <c r="E24" s="547"/>
      <c r="F24" s="539"/>
      <c r="G24" s="542"/>
      <c r="H24" s="543"/>
      <c r="I24" s="574">
        <v>38618</v>
      </c>
      <c r="J24" s="229"/>
      <c r="K24" s="378"/>
      <c r="L24" s="388"/>
      <c r="N24" s="610"/>
      <c r="O24" s="539"/>
      <c r="P24" s="539"/>
      <c r="Q24" s="574">
        <v>33175</v>
      </c>
      <c r="R24" s="227"/>
      <c r="S24" s="205"/>
    </row>
    <row r="25" spans="1:20" ht="12" customHeight="1">
      <c r="A25" s="175"/>
      <c r="B25" s="228"/>
      <c r="C25" s="548"/>
      <c r="D25" s="554"/>
      <c r="E25" s="549"/>
      <c r="F25" s="550"/>
      <c r="G25" s="568"/>
      <c r="H25" s="569"/>
      <c r="I25" s="575"/>
      <c r="J25" s="229"/>
      <c r="K25" s="378"/>
      <c r="L25" s="388"/>
      <c r="N25" s="610"/>
      <c r="O25" s="539"/>
      <c r="P25" s="539"/>
      <c r="Q25" s="574"/>
      <c r="R25" s="227"/>
      <c r="S25" s="205"/>
    </row>
    <row r="26" spans="1:20" ht="12" customHeight="1">
      <c r="A26" s="175"/>
      <c r="B26" s="228"/>
      <c r="C26" s="544" t="s">
        <v>355</v>
      </c>
      <c r="D26" s="552"/>
      <c r="E26" s="545"/>
      <c r="F26" s="538">
        <v>597577</v>
      </c>
      <c r="G26" s="540">
        <v>770142</v>
      </c>
      <c r="H26" s="541"/>
      <c r="I26" s="572">
        <v>-22.4</v>
      </c>
      <c r="J26" s="233"/>
      <c r="K26" s="232"/>
      <c r="L26" s="388"/>
      <c r="N26" s="583" t="s">
        <v>353</v>
      </c>
      <c r="O26" s="538">
        <v>4450</v>
      </c>
      <c r="P26" s="538">
        <v>0</v>
      </c>
      <c r="Q26" s="576" t="s">
        <v>365</v>
      </c>
      <c r="R26" s="231"/>
      <c r="S26" s="205"/>
    </row>
    <row r="27" spans="1:20" ht="12" customHeight="1">
      <c r="A27" s="175"/>
      <c r="B27" s="228"/>
      <c r="C27" s="546"/>
      <c r="D27" s="553"/>
      <c r="E27" s="547"/>
      <c r="F27" s="539"/>
      <c r="G27" s="542"/>
      <c r="H27" s="543"/>
      <c r="I27" s="573"/>
      <c r="J27" s="229"/>
      <c r="K27" s="232"/>
      <c r="L27" s="388"/>
      <c r="N27" s="610"/>
      <c r="O27" s="539"/>
      <c r="P27" s="539"/>
      <c r="Q27" s="577"/>
      <c r="R27" s="227"/>
      <c r="S27" s="205"/>
      <c r="T27" s="378"/>
    </row>
    <row r="28" spans="1:20" ht="12" customHeight="1">
      <c r="A28" s="175"/>
      <c r="B28" s="228"/>
      <c r="C28" s="546"/>
      <c r="D28" s="553"/>
      <c r="E28" s="547"/>
      <c r="F28" s="539"/>
      <c r="G28" s="542"/>
      <c r="H28" s="543"/>
      <c r="I28" s="574">
        <v>-172565</v>
      </c>
      <c r="J28" s="229"/>
      <c r="K28" s="232"/>
      <c r="L28" s="388"/>
      <c r="N28" s="610"/>
      <c r="O28" s="539"/>
      <c r="P28" s="539"/>
      <c r="Q28" s="577"/>
      <c r="R28" s="227"/>
      <c r="S28" s="205"/>
      <c r="T28" s="378"/>
    </row>
    <row r="29" spans="1:20" ht="12" customHeight="1">
      <c r="A29" s="175"/>
      <c r="B29" s="228"/>
      <c r="C29" s="548"/>
      <c r="D29" s="553"/>
      <c r="E29" s="547"/>
      <c r="F29" s="539"/>
      <c r="G29" s="542"/>
      <c r="H29" s="543"/>
      <c r="I29" s="574"/>
      <c r="J29" s="229"/>
      <c r="K29" s="232"/>
      <c r="L29" s="388"/>
      <c r="N29" s="610"/>
      <c r="O29" s="539"/>
      <c r="P29" s="539"/>
      <c r="Q29" s="574">
        <v>4450</v>
      </c>
      <c r="R29" s="227"/>
      <c r="S29" s="205"/>
      <c r="T29" s="378"/>
    </row>
    <row r="30" spans="1:20" ht="12" customHeight="1">
      <c r="A30" s="175"/>
      <c r="B30" s="228"/>
      <c r="C30" s="386"/>
      <c r="D30" s="604" t="s">
        <v>351</v>
      </c>
      <c r="E30" s="605"/>
      <c r="F30" s="609">
        <v>41428</v>
      </c>
      <c r="G30" s="607">
        <v>0</v>
      </c>
      <c r="H30" s="608"/>
      <c r="I30" s="606" t="s">
        <v>362</v>
      </c>
      <c r="J30" s="233"/>
      <c r="K30" s="377"/>
      <c r="L30" s="388"/>
      <c r="N30" s="610"/>
      <c r="O30" s="539"/>
      <c r="P30" s="539"/>
      <c r="Q30" s="574"/>
      <c r="R30" s="227"/>
      <c r="S30" s="205"/>
      <c r="T30" s="378"/>
    </row>
    <row r="31" spans="1:20" ht="12" customHeight="1">
      <c r="A31" s="175"/>
      <c r="B31" s="228"/>
      <c r="C31" s="386"/>
      <c r="D31" s="604"/>
      <c r="E31" s="605"/>
      <c r="F31" s="609"/>
      <c r="G31" s="607"/>
      <c r="H31" s="608"/>
      <c r="I31" s="606"/>
      <c r="J31" s="229"/>
      <c r="K31" s="377"/>
      <c r="L31" s="388"/>
      <c r="N31" s="611"/>
      <c r="O31" s="539"/>
      <c r="P31" s="539"/>
      <c r="Q31" s="575"/>
      <c r="R31" s="227"/>
      <c r="S31" s="205"/>
      <c r="T31" s="378"/>
    </row>
    <row r="32" spans="1:20" ht="12" customHeight="1">
      <c r="A32" s="175"/>
      <c r="B32" s="228"/>
      <c r="C32" s="386"/>
      <c r="D32" s="604"/>
      <c r="E32" s="605"/>
      <c r="F32" s="609"/>
      <c r="G32" s="607"/>
      <c r="H32" s="608"/>
      <c r="I32" s="572"/>
      <c r="J32" s="229"/>
      <c r="K32" s="377"/>
      <c r="L32" s="388"/>
      <c r="N32" s="583" t="s">
        <v>283</v>
      </c>
      <c r="O32" s="540">
        <v>113685</v>
      </c>
      <c r="P32" s="538">
        <v>102673</v>
      </c>
      <c r="Q32" s="572">
        <v>10.7</v>
      </c>
      <c r="R32" s="231"/>
      <c r="S32" s="205"/>
      <c r="T32" s="378"/>
    </row>
    <row r="33" spans="1:20" ht="12" customHeight="1">
      <c r="A33" s="175"/>
      <c r="B33" s="228"/>
      <c r="C33" s="386"/>
      <c r="D33" s="604"/>
      <c r="E33" s="605"/>
      <c r="F33" s="609"/>
      <c r="G33" s="607"/>
      <c r="H33" s="608"/>
      <c r="I33" s="574">
        <v>41428</v>
      </c>
      <c r="J33" s="229"/>
      <c r="K33" s="377"/>
      <c r="L33" s="388"/>
      <c r="N33" s="610"/>
      <c r="O33" s="542"/>
      <c r="P33" s="539"/>
      <c r="Q33" s="573"/>
      <c r="R33" s="227"/>
      <c r="S33" s="205"/>
    </row>
    <row r="34" spans="1:20" ht="12" customHeight="1">
      <c r="A34" s="175"/>
      <c r="B34" s="228"/>
      <c r="C34" s="386"/>
      <c r="D34" s="604"/>
      <c r="E34" s="605"/>
      <c r="F34" s="609"/>
      <c r="G34" s="607"/>
      <c r="H34" s="608"/>
      <c r="I34" s="574"/>
      <c r="J34" s="229"/>
      <c r="K34" s="377"/>
      <c r="L34" s="388"/>
      <c r="N34" s="610"/>
      <c r="O34" s="542"/>
      <c r="P34" s="539"/>
      <c r="Q34" s="574">
        <v>11012</v>
      </c>
      <c r="R34" s="227"/>
      <c r="S34" s="205"/>
    </row>
    <row r="35" spans="1:20" ht="12" customHeight="1">
      <c r="A35" s="175"/>
      <c r="B35" s="228"/>
      <c r="C35" s="386"/>
      <c r="D35" s="604"/>
      <c r="E35" s="605"/>
      <c r="F35" s="609"/>
      <c r="G35" s="607"/>
      <c r="H35" s="608"/>
      <c r="I35" s="575"/>
      <c r="J35" s="229"/>
      <c r="K35" s="377"/>
      <c r="L35" s="388"/>
      <c r="N35" s="611"/>
      <c r="O35" s="542"/>
      <c r="P35" s="550"/>
      <c r="Q35" s="574"/>
      <c r="R35" s="227"/>
      <c r="S35" s="205"/>
    </row>
    <row r="36" spans="1:20" ht="12" customHeight="1">
      <c r="A36" s="175"/>
      <c r="B36" s="228"/>
      <c r="C36" s="386"/>
      <c r="D36" s="604" t="s">
        <v>360</v>
      </c>
      <c r="E36" s="614"/>
      <c r="F36" s="609">
        <v>0</v>
      </c>
      <c r="G36" s="607">
        <v>274959</v>
      </c>
      <c r="H36" s="608"/>
      <c r="I36" s="606" t="s">
        <v>361</v>
      </c>
      <c r="J36" s="233"/>
      <c r="K36" s="377"/>
      <c r="L36" s="228"/>
      <c r="M36" s="552" t="s">
        <v>284</v>
      </c>
      <c r="N36" s="552"/>
      <c r="O36" s="538">
        <v>204626</v>
      </c>
      <c r="P36" s="538">
        <v>195501</v>
      </c>
      <c r="Q36" s="572">
        <v>4.7</v>
      </c>
      <c r="R36" s="231"/>
      <c r="S36" s="205"/>
    </row>
    <row r="37" spans="1:20" ht="12" customHeight="1">
      <c r="A37" s="175"/>
      <c r="B37" s="228"/>
      <c r="C37" s="386"/>
      <c r="D37" s="615"/>
      <c r="E37" s="614"/>
      <c r="F37" s="609"/>
      <c r="G37" s="607"/>
      <c r="H37" s="608"/>
      <c r="I37" s="572"/>
      <c r="J37" s="229"/>
      <c r="K37" s="377"/>
      <c r="L37" s="228"/>
      <c r="M37" s="553"/>
      <c r="N37" s="553"/>
      <c r="O37" s="539"/>
      <c r="P37" s="539"/>
      <c r="Q37" s="573"/>
      <c r="R37" s="227"/>
      <c r="S37" s="205"/>
    </row>
    <row r="38" spans="1:20" ht="12" customHeight="1">
      <c r="A38" s="175"/>
      <c r="B38" s="228"/>
      <c r="C38" s="386"/>
      <c r="D38" s="615"/>
      <c r="E38" s="614"/>
      <c r="F38" s="609"/>
      <c r="G38" s="607"/>
      <c r="H38" s="608"/>
      <c r="I38" s="574">
        <v>-274959</v>
      </c>
      <c r="J38" s="229"/>
      <c r="K38" s="377"/>
      <c r="L38" s="388"/>
      <c r="M38" s="553"/>
      <c r="N38" s="553"/>
      <c r="O38" s="539"/>
      <c r="P38" s="539"/>
      <c r="Q38" s="574">
        <v>9125</v>
      </c>
      <c r="R38" s="230"/>
      <c r="S38" s="205"/>
    </row>
    <row r="39" spans="1:20" ht="12" customHeight="1">
      <c r="A39" s="175"/>
      <c r="B39" s="228"/>
      <c r="C39" s="386"/>
      <c r="D39" s="615"/>
      <c r="E39" s="614"/>
      <c r="F39" s="609"/>
      <c r="G39" s="607"/>
      <c r="H39" s="608"/>
      <c r="I39" s="575"/>
      <c r="J39" s="226"/>
      <c r="K39" s="377"/>
      <c r="L39" s="391"/>
      <c r="M39" s="553"/>
      <c r="N39" s="553"/>
      <c r="O39" s="550"/>
      <c r="P39" s="550"/>
      <c r="Q39" s="574"/>
      <c r="R39" s="230"/>
      <c r="S39" s="205"/>
    </row>
    <row r="40" spans="1:20" ht="24" customHeight="1">
      <c r="A40" s="175"/>
      <c r="B40" s="371"/>
      <c r="C40" s="544" t="s">
        <v>11</v>
      </c>
      <c r="D40" s="552"/>
      <c r="E40" s="545"/>
      <c r="F40" s="538">
        <v>156044</v>
      </c>
      <c r="G40" s="540">
        <v>108576</v>
      </c>
      <c r="H40" s="541"/>
      <c r="I40" s="380">
        <v>43.7</v>
      </c>
      <c r="J40" s="233"/>
      <c r="K40" s="236"/>
      <c r="L40" s="544" t="s">
        <v>356</v>
      </c>
      <c r="M40" s="552"/>
      <c r="N40" s="545"/>
      <c r="O40" s="538">
        <v>213390</v>
      </c>
      <c r="P40" s="538">
        <v>177781</v>
      </c>
      <c r="Q40" s="369">
        <v>20</v>
      </c>
      <c r="R40" s="231"/>
      <c r="S40" s="205"/>
    </row>
    <row r="41" spans="1:20" ht="24" customHeight="1">
      <c r="A41" s="175"/>
      <c r="B41" s="371"/>
      <c r="C41" s="548"/>
      <c r="D41" s="554"/>
      <c r="E41" s="549"/>
      <c r="F41" s="550"/>
      <c r="G41" s="568"/>
      <c r="H41" s="569"/>
      <c r="I41" s="381">
        <v>47468</v>
      </c>
      <c r="K41" s="236"/>
      <c r="L41" s="546"/>
      <c r="M41" s="553"/>
      <c r="N41" s="547"/>
      <c r="O41" s="539"/>
      <c r="P41" s="539"/>
      <c r="Q41" s="383">
        <v>35609</v>
      </c>
      <c r="R41" s="227"/>
      <c r="S41" s="205"/>
    </row>
    <row r="42" spans="1:20" ht="24.75" customHeight="1">
      <c r="A42" s="175"/>
      <c r="B42" s="228"/>
      <c r="D42" s="570" t="s">
        <v>306</v>
      </c>
      <c r="E42" s="571"/>
      <c r="F42" s="539">
        <v>67246</v>
      </c>
      <c r="G42" s="542">
        <v>39144</v>
      </c>
      <c r="H42" s="543"/>
      <c r="I42" s="372">
        <v>71.8</v>
      </c>
      <c r="J42" s="233"/>
      <c r="K42" s="236"/>
      <c r="L42" s="544" t="s">
        <v>363</v>
      </c>
      <c r="M42" s="552"/>
      <c r="N42" s="545"/>
      <c r="O42" s="562">
        <v>561632</v>
      </c>
      <c r="P42" s="562">
        <v>746213</v>
      </c>
      <c r="Q42" s="372">
        <v>-24.7</v>
      </c>
      <c r="R42" s="231"/>
      <c r="S42" s="205"/>
    </row>
    <row r="43" spans="1:20" ht="24.75" customHeight="1">
      <c r="A43" s="175"/>
      <c r="B43" s="228"/>
      <c r="D43" s="566"/>
      <c r="E43" s="567"/>
      <c r="F43" s="550"/>
      <c r="G43" s="568"/>
      <c r="H43" s="569"/>
      <c r="I43" s="374">
        <v>28102</v>
      </c>
      <c r="J43" s="226"/>
      <c r="K43" s="236"/>
      <c r="L43" s="548"/>
      <c r="M43" s="554"/>
      <c r="N43" s="549"/>
      <c r="O43" s="563"/>
      <c r="P43" s="563"/>
      <c r="Q43" s="374">
        <v>-184581</v>
      </c>
      <c r="R43" s="235"/>
      <c r="S43" s="205"/>
      <c r="T43" s="174"/>
    </row>
    <row r="44" spans="1:20" ht="24" customHeight="1">
      <c r="A44" s="175"/>
      <c r="B44" s="228"/>
      <c r="C44" s="544" t="s">
        <v>211</v>
      </c>
      <c r="D44" s="552"/>
      <c r="E44" s="545"/>
      <c r="F44" s="538">
        <v>295657</v>
      </c>
      <c r="G44" s="540">
        <v>279351</v>
      </c>
      <c r="H44" s="541"/>
      <c r="I44" s="372">
        <v>5.8</v>
      </c>
      <c r="J44" s="233"/>
      <c r="K44" s="232"/>
      <c r="L44" s="386"/>
      <c r="M44" s="564" t="s">
        <v>354</v>
      </c>
      <c r="N44" s="616"/>
      <c r="O44" s="562">
        <v>191659</v>
      </c>
      <c r="P44" s="562">
        <v>437720</v>
      </c>
      <c r="Q44" s="372">
        <v>-56.2</v>
      </c>
      <c r="R44" s="231"/>
      <c r="S44" s="205"/>
      <c r="T44" s="174"/>
    </row>
    <row r="45" spans="1:20" ht="24" customHeight="1">
      <c r="A45" s="175"/>
      <c r="B45" s="228"/>
      <c r="C45" s="548"/>
      <c r="D45" s="554"/>
      <c r="E45" s="549"/>
      <c r="F45" s="550"/>
      <c r="G45" s="568"/>
      <c r="H45" s="569"/>
      <c r="I45" s="374">
        <v>16306</v>
      </c>
      <c r="J45" s="226"/>
      <c r="K45" s="377"/>
      <c r="L45" s="390"/>
      <c r="M45" s="617"/>
      <c r="N45" s="618"/>
      <c r="O45" s="563"/>
      <c r="P45" s="563"/>
      <c r="Q45" s="374">
        <v>-246061</v>
      </c>
      <c r="R45" s="224"/>
      <c r="S45" s="205"/>
      <c r="T45" s="174"/>
    </row>
    <row r="46" spans="1:20" ht="24" customHeight="1">
      <c r="A46" s="384"/>
      <c r="B46" s="228"/>
      <c r="C46" s="228"/>
      <c r="D46" s="564" t="s">
        <v>364</v>
      </c>
      <c r="E46" s="565"/>
      <c r="F46" s="538">
        <v>64713</v>
      </c>
      <c r="G46" s="540">
        <v>55933</v>
      </c>
      <c r="H46" s="541"/>
      <c r="I46" s="372">
        <v>15.7</v>
      </c>
      <c r="J46" s="229"/>
      <c r="K46" s="378"/>
      <c r="L46" s="388"/>
      <c r="M46" s="392"/>
      <c r="N46" s="612" t="s">
        <v>360</v>
      </c>
      <c r="O46" s="562">
        <v>0</v>
      </c>
      <c r="P46" s="562">
        <v>272107</v>
      </c>
      <c r="Q46" s="372" t="s">
        <v>361</v>
      </c>
      <c r="R46" s="394"/>
      <c r="S46" s="205"/>
      <c r="T46" s="174"/>
    </row>
    <row r="47" spans="1:20" ht="24" customHeight="1">
      <c r="A47" s="384"/>
      <c r="B47" s="225"/>
      <c r="C47" s="225"/>
      <c r="D47" s="566"/>
      <c r="E47" s="567"/>
      <c r="F47" s="550"/>
      <c r="G47" s="568"/>
      <c r="H47" s="569"/>
      <c r="I47" s="374">
        <v>8780</v>
      </c>
      <c r="J47" s="226"/>
      <c r="K47" s="379"/>
      <c r="L47" s="391"/>
      <c r="M47" s="393"/>
      <c r="N47" s="613"/>
      <c r="O47" s="563"/>
      <c r="P47" s="563"/>
      <c r="Q47" s="374">
        <v>-272107</v>
      </c>
      <c r="R47" s="395"/>
      <c r="S47" s="205"/>
      <c r="T47" s="174"/>
    </row>
    <row r="48" spans="1:20" ht="36" customHeight="1">
      <c r="B48" s="221"/>
      <c r="C48" s="221"/>
      <c r="D48" s="223"/>
      <c r="E48" s="223"/>
      <c r="F48" s="220"/>
      <c r="G48" s="220"/>
      <c r="H48" s="220"/>
      <c r="I48" s="219"/>
      <c r="J48" s="222"/>
      <c r="K48" s="44"/>
      <c r="L48" s="44"/>
      <c r="M48" s="221"/>
      <c r="N48" s="221"/>
      <c r="O48" s="220"/>
      <c r="P48" s="220"/>
      <c r="Q48" s="219"/>
      <c r="R48" s="218"/>
      <c r="S48" s="205"/>
      <c r="T48" s="174"/>
    </row>
    <row r="49" spans="1:20" s="208" customFormat="1" ht="26.1" customHeight="1">
      <c r="A49" s="217"/>
      <c r="B49" s="216"/>
      <c r="C49" s="216"/>
      <c r="D49" s="216"/>
      <c r="E49" s="216"/>
      <c r="H49" s="216"/>
      <c r="I49" s="213" t="s">
        <v>340</v>
      </c>
      <c r="J49" s="215"/>
      <c r="K49" s="214"/>
      <c r="L49" s="214"/>
      <c r="M49" s="212"/>
      <c r="N49" s="212"/>
      <c r="O49" s="213" t="s">
        <v>339</v>
      </c>
      <c r="P49" s="212"/>
      <c r="Q49" s="211"/>
      <c r="R49" s="210"/>
      <c r="S49" s="209"/>
      <c r="T49" s="209"/>
    </row>
    <row r="50" spans="1:20" ht="9" customHeight="1">
      <c r="A50" s="175"/>
      <c r="B50" s="181"/>
      <c r="C50" s="181"/>
      <c r="D50" s="181"/>
      <c r="E50" s="181"/>
      <c r="F50" s="174"/>
      <c r="G50" s="174"/>
      <c r="H50" s="181"/>
      <c r="I50" s="175"/>
      <c r="J50" s="175"/>
      <c r="K50" s="174"/>
      <c r="L50" s="174"/>
      <c r="M50" s="175"/>
      <c r="N50" s="175"/>
      <c r="O50" s="175"/>
      <c r="P50" s="175"/>
      <c r="Q50" s="207"/>
      <c r="R50" s="206"/>
      <c r="S50" s="205"/>
    </row>
    <row r="51" spans="1:20" ht="9" customHeight="1">
      <c r="A51" s="175"/>
      <c r="B51" s="181"/>
      <c r="C51" s="181"/>
      <c r="D51" s="181"/>
      <c r="E51" s="181"/>
      <c r="F51" s="174"/>
      <c r="G51" s="174"/>
      <c r="H51" s="181"/>
      <c r="I51" s="175"/>
      <c r="J51" s="175"/>
      <c r="K51" s="174"/>
      <c r="L51" s="174"/>
      <c r="M51" s="175"/>
      <c r="N51" s="175"/>
      <c r="O51" s="175"/>
      <c r="P51" s="175"/>
      <c r="Q51" s="207"/>
      <c r="R51" s="206"/>
      <c r="S51" s="205"/>
    </row>
    <row r="52" spans="1:20" ht="25.5" customHeight="1">
      <c r="A52" s="175"/>
      <c r="B52" s="181"/>
      <c r="C52" s="181"/>
      <c r="D52" s="181"/>
      <c r="E52" s="559" t="s">
        <v>218</v>
      </c>
      <c r="F52" s="559"/>
      <c r="G52" s="559"/>
      <c r="H52" s="382"/>
      <c r="I52" s="192"/>
      <c r="J52" s="382" t="s">
        <v>346</v>
      </c>
      <c r="K52" s="382"/>
      <c r="L52" s="192"/>
      <c r="M52" s="382"/>
      <c r="N52" s="382"/>
      <c r="O52" s="382" t="s">
        <v>341</v>
      </c>
      <c r="P52" s="382"/>
      <c r="Q52" s="193"/>
      <c r="R52" s="193"/>
      <c r="S52" s="204"/>
    </row>
    <row r="53" spans="1:20" ht="18" customHeight="1">
      <c r="A53" s="175"/>
      <c r="B53" s="181"/>
      <c r="C53" s="181"/>
      <c r="D53" s="181"/>
      <c r="E53" s="382"/>
      <c r="F53" s="197"/>
      <c r="G53" s="197"/>
      <c r="H53" s="382"/>
      <c r="I53" s="192"/>
      <c r="J53" s="192"/>
      <c r="K53" s="192"/>
      <c r="L53" s="382"/>
      <c r="M53" s="382"/>
      <c r="N53" s="382"/>
      <c r="O53" s="203"/>
      <c r="P53" s="382"/>
      <c r="Q53" s="193"/>
      <c r="R53" s="193"/>
      <c r="S53" s="193"/>
    </row>
    <row r="54" spans="1:20" ht="25.5" customHeight="1">
      <c r="A54" s="175"/>
      <c r="B54" s="181"/>
      <c r="C54" s="181"/>
      <c r="D54" s="181"/>
      <c r="E54" s="559" t="s">
        <v>219</v>
      </c>
      <c r="F54" s="559"/>
      <c r="G54" s="559"/>
      <c r="H54" s="382"/>
      <c r="I54" s="192"/>
      <c r="J54" s="202" t="s">
        <v>347</v>
      </c>
      <c r="K54" s="202"/>
      <c r="L54" s="192"/>
      <c r="M54" s="201"/>
      <c r="N54" s="201"/>
      <c r="O54" s="201" t="s">
        <v>342</v>
      </c>
      <c r="P54" s="382"/>
      <c r="Q54" s="193"/>
      <c r="R54" s="193"/>
      <c r="S54" s="184"/>
    </row>
    <row r="55" spans="1:20" ht="18" customHeight="1">
      <c r="A55" s="175"/>
      <c r="B55" s="181"/>
      <c r="C55" s="181"/>
      <c r="D55" s="181"/>
      <c r="E55" s="382"/>
      <c r="F55" s="197"/>
      <c r="G55" s="197"/>
      <c r="H55" s="382"/>
      <c r="I55" s="192"/>
      <c r="J55" s="192"/>
      <c r="K55" s="192"/>
      <c r="L55" s="198"/>
      <c r="M55" s="382"/>
      <c r="N55" s="382"/>
      <c r="O55" s="200"/>
      <c r="P55" s="382"/>
      <c r="Q55" s="199"/>
      <c r="R55" s="193"/>
      <c r="S55" s="184"/>
    </row>
    <row r="56" spans="1:20" ht="25.5" customHeight="1">
      <c r="A56" s="175"/>
      <c r="B56" s="181"/>
      <c r="C56" s="181"/>
      <c r="D56" s="181"/>
      <c r="E56" s="559" t="s">
        <v>220</v>
      </c>
      <c r="F56" s="559"/>
      <c r="G56" s="559"/>
      <c r="H56" s="382"/>
      <c r="I56" s="192"/>
      <c r="J56" s="198" t="s">
        <v>344</v>
      </c>
      <c r="K56" s="198"/>
      <c r="L56" s="192"/>
      <c r="M56" s="382"/>
      <c r="N56" s="382"/>
      <c r="O56" s="198" t="s">
        <v>343</v>
      </c>
      <c r="P56" s="382"/>
      <c r="Q56" s="193" t="s">
        <v>349</v>
      </c>
      <c r="R56" s="193"/>
      <c r="S56" s="184"/>
    </row>
    <row r="57" spans="1:20" ht="18" customHeight="1">
      <c r="A57" s="175"/>
      <c r="B57" s="175"/>
      <c r="C57" s="175"/>
      <c r="D57" s="175"/>
      <c r="E57" s="196"/>
      <c r="F57" s="197"/>
      <c r="G57" s="197"/>
      <c r="H57" s="196"/>
      <c r="I57" s="196"/>
      <c r="J57" s="192"/>
      <c r="K57" s="192"/>
      <c r="L57" s="382"/>
      <c r="M57" s="382"/>
      <c r="N57" s="382"/>
      <c r="O57" s="195"/>
      <c r="P57" s="382"/>
      <c r="Q57" s="194" t="s">
        <v>119</v>
      </c>
      <c r="R57" s="193"/>
      <c r="S57" s="185"/>
    </row>
    <row r="58" spans="1:20" s="179" customFormat="1" ht="25.5" customHeight="1">
      <c r="A58" s="181"/>
      <c r="B58" s="175"/>
      <c r="C58" s="175"/>
      <c r="D58" s="175"/>
      <c r="E58" s="559" t="s">
        <v>221</v>
      </c>
      <c r="F58" s="559"/>
      <c r="G58" s="559"/>
      <c r="H58" s="382"/>
      <c r="I58" s="192"/>
      <c r="J58" s="192" t="s">
        <v>348</v>
      </c>
      <c r="K58" s="192"/>
      <c r="L58" s="192"/>
      <c r="M58" s="382"/>
      <c r="N58" s="382"/>
      <c r="O58" s="382" t="s">
        <v>345</v>
      </c>
      <c r="P58" s="382"/>
      <c r="Q58" s="560">
        <v>320</v>
      </c>
      <c r="R58" s="560"/>
      <c r="S58" s="185"/>
      <c r="T58" s="389"/>
    </row>
    <row r="59" spans="1:20" s="179" customFormat="1" ht="18" customHeight="1">
      <c r="A59" s="178"/>
      <c r="B59" s="176"/>
      <c r="C59" s="176"/>
      <c r="D59" s="176"/>
      <c r="E59" s="191"/>
      <c r="F59" s="190"/>
      <c r="G59" s="190"/>
      <c r="H59" s="188"/>
      <c r="I59" s="189"/>
      <c r="J59" s="188"/>
      <c r="K59" s="189"/>
      <c r="L59" s="189"/>
      <c r="M59" s="188"/>
      <c r="N59" s="188"/>
      <c r="O59" s="188"/>
      <c r="P59" s="188"/>
      <c r="Q59" s="187"/>
      <c r="R59" s="186"/>
      <c r="S59" s="185"/>
      <c r="T59" s="389"/>
    </row>
    <row r="60" spans="1:20" s="179" customFormat="1" ht="51" customHeight="1">
      <c r="A60" s="183"/>
      <c r="B60" s="178"/>
      <c r="C60" s="178"/>
      <c r="D60" s="178"/>
      <c r="E60" s="561" t="s">
        <v>199</v>
      </c>
      <c r="F60" s="561"/>
      <c r="G60" s="561"/>
      <c r="H60" s="561"/>
      <c r="I60" s="561"/>
      <c r="J60" s="561"/>
      <c r="K60" s="561"/>
      <c r="L60" s="561"/>
      <c r="M60" s="561"/>
      <c r="N60" s="561"/>
      <c r="O60" s="561"/>
      <c r="P60" s="561"/>
      <c r="Q60" s="561"/>
      <c r="R60" s="181"/>
      <c r="S60" s="184"/>
      <c r="T60" s="389"/>
    </row>
    <row r="61" spans="1:20" s="179" customFormat="1" ht="15" customHeight="1">
      <c r="A61" s="183"/>
      <c r="B61" s="178"/>
      <c r="C61" s="178"/>
      <c r="D61" s="178"/>
      <c r="E61" s="178"/>
      <c r="F61" s="178"/>
      <c r="G61" s="178"/>
      <c r="H61" s="178"/>
      <c r="I61" s="178"/>
      <c r="J61" s="178"/>
      <c r="K61" s="180"/>
      <c r="L61" s="180"/>
      <c r="M61" s="180"/>
      <c r="N61" s="180"/>
      <c r="O61" s="180"/>
      <c r="P61" s="180"/>
      <c r="Q61" s="180"/>
      <c r="S61" s="182"/>
      <c r="T61" s="389"/>
    </row>
    <row r="62" spans="1:20" s="179" customFormat="1" ht="15" customHeight="1">
      <c r="A62" s="176"/>
      <c r="B62" s="178"/>
      <c r="C62" s="178"/>
      <c r="D62" s="178"/>
      <c r="E62" s="178"/>
      <c r="F62" s="178"/>
      <c r="G62" s="178"/>
      <c r="H62" s="178"/>
      <c r="I62" s="178"/>
      <c r="J62" s="178"/>
      <c r="K62" s="180"/>
      <c r="L62" s="180"/>
      <c r="M62" s="180"/>
      <c r="N62" s="180"/>
      <c r="O62" s="180"/>
      <c r="P62" s="180"/>
      <c r="Q62" s="180"/>
      <c r="S62" s="182"/>
      <c r="T62" s="389"/>
    </row>
    <row r="63" spans="1:20" s="179" customFormat="1" ht="15" customHeight="1">
      <c r="A63" s="176"/>
      <c r="B63" s="176"/>
      <c r="C63" s="176"/>
      <c r="D63" s="176"/>
      <c r="E63" s="176"/>
      <c r="F63" s="176"/>
      <c r="G63" s="176"/>
      <c r="H63" s="176"/>
      <c r="I63" s="176"/>
      <c r="J63" s="176"/>
      <c r="K63" s="180"/>
      <c r="L63" s="180"/>
      <c r="M63" s="180"/>
      <c r="N63" s="180"/>
      <c r="O63" s="180"/>
      <c r="P63" s="180"/>
      <c r="Q63" s="180"/>
      <c r="S63" s="181"/>
      <c r="T63" s="389"/>
    </row>
    <row r="64" spans="1:20" s="179" customFormat="1" ht="14.25" customHeight="1">
      <c r="A64" s="178"/>
      <c r="B64" s="176"/>
      <c r="C64" s="176"/>
      <c r="D64" s="176"/>
      <c r="E64" s="176"/>
      <c r="F64" s="176"/>
      <c r="G64" s="176"/>
      <c r="H64" s="176"/>
      <c r="I64" s="176"/>
      <c r="J64" s="176"/>
      <c r="K64" s="177"/>
      <c r="L64" s="177"/>
      <c r="M64" s="176"/>
      <c r="N64" s="176"/>
      <c r="O64" s="176"/>
      <c r="P64" s="176"/>
      <c r="Q64" s="176"/>
      <c r="R64" s="175"/>
      <c r="S64" s="175"/>
      <c r="T64" s="389"/>
    </row>
    <row r="65" spans="1:20" s="179" customFormat="1" ht="15" customHeight="1">
      <c r="A65" s="178"/>
      <c r="B65" s="176"/>
      <c r="C65" s="176"/>
      <c r="D65" s="176"/>
      <c r="E65" s="176"/>
      <c r="F65" s="176"/>
      <c r="G65" s="176"/>
      <c r="H65" s="176"/>
      <c r="I65" s="176"/>
      <c r="J65" s="176"/>
      <c r="K65" s="177"/>
      <c r="L65" s="177"/>
      <c r="M65" s="176"/>
      <c r="N65" s="176"/>
      <c r="O65" s="176"/>
      <c r="P65" s="176"/>
      <c r="Q65" s="176"/>
      <c r="R65" s="175"/>
      <c r="S65" s="175"/>
      <c r="T65" s="389"/>
    </row>
    <row r="66" spans="1:20" s="179" customFormat="1" ht="15" customHeight="1">
      <c r="A66" s="178"/>
      <c r="B66" s="176"/>
      <c r="C66" s="176"/>
      <c r="D66" s="176"/>
      <c r="E66" s="176"/>
      <c r="F66" s="176"/>
      <c r="G66" s="176"/>
      <c r="H66" s="176"/>
      <c r="I66" s="176"/>
      <c r="J66" s="176"/>
      <c r="K66" s="177"/>
      <c r="L66" s="177"/>
      <c r="M66" s="176"/>
      <c r="N66" s="176"/>
      <c r="O66" s="176"/>
      <c r="P66" s="176"/>
      <c r="Q66" s="176"/>
      <c r="R66" s="175"/>
      <c r="S66" s="175"/>
      <c r="T66" s="389"/>
    </row>
    <row r="67" spans="1:20" s="179" customFormat="1" ht="15" customHeight="1">
      <c r="A67" s="178"/>
      <c r="B67" s="176"/>
      <c r="C67" s="176"/>
      <c r="D67" s="176"/>
      <c r="E67" s="176"/>
      <c r="F67" s="176"/>
      <c r="G67" s="176"/>
      <c r="H67" s="176"/>
      <c r="I67" s="176"/>
      <c r="J67" s="176"/>
      <c r="K67" s="177"/>
      <c r="L67" s="177"/>
      <c r="M67" s="176"/>
      <c r="N67" s="176"/>
      <c r="O67" s="176"/>
      <c r="P67" s="176"/>
      <c r="Q67" s="176"/>
      <c r="R67" s="175"/>
      <c r="S67" s="175"/>
      <c r="T67" s="389"/>
    </row>
    <row r="68" spans="1:20" s="179" customFormat="1" ht="15" customHeight="1">
      <c r="A68" s="178"/>
      <c r="B68" s="176"/>
      <c r="C68" s="176"/>
      <c r="D68" s="176"/>
      <c r="E68" s="176"/>
      <c r="F68" s="176"/>
      <c r="G68" s="176"/>
      <c r="H68" s="176"/>
      <c r="I68" s="176"/>
      <c r="J68" s="176"/>
      <c r="K68" s="177"/>
      <c r="L68" s="177"/>
      <c r="M68" s="176"/>
      <c r="N68" s="176"/>
      <c r="O68" s="176"/>
      <c r="P68" s="176"/>
      <c r="Q68" s="176"/>
      <c r="R68" s="175"/>
      <c r="S68" s="175"/>
      <c r="T68" s="389"/>
    </row>
    <row r="69" spans="1:20" s="179" customFormat="1" ht="15" customHeight="1">
      <c r="A69" s="178"/>
      <c r="B69" s="176"/>
      <c r="C69" s="176"/>
      <c r="D69" s="176"/>
      <c r="E69" s="176"/>
      <c r="F69" s="176"/>
      <c r="G69" s="176"/>
      <c r="H69" s="176"/>
      <c r="I69" s="176"/>
      <c r="J69" s="176"/>
      <c r="K69" s="177"/>
      <c r="L69" s="177"/>
      <c r="M69" s="176"/>
      <c r="N69" s="176"/>
      <c r="O69" s="176"/>
      <c r="P69" s="176"/>
      <c r="Q69" s="176"/>
      <c r="R69" s="175"/>
      <c r="S69" s="175"/>
      <c r="T69" s="389"/>
    </row>
    <row r="70" spans="1:20" s="179" customFormat="1" ht="15" customHeight="1">
      <c r="A70" s="180"/>
      <c r="B70" s="176"/>
      <c r="C70" s="176"/>
      <c r="D70" s="176"/>
      <c r="E70" s="176"/>
      <c r="F70" s="176"/>
      <c r="G70" s="176"/>
      <c r="H70" s="176"/>
      <c r="I70" s="176"/>
      <c r="J70" s="176"/>
      <c r="K70" s="177"/>
      <c r="L70" s="177"/>
      <c r="M70" s="176"/>
      <c r="N70" s="176"/>
      <c r="O70" s="176"/>
      <c r="P70" s="176"/>
      <c r="Q70" s="176"/>
      <c r="R70" s="175"/>
      <c r="S70" s="175"/>
      <c r="T70" s="389"/>
    </row>
    <row r="71" spans="1:20" s="179" customFormat="1" ht="15" customHeight="1">
      <c r="A71" s="178"/>
      <c r="B71" s="176"/>
      <c r="C71" s="176"/>
      <c r="D71" s="176"/>
      <c r="E71" s="176"/>
      <c r="F71" s="176"/>
      <c r="G71" s="176"/>
      <c r="H71" s="176"/>
      <c r="I71" s="176"/>
      <c r="J71" s="176"/>
      <c r="K71" s="177"/>
      <c r="L71" s="177"/>
      <c r="M71" s="176"/>
      <c r="N71" s="176"/>
      <c r="O71" s="176"/>
      <c r="P71" s="176"/>
      <c r="Q71" s="176"/>
      <c r="R71" s="175"/>
      <c r="S71" s="175"/>
      <c r="T71" s="389"/>
    </row>
    <row r="72" spans="1:20" ht="12.95" customHeight="1">
      <c r="A72" s="178"/>
    </row>
    <row r="73" spans="1:20" ht="12.95" customHeight="1"/>
  </sheetData>
  <mergeCells count="116">
    <mergeCell ref="Q22:Q23"/>
    <mergeCell ref="P32:P35"/>
    <mergeCell ref="O32:O35"/>
    <mergeCell ref="P36:P39"/>
    <mergeCell ref="O36:O39"/>
    <mergeCell ref="M36:N39"/>
    <mergeCell ref="L40:N41"/>
    <mergeCell ref="Q24:Q25"/>
    <mergeCell ref="P22:P25"/>
    <mergeCell ref="O22:O25"/>
    <mergeCell ref="N22:N25"/>
    <mergeCell ref="N32:N35"/>
    <mergeCell ref="Q32:Q33"/>
    <mergeCell ref="Q34:Q35"/>
    <mergeCell ref="Q29:Q31"/>
    <mergeCell ref="Q26:Q28"/>
    <mergeCell ref="P26:P31"/>
    <mergeCell ref="O26:O31"/>
    <mergeCell ref="O44:O45"/>
    <mergeCell ref="O42:O43"/>
    <mergeCell ref="G40:H41"/>
    <mergeCell ref="F40:F41"/>
    <mergeCell ref="P40:P41"/>
    <mergeCell ref="Q38:Q39"/>
    <mergeCell ref="Q36:Q37"/>
    <mergeCell ref="O40:O41"/>
    <mergeCell ref="L42:N43"/>
    <mergeCell ref="M44:N45"/>
    <mergeCell ref="P42:P43"/>
    <mergeCell ref="P44:P45"/>
    <mergeCell ref="D30:E35"/>
    <mergeCell ref="I33:I35"/>
    <mergeCell ref="I30:I32"/>
    <mergeCell ref="G30:H35"/>
    <mergeCell ref="F30:F35"/>
    <mergeCell ref="C40:E41"/>
    <mergeCell ref="N26:N31"/>
    <mergeCell ref="N46:N47"/>
    <mergeCell ref="I28:I29"/>
    <mergeCell ref="D36:E39"/>
    <mergeCell ref="I38:I39"/>
    <mergeCell ref="I36:I37"/>
    <mergeCell ref="G36:H39"/>
    <mergeCell ref="F36:F39"/>
    <mergeCell ref="I24:I25"/>
    <mergeCell ref="Q19:Q21"/>
    <mergeCell ref="Q16:Q18"/>
    <mergeCell ref="P16:P21"/>
    <mergeCell ref="O16:O21"/>
    <mergeCell ref="P10:P11"/>
    <mergeCell ref="D12:E17"/>
    <mergeCell ref="N16:N21"/>
    <mergeCell ref="F12:F17"/>
    <mergeCell ref="G12:H17"/>
    <mergeCell ref="I12:I14"/>
    <mergeCell ref="I15:I17"/>
    <mergeCell ref="I22:I23"/>
    <mergeCell ref="G22:H25"/>
    <mergeCell ref="F22:F25"/>
    <mergeCell ref="D18:E21"/>
    <mergeCell ref="F18:F21"/>
    <mergeCell ref="G18:H21"/>
    <mergeCell ref="I18:I19"/>
    <mergeCell ref="I20:I21"/>
    <mergeCell ref="P12:P15"/>
    <mergeCell ref="Q12:Q13"/>
    <mergeCell ref="Q14:Q15"/>
    <mergeCell ref="C10:E11"/>
    <mergeCell ref="E56:G56"/>
    <mergeCell ref="E58:G58"/>
    <mergeCell ref="Q58:R58"/>
    <mergeCell ref="E60:Q60"/>
    <mergeCell ref="M10:N11"/>
    <mergeCell ref="O10:O11"/>
    <mergeCell ref="P46:P47"/>
    <mergeCell ref="E52:G52"/>
    <mergeCell ref="E54:G54"/>
    <mergeCell ref="D46:E47"/>
    <mergeCell ref="F46:F47"/>
    <mergeCell ref="G46:H47"/>
    <mergeCell ref="O46:O47"/>
    <mergeCell ref="C44:E45"/>
    <mergeCell ref="F44:F45"/>
    <mergeCell ref="G44:H45"/>
    <mergeCell ref="D42:E43"/>
    <mergeCell ref="F42:F43"/>
    <mergeCell ref="G42:H43"/>
    <mergeCell ref="C26:E29"/>
    <mergeCell ref="F26:F29"/>
    <mergeCell ref="G26:H29"/>
    <mergeCell ref="I26:I27"/>
    <mergeCell ref="C22:E25"/>
    <mergeCell ref="M12:N15"/>
    <mergeCell ref="O12:O15"/>
    <mergeCell ref="P6:P7"/>
    <mergeCell ref="C8:E9"/>
    <mergeCell ref="F8:F9"/>
    <mergeCell ref="G8:H9"/>
    <mergeCell ref="L8:N9"/>
    <mergeCell ref="O8:O9"/>
    <mergeCell ref="B6:E7"/>
    <mergeCell ref="F6:F7"/>
    <mergeCell ref="G6:H7"/>
    <mergeCell ref="K6:N7"/>
    <mergeCell ref="O6:O7"/>
    <mergeCell ref="O1:P1"/>
    <mergeCell ref="F4:H4"/>
    <mergeCell ref="I4:J4"/>
    <mergeCell ref="O4:P4"/>
    <mergeCell ref="Q4:R4"/>
    <mergeCell ref="G5:H5"/>
    <mergeCell ref="I5:J5"/>
    <mergeCell ref="Q5:R5"/>
    <mergeCell ref="F10:F11"/>
    <mergeCell ref="G10:H11"/>
    <mergeCell ref="P8:P9"/>
  </mergeCells>
  <phoneticPr fontId="6"/>
  <pageMargins left="0.39370078740157483" right="0.39370078740157483" top="0.55118110236220474" bottom="0.35433070866141736" header="0" footer="0.39370078740157483"/>
  <pageSetup paperSize="9" scale="78" fitToHeight="0" orientation="portrait" r:id="rId1"/>
  <headerFooter alignWithMargins="0"/>
  <ignoredErrors>
    <ignoredError sqref="J56:R58"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4:Y167"/>
  <sheetViews>
    <sheetView view="pageBreakPreview" zoomScaleNormal="100" zoomScaleSheetLayoutView="100" workbookViewId="0"/>
  </sheetViews>
  <sheetFormatPr defaultRowHeight="13.5"/>
  <cols>
    <col min="1" max="1" width="2.85546875" style="254" customWidth="1"/>
    <col min="2" max="2" width="12.42578125" style="254" customWidth="1"/>
    <col min="3" max="3" width="2.85546875" style="254" customWidth="1"/>
    <col min="4" max="4" width="9.140625" style="254"/>
    <col min="5" max="5" width="15" style="254" customWidth="1"/>
    <col min="6" max="7" width="9.140625" style="254"/>
    <col min="8" max="8" width="15.42578125" style="254" customWidth="1"/>
    <col min="9" max="9" width="12.140625" style="254" customWidth="1"/>
    <col min="10" max="10" width="18.5703125" style="254" customWidth="1"/>
    <col min="11" max="11" width="2.85546875" style="254" customWidth="1"/>
    <col min="12" max="12" width="3.140625" style="254" customWidth="1"/>
    <col min="13" max="13" width="9.140625" style="254"/>
    <col min="14" max="14" width="11.140625" style="254" bestFit="1" customWidth="1"/>
    <col min="15" max="16384" width="9.140625" style="254"/>
  </cols>
  <sheetData>
    <row r="4" spans="1:11" ht="42.75" customHeight="1"/>
    <row r="5" spans="1:11" ht="15" customHeight="1">
      <c r="A5" s="289"/>
      <c r="B5" s="619" t="s">
        <v>122</v>
      </c>
      <c r="C5" s="288"/>
      <c r="D5" s="288"/>
      <c r="E5" s="288"/>
      <c r="F5" s="288"/>
      <c r="G5" s="288"/>
      <c r="H5" s="288"/>
      <c r="I5" s="288"/>
      <c r="J5" s="288"/>
      <c r="K5" s="287"/>
    </row>
    <row r="6" spans="1:11" ht="15" customHeight="1">
      <c r="A6" s="282"/>
      <c r="B6" s="620"/>
      <c r="C6" s="281"/>
      <c r="D6" s="281"/>
      <c r="E6" s="281"/>
      <c r="F6" s="281"/>
      <c r="G6" s="281"/>
      <c r="H6" s="281"/>
      <c r="I6" s="281"/>
      <c r="J6" s="281"/>
      <c r="K6" s="279"/>
    </row>
    <row r="7" spans="1:11" ht="15" customHeight="1">
      <c r="A7" s="282"/>
      <c r="B7" s="620"/>
      <c r="C7" s="281"/>
      <c r="D7" s="281"/>
      <c r="E7" s="281"/>
      <c r="F7" s="281"/>
      <c r="G7" s="281"/>
      <c r="H7" s="281"/>
      <c r="I7" s="281"/>
      <c r="J7" s="281"/>
      <c r="K7" s="279"/>
    </row>
    <row r="8" spans="1:11" ht="14.1" customHeight="1">
      <c r="A8" s="282"/>
      <c r="B8" s="281"/>
      <c r="C8" s="281"/>
      <c r="D8" s="289"/>
      <c r="E8" s="288"/>
      <c r="F8" s="288"/>
      <c r="G8" s="288"/>
      <c r="H8" s="288"/>
      <c r="I8" s="288"/>
      <c r="J8" s="287"/>
      <c r="K8" s="279"/>
    </row>
    <row r="9" spans="1:11" ht="20.100000000000001" customHeight="1">
      <c r="A9" s="282"/>
      <c r="B9" s="283"/>
      <c r="C9" s="281"/>
      <c r="D9" s="621" t="s">
        <v>395</v>
      </c>
      <c r="E9" s="622"/>
      <c r="F9" s="622"/>
      <c r="G9" s="622"/>
      <c r="H9" s="622"/>
      <c r="I9" s="622"/>
      <c r="J9" s="623"/>
      <c r="K9" s="279"/>
    </row>
    <row r="10" spans="1:11" ht="20.100000000000001" customHeight="1">
      <c r="A10" s="282"/>
      <c r="B10" s="283"/>
      <c r="C10" s="281"/>
      <c r="D10" s="621" t="s">
        <v>500</v>
      </c>
      <c r="E10" s="622"/>
      <c r="F10" s="622"/>
      <c r="G10" s="622"/>
      <c r="H10" s="622"/>
      <c r="I10" s="622"/>
      <c r="J10" s="623"/>
      <c r="K10" s="279"/>
    </row>
    <row r="11" spans="1:11" ht="19.5" customHeight="1">
      <c r="A11" s="282"/>
      <c r="B11" s="283"/>
      <c r="C11" s="281"/>
      <c r="D11" s="621" t="s">
        <v>396</v>
      </c>
      <c r="E11" s="622"/>
      <c r="F11" s="622"/>
      <c r="G11" s="622"/>
      <c r="H11" s="622"/>
      <c r="I11" s="622"/>
      <c r="J11" s="623"/>
      <c r="K11" s="279"/>
    </row>
    <row r="12" spans="1:11" ht="13.5" customHeight="1">
      <c r="A12" s="282"/>
      <c r="B12" s="283"/>
      <c r="C12" s="281"/>
      <c r="D12" s="621"/>
      <c r="E12" s="622"/>
      <c r="F12" s="622"/>
      <c r="G12" s="622"/>
      <c r="H12" s="622"/>
      <c r="I12" s="622"/>
      <c r="J12" s="623"/>
      <c r="K12" s="279"/>
    </row>
    <row r="13" spans="1:11" ht="20.100000000000001" customHeight="1">
      <c r="A13" s="282"/>
      <c r="B13" s="283"/>
      <c r="C13" s="281"/>
      <c r="D13" s="621" t="s">
        <v>375</v>
      </c>
      <c r="E13" s="622"/>
      <c r="F13" s="622"/>
      <c r="G13" s="622"/>
      <c r="H13" s="622"/>
      <c r="I13" s="622"/>
      <c r="J13" s="623"/>
      <c r="K13" s="279"/>
    </row>
    <row r="14" spans="1:11" ht="14.1" customHeight="1">
      <c r="A14" s="282"/>
      <c r="B14" s="283"/>
      <c r="C14" s="281"/>
      <c r="D14" s="621"/>
      <c r="E14" s="622"/>
      <c r="F14" s="622"/>
      <c r="G14" s="622"/>
      <c r="H14" s="622"/>
      <c r="I14" s="622"/>
      <c r="J14" s="623"/>
      <c r="K14" s="279"/>
    </row>
    <row r="15" spans="1:11" ht="20.100000000000001" customHeight="1">
      <c r="A15" s="282"/>
      <c r="B15" s="281"/>
      <c r="C15" s="281"/>
      <c r="D15" s="621" t="s">
        <v>367</v>
      </c>
      <c r="E15" s="622"/>
      <c r="F15" s="622"/>
      <c r="G15" s="622"/>
      <c r="H15" s="622"/>
      <c r="I15" s="622"/>
      <c r="J15" s="623"/>
      <c r="K15" s="279"/>
    </row>
    <row r="16" spans="1:11" ht="14.1" customHeight="1">
      <c r="A16" s="282"/>
      <c r="B16" s="281"/>
      <c r="C16" s="281"/>
      <c r="D16" s="286"/>
      <c r="E16" s="276"/>
      <c r="F16" s="276"/>
      <c r="G16" s="276"/>
      <c r="H16" s="276"/>
      <c r="I16" s="276"/>
      <c r="J16" s="285"/>
      <c r="K16" s="279"/>
    </row>
    <row r="17" spans="1:11" ht="30" customHeight="1">
      <c r="A17" s="282"/>
      <c r="B17" s="281"/>
      <c r="C17" s="281"/>
      <c r="D17" s="281"/>
      <c r="E17" s="281"/>
      <c r="F17" s="281"/>
      <c r="G17" s="281"/>
      <c r="H17" s="281"/>
      <c r="I17" s="281"/>
      <c r="J17" s="281"/>
      <c r="K17" s="279"/>
    </row>
    <row r="18" spans="1:11" ht="14.1" customHeight="1">
      <c r="A18" s="282"/>
      <c r="B18" s="290"/>
      <c r="C18" s="281"/>
      <c r="D18" s="289"/>
      <c r="E18" s="288"/>
      <c r="F18" s="288"/>
      <c r="G18" s="288"/>
      <c r="H18" s="288"/>
      <c r="I18" s="288"/>
      <c r="J18" s="287"/>
      <c r="K18" s="279"/>
    </row>
    <row r="19" spans="1:11" ht="20.100000000000001" customHeight="1">
      <c r="A19" s="282"/>
      <c r="B19" s="281"/>
      <c r="C19" s="281"/>
      <c r="D19" s="624" t="s">
        <v>491</v>
      </c>
      <c r="E19" s="625"/>
      <c r="F19" s="625"/>
      <c r="G19" s="625"/>
      <c r="H19" s="625"/>
      <c r="I19" s="625"/>
      <c r="J19" s="626"/>
      <c r="K19" s="279"/>
    </row>
    <row r="20" spans="1:11" ht="20.100000000000001" customHeight="1">
      <c r="A20" s="282"/>
      <c r="B20" s="281"/>
      <c r="C20" s="281"/>
      <c r="D20" s="432" t="s">
        <v>493</v>
      </c>
      <c r="E20" s="430"/>
      <c r="F20" s="430"/>
      <c r="G20" s="430"/>
      <c r="H20" s="430"/>
      <c r="I20" s="430"/>
      <c r="J20" s="431"/>
      <c r="K20" s="279"/>
    </row>
    <row r="21" spans="1:11" ht="20.100000000000001" customHeight="1">
      <c r="A21" s="282"/>
      <c r="B21" s="281"/>
      <c r="C21" s="281"/>
      <c r="D21" s="432" t="s">
        <v>396</v>
      </c>
      <c r="E21" s="433"/>
      <c r="F21" s="433"/>
      <c r="G21" s="433"/>
      <c r="H21" s="433"/>
      <c r="I21" s="433"/>
      <c r="J21" s="434"/>
      <c r="K21" s="279"/>
    </row>
    <row r="22" spans="1:11" ht="13.5" customHeight="1">
      <c r="A22" s="282"/>
      <c r="B22" s="283"/>
      <c r="C22" s="281"/>
      <c r="D22" s="621"/>
      <c r="E22" s="622"/>
      <c r="F22" s="622"/>
      <c r="G22" s="622"/>
      <c r="H22" s="622"/>
      <c r="I22" s="622"/>
      <c r="J22" s="623"/>
      <c r="K22" s="279"/>
    </row>
    <row r="23" spans="1:11" ht="19.5" customHeight="1">
      <c r="A23" s="282"/>
      <c r="B23" s="283"/>
      <c r="C23" s="281"/>
      <c r="D23" s="621" t="s">
        <v>397</v>
      </c>
      <c r="E23" s="622"/>
      <c r="F23" s="622"/>
      <c r="G23" s="622"/>
      <c r="H23" s="622"/>
      <c r="I23" s="622"/>
      <c r="J23" s="623"/>
      <c r="K23" s="279"/>
    </row>
    <row r="24" spans="1:11" ht="14.1" customHeight="1">
      <c r="A24" s="282"/>
      <c r="B24" s="283"/>
      <c r="C24" s="281"/>
      <c r="D24" s="396"/>
      <c r="E24" s="397"/>
      <c r="F24" s="397"/>
      <c r="G24" s="397"/>
      <c r="H24" s="397"/>
      <c r="I24" s="397"/>
      <c r="J24" s="398"/>
      <c r="K24" s="279"/>
    </row>
    <row r="25" spans="1:11" ht="20.100000000000001" customHeight="1">
      <c r="A25" s="282"/>
      <c r="B25" s="281"/>
      <c r="C25" s="281"/>
      <c r="D25" s="621" t="s">
        <v>366</v>
      </c>
      <c r="E25" s="622"/>
      <c r="F25" s="622"/>
      <c r="G25" s="622"/>
      <c r="H25" s="622"/>
      <c r="I25" s="622"/>
      <c r="J25" s="623"/>
      <c r="K25" s="279"/>
    </row>
    <row r="26" spans="1:11" ht="14.1" customHeight="1">
      <c r="A26" s="282"/>
      <c r="B26" s="281"/>
      <c r="C26" s="281"/>
      <c r="D26" s="286"/>
      <c r="E26" s="276"/>
      <c r="F26" s="276"/>
      <c r="G26" s="276"/>
      <c r="H26" s="276"/>
      <c r="I26" s="276"/>
      <c r="J26" s="285"/>
      <c r="K26" s="279"/>
    </row>
    <row r="27" spans="1:11" ht="30" customHeight="1">
      <c r="A27" s="282"/>
      <c r="B27" s="281"/>
      <c r="C27" s="281"/>
      <c r="D27" s="281"/>
      <c r="E27" s="281"/>
      <c r="F27" s="281"/>
      <c r="G27" s="281"/>
      <c r="H27" s="281"/>
      <c r="I27" s="281"/>
      <c r="J27" s="281"/>
      <c r="K27" s="279"/>
    </row>
    <row r="28" spans="1:11" ht="14.1" customHeight="1">
      <c r="A28" s="282"/>
      <c r="B28" s="281"/>
      <c r="C28" s="281"/>
      <c r="D28" s="289"/>
      <c r="E28" s="288"/>
      <c r="F28" s="288"/>
      <c r="G28" s="288"/>
      <c r="H28" s="288"/>
      <c r="I28" s="288"/>
      <c r="J28" s="287"/>
      <c r="K28" s="279"/>
    </row>
    <row r="29" spans="1:11" ht="20.100000000000001" customHeight="1">
      <c r="A29" s="282"/>
      <c r="B29" s="283"/>
      <c r="C29" s="281"/>
      <c r="D29" s="621" t="s">
        <v>386</v>
      </c>
      <c r="E29" s="622"/>
      <c r="F29" s="622"/>
      <c r="G29" s="622"/>
      <c r="H29" s="622"/>
      <c r="I29" s="622"/>
      <c r="J29" s="623"/>
      <c r="K29" s="279"/>
    </row>
    <row r="30" spans="1:11" ht="20.100000000000001" customHeight="1">
      <c r="A30" s="282"/>
      <c r="B30" s="283"/>
      <c r="C30" s="281"/>
      <c r="D30" s="621" t="s">
        <v>398</v>
      </c>
      <c r="E30" s="622"/>
      <c r="F30" s="622"/>
      <c r="G30" s="622"/>
      <c r="H30" s="622"/>
      <c r="I30" s="622"/>
      <c r="J30" s="623"/>
      <c r="K30" s="279"/>
    </row>
    <row r="31" spans="1:11" ht="14.1" customHeight="1">
      <c r="A31" s="282"/>
      <c r="B31" s="281"/>
      <c r="C31" s="281"/>
      <c r="D31" s="286"/>
      <c r="E31" s="276"/>
      <c r="F31" s="276"/>
      <c r="G31" s="276"/>
      <c r="H31" s="276"/>
      <c r="I31" s="276"/>
      <c r="J31" s="285"/>
      <c r="K31" s="279"/>
    </row>
    <row r="32" spans="1:11" ht="30" customHeight="1">
      <c r="A32" s="282"/>
      <c r="B32" s="281"/>
      <c r="C32" s="281"/>
      <c r="D32" s="281"/>
      <c r="E32" s="281"/>
      <c r="F32" s="281"/>
      <c r="G32" s="281"/>
      <c r="H32" s="281"/>
      <c r="I32" s="281"/>
      <c r="J32" s="281"/>
      <c r="K32" s="279"/>
    </row>
    <row r="33" spans="1:11" ht="14.1" customHeight="1">
      <c r="A33" s="282"/>
      <c r="B33" s="283"/>
      <c r="C33" s="284"/>
      <c r="D33" s="627"/>
      <c r="E33" s="628"/>
      <c r="F33" s="628"/>
      <c r="G33" s="628"/>
      <c r="H33" s="628"/>
      <c r="I33" s="628"/>
      <c r="J33" s="629"/>
      <c r="K33" s="279"/>
    </row>
    <row r="34" spans="1:11" ht="20.100000000000001" customHeight="1">
      <c r="A34" s="282"/>
      <c r="B34" s="283"/>
      <c r="C34" s="281"/>
      <c r="D34" s="621" t="s">
        <v>494</v>
      </c>
      <c r="E34" s="622"/>
      <c r="F34" s="622"/>
      <c r="G34" s="622"/>
      <c r="H34" s="622"/>
      <c r="I34" s="622"/>
      <c r="J34" s="623"/>
      <c r="K34" s="279"/>
    </row>
    <row r="35" spans="1:11" ht="14.1" customHeight="1">
      <c r="A35" s="282"/>
      <c r="B35" s="283"/>
      <c r="C35" s="281"/>
      <c r="D35" s="621"/>
      <c r="E35" s="622"/>
      <c r="F35" s="622"/>
      <c r="G35" s="622"/>
      <c r="H35" s="622"/>
      <c r="I35" s="622"/>
      <c r="J35" s="623"/>
      <c r="K35" s="279"/>
    </row>
    <row r="36" spans="1:11" ht="20.100000000000001" customHeight="1">
      <c r="A36" s="282"/>
      <c r="B36" s="283"/>
      <c r="C36" s="281"/>
      <c r="D36" s="621" t="s">
        <v>399</v>
      </c>
      <c r="E36" s="622"/>
      <c r="F36" s="622"/>
      <c r="G36" s="622"/>
      <c r="H36" s="622"/>
      <c r="I36" s="622"/>
      <c r="J36" s="623"/>
      <c r="K36" s="279"/>
    </row>
    <row r="37" spans="1:11" ht="19.5" customHeight="1">
      <c r="A37" s="282"/>
      <c r="B37" s="283"/>
      <c r="C37" s="281"/>
      <c r="D37" s="621" t="s">
        <v>495</v>
      </c>
      <c r="E37" s="622"/>
      <c r="F37" s="622"/>
      <c r="G37" s="622"/>
      <c r="H37" s="622"/>
      <c r="I37" s="622"/>
      <c r="J37" s="623"/>
      <c r="K37" s="279"/>
    </row>
    <row r="38" spans="1:11" ht="13.5" customHeight="1">
      <c r="A38" s="282"/>
      <c r="B38" s="283"/>
      <c r="C38" s="281"/>
      <c r="D38" s="399"/>
      <c r="E38" s="400"/>
      <c r="F38" s="400"/>
      <c r="G38" s="400"/>
      <c r="H38" s="400"/>
      <c r="I38" s="400"/>
      <c r="J38" s="401"/>
      <c r="K38" s="279"/>
    </row>
    <row r="39" spans="1:11" ht="20.100000000000001" customHeight="1">
      <c r="A39" s="282"/>
      <c r="B39" s="281"/>
      <c r="C39" s="281"/>
      <c r="D39" s="621" t="s">
        <v>387</v>
      </c>
      <c r="E39" s="622"/>
      <c r="F39" s="622"/>
      <c r="G39" s="622"/>
      <c r="H39" s="622"/>
      <c r="I39" s="622"/>
      <c r="J39" s="623"/>
      <c r="K39" s="279"/>
    </row>
    <row r="40" spans="1:11" ht="14.1" customHeight="1">
      <c r="A40" s="282"/>
      <c r="B40" s="281"/>
      <c r="C40" s="281"/>
      <c r="D40" s="100"/>
      <c r="E40" s="101"/>
      <c r="F40" s="101"/>
      <c r="G40" s="101"/>
      <c r="H40" s="101"/>
      <c r="I40" s="101"/>
      <c r="J40" s="102"/>
      <c r="K40" s="279"/>
    </row>
    <row r="41" spans="1:11" ht="30" customHeight="1">
      <c r="A41" s="282"/>
      <c r="B41" s="281"/>
      <c r="C41" s="281"/>
      <c r="D41" s="280"/>
      <c r="E41" s="280"/>
      <c r="F41" s="280"/>
      <c r="G41" s="280"/>
      <c r="H41" s="280"/>
      <c r="I41" s="280"/>
      <c r="J41" s="280"/>
      <c r="K41" s="279"/>
    </row>
    <row r="42" spans="1:11" ht="14.1" customHeight="1">
      <c r="A42" s="282"/>
      <c r="B42" s="283"/>
      <c r="C42" s="284"/>
      <c r="D42" s="627"/>
      <c r="E42" s="628"/>
      <c r="F42" s="628"/>
      <c r="G42" s="628"/>
      <c r="H42" s="628"/>
      <c r="I42" s="628"/>
      <c r="J42" s="629"/>
      <c r="K42" s="279"/>
    </row>
    <row r="43" spans="1:11" ht="20.100000000000001" customHeight="1">
      <c r="A43" s="282"/>
      <c r="B43" s="283"/>
      <c r="C43" s="281"/>
      <c r="D43" s="621" t="s">
        <v>504</v>
      </c>
      <c r="E43" s="622"/>
      <c r="F43" s="622"/>
      <c r="G43" s="622"/>
      <c r="H43" s="622"/>
      <c r="I43" s="622"/>
      <c r="J43" s="623"/>
      <c r="K43" s="279"/>
    </row>
    <row r="44" spans="1:11" ht="14.1" customHeight="1">
      <c r="A44" s="282"/>
      <c r="B44" s="283"/>
      <c r="C44" s="281"/>
      <c r="D44" s="621"/>
      <c r="E44" s="622"/>
      <c r="F44" s="622"/>
      <c r="G44" s="622"/>
      <c r="H44" s="622"/>
      <c r="I44" s="622"/>
      <c r="J44" s="623"/>
      <c r="K44" s="279"/>
    </row>
    <row r="45" spans="1:11" ht="20.100000000000001" customHeight="1">
      <c r="A45" s="282"/>
      <c r="B45" s="283"/>
      <c r="C45" s="281"/>
      <c r="D45" s="621" t="s">
        <v>372</v>
      </c>
      <c r="E45" s="622"/>
      <c r="F45" s="622"/>
      <c r="G45" s="622"/>
      <c r="H45" s="622"/>
      <c r="I45" s="622"/>
      <c r="J45" s="623"/>
      <c r="K45" s="279"/>
    </row>
    <row r="46" spans="1:11" ht="14.1" customHeight="1">
      <c r="A46" s="282"/>
      <c r="B46" s="283"/>
      <c r="C46" s="281"/>
      <c r="D46" s="621"/>
      <c r="E46" s="622"/>
      <c r="F46" s="622"/>
      <c r="G46" s="622"/>
      <c r="H46" s="622"/>
      <c r="I46" s="622"/>
      <c r="J46" s="623"/>
      <c r="K46" s="279"/>
    </row>
    <row r="47" spans="1:11" ht="20.100000000000001" customHeight="1">
      <c r="A47" s="282"/>
      <c r="B47" s="281"/>
      <c r="C47" s="281"/>
      <c r="D47" s="621" t="s">
        <v>369</v>
      </c>
      <c r="E47" s="622"/>
      <c r="F47" s="622"/>
      <c r="G47" s="622"/>
      <c r="H47" s="622"/>
      <c r="I47" s="622"/>
      <c r="J47" s="623"/>
      <c r="K47" s="279"/>
    </row>
    <row r="48" spans="1:11" ht="14.1" customHeight="1">
      <c r="A48" s="282"/>
      <c r="B48" s="281"/>
      <c r="C48" s="281"/>
      <c r="D48" s="100"/>
      <c r="E48" s="101"/>
      <c r="F48" s="101"/>
      <c r="G48" s="101"/>
      <c r="H48" s="101"/>
      <c r="I48" s="101"/>
      <c r="J48" s="102"/>
      <c r="K48" s="279"/>
    </row>
    <row r="49" spans="1:21" ht="15" customHeight="1">
      <c r="A49" s="282"/>
      <c r="B49" s="281"/>
      <c r="C49" s="281"/>
      <c r="D49" s="280"/>
      <c r="E49" s="280"/>
      <c r="F49" s="280"/>
      <c r="G49" s="280"/>
      <c r="H49" s="280"/>
      <c r="I49" s="280"/>
      <c r="J49" s="280"/>
      <c r="K49" s="279"/>
    </row>
    <row r="50" spans="1:21" ht="15" customHeight="1">
      <c r="A50" s="278"/>
      <c r="B50" s="277"/>
      <c r="C50" s="277"/>
      <c r="D50" s="276"/>
      <c r="E50" s="276"/>
      <c r="F50" s="276"/>
      <c r="G50" s="276"/>
      <c r="H50" s="276"/>
      <c r="I50" s="276"/>
      <c r="J50" s="276"/>
      <c r="K50" s="275"/>
    </row>
    <row r="51" spans="1:21" ht="27" customHeight="1">
      <c r="A51" s="265"/>
      <c r="B51" s="632" t="s">
        <v>400</v>
      </c>
      <c r="C51" s="632"/>
      <c r="D51" s="265"/>
      <c r="E51" s="265"/>
      <c r="F51" s="265"/>
      <c r="G51" s="265"/>
      <c r="H51" s="265"/>
      <c r="I51" s="265"/>
      <c r="J51" s="265"/>
      <c r="K51" s="265"/>
    </row>
    <row r="52" spans="1:21" s="260" customFormat="1" ht="6.75" customHeight="1">
      <c r="A52" s="261"/>
      <c r="B52" s="261"/>
      <c r="C52" s="261"/>
      <c r="D52" s="261"/>
      <c r="E52" s="261"/>
      <c r="F52" s="261"/>
      <c r="G52" s="261"/>
      <c r="H52" s="261"/>
      <c r="I52" s="261"/>
      <c r="J52" s="261"/>
      <c r="K52" s="261"/>
    </row>
    <row r="53" spans="1:21" s="260" customFormat="1" ht="18.75" customHeight="1">
      <c r="A53" s="261"/>
      <c r="B53" s="262"/>
      <c r="C53" s="262"/>
      <c r="D53" s="262"/>
      <c r="E53" s="262"/>
      <c r="F53" s="262"/>
      <c r="G53" s="262"/>
      <c r="H53" s="262"/>
      <c r="I53" s="262"/>
      <c r="J53" s="262"/>
      <c r="K53" s="261"/>
    </row>
    <row r="54" spans="1:21" s="260" customFormat="1" ht="30" customHeight="1">
      <c r="A54" s="261"/>
      <c r="B54" s="273" t="s">
        <v>374</v>
      </c>
      <c r="C54" s="269"/>
      <c r="D54" s="269"/>
      <c r="E54" s="269"/>
      <c r="F54" s="269"/>
      <c r="G54" s="269"/>
      <c r="H54" s="269"/>
      <c r="I54" s="269"/>
      <c r="J54" s="269"/>
      <c r="K54" s="261"/>
      <c r="L54" s="268"/>
    </row>
    <row r="55" spans="1:21" s="260" customFormat="1" ht="39.75" customHeight="1">
      <c r="A55" s="261"/>
      <c r="B55" s="262"/>
      <c r="C55" s="269"/>
      <c r="D55" s="269"/>
      <c r="E55" s="269"/>
      <c r="F55" s="269"/>
      <c r="G55" s="269"/>
      <c r="H55" s="269"/>
      <c r="I55" s="269"/>
      <c r="J55" s="269"/>
      <c r="K55" s="261"/>
      <c r="L55" s="268"/>
    </row>
    <row r="56" spans="1:21" s="260" customFormat="1" ht="24" customHeight="1">
      <c r="A56" s="261"/>
      <c r="B56" s="262" t="s">
        <v>126</v>
      </c>
      <c r="C56" s="269"/>
      <c r="D56" s="269"/>
      <c r="E56" s="269"/>
      <c r="F56" s="269"/>
      <c r="G56" s="269"/>
      <c r="H56" s="269"/>
      <c r="I56" s="269"/>
      <c r="J56" s="269"/>
      <c r="K56" s="261"/>
      <c r="L56" s="268"/>
    </row>
    <row r="57" spans="1:21" s="260" customFormat="1" ht="12" customHeight="1">
      <c r="A57" s="261"/>
      <c r="B57" s="262"/>
      <c r="C57" s="262"/>
      <c r="D57" s="262"/>
      <c r="E57" s="262"/>
      <c r="F57" s="262"/>
      <c r="G57" s="262"/>
      <c r="H57" s="262"/>
      <c r="I57" s="262"/>
      <c r="J57" s="262"/>
      <c r="K57" s="261"/>
    </row>
    <row r="58" spans="1:21" s="260" customFormat="1" ht="24" customHeight="1">
      <c r="A58" s="261"/>
      <c r="B58" s="262" t="s">
        <v>407</v>
      </c>
      <c r="C58" s="269"/>
      <c r="D58" s="269"/>
      <c r="E58" s="269"/>
      <c r="F58" s="269"/>
      <c r="G58" s="269"/>
      <c r="H58" s="269"/>
      <c r="I58" s="269"/>
      <c r="J58" s="269"/>
      <c r="K58" s="262"/>
      <c r="L58" s="268"/>
      <c r="N58" s="268"/>
      <c r="O58" s="272"/>
      <c r="P58" s="272"/>
      <c r="Q58" s="272"/>
      <c r="R58" s="272"/>
      <c r="S58" s="272"/>
      <c r="T58" s="272"/>
      <c r="U58" s="272"/>
    </row>
    <row r="59" spans="1:21" s="260" customFormat="1" ht="24" customHeight="1">
      <c r="A59" s="261"/>
      <c r="B59" s="262" t="s">
        <v>411</v>
      </c>
      <c r="C59" s="269"/>
      <c r="D59" s="269"/>
      <c r="E59" s="269"/>
      <c r="F59" s="269"/>
      <c r="G59" s="269"/>
      <c r="H59" s="269"/>
      <c r="I59" s="269"/>
      <c r="J59" s="269"/>
      <c r="K59" s="262"/>
      <c r="L59" s="268"/>
      <c r="N59" s="268"/>
      <c r="O59" s="272"/>
      <c r="P59" s="272"/>
      <c r="Q59" s="272"/>
      <c r="R59" s="272"/>
      <c r="S59" s="272"/>
      <c r="T59" s="272"/>
      <c r="U59" s="272"/>
    </row>
    <row r="60" spans="1:21" s="260" customFormat="1" ht="24" customHeight="1">
      <c r="A60" s="261"/>
      <c r="B60" s="262" t="s">
        <v>410</v>
      </c>
      <c r="C60" s="269"/>
      <c r="D60" s="269"/>
      <c r="E60" s="269"/>
      <c r="F60" s="269"/>
      <c r="G60" s="269"/>
      <c r="H60" s="269"/>
      <c r="I60" s="269"/>
      <c r="J60" s="269"/>
      <c r="K60" s="262"/>
      <c r="L60" s="268"/>
      <c r="N60" s="268"/>
      <c r="O60" s="272"/>
      <c r="P60" s="272"/>
      <c r="Q60" s="272"/>
      <c r="R60" s="272"/>
      <c r="S60" s="272"/>
      <c r="T60" s="272"/>
      <c r="U60" s="272"/>
    </row>
    <row r="61" spans="1:21" s="260" customFormat="1" ht="22.5" customHeight="1">
      <c r="A61" s="261"/>
      <c r="B61" s="262"/>
      <c r="C61" s="269"/>
      <c r="D61" s="269"/>
      <c r="E61" s="269"/>
      <c r="F61" s="269"/>
      <c r="G61" s="269"/>
      <c r="H61" s="269"/>
      <c r="I61" s="269"/>
      <c r="J61" s="269"/>
      <c r="K61" s="261"/>
      <c r="L61" s="268"/>
    </row>
    <row r="62" spans="1:21" s="260" customFormat="1" ht="14.1" customHeight="1">
      <c r="A62" s="261"/>
      <c r="B62" s="262"/>
      <c r="C62" s="269"/>
      <c r="D62" s="269"/>
      <c r="E62" s="269"/>
      <c r="F62" s="269"/>
      <c r="G62" s="269"/>
      <c r="H62" s="269"/>
      <c r="I62" s="269"/>
      <c r="J62" s="269"/>
      <c r="K62" s="261"/>
      <c r="L62" s="268"/>
    </row>
    <row r="63" spans="1:21" s="260" customFormat="1" ht="24" customHeight="1">
      <c r="A63" s="261"/>
      <c r="B63" s="262" t="s">
        <v>139</v>
      </c>
      <c r="C63" s="269"/>
      <c r="D63" s="269"/>
      <c r="E63" s="269"/>
      <c r="F63" s="269"/>
      <c r="G63" s="269"/>
      <c r="H63" s="269"/>
      <c r="I63" s="269"/>
      <c r="J63" s="269"/>
      <c r="K63" s="261"/>
      <c r="L63" s="268"/>
    </row>
    <row r="64" spans="1:21" s="260" customFormat="1" ht="12" customHeight="1">
      <c r="A64" s="261"/>
      <c r="B64" s="262"/>
      <c r="C64" s="262"/>
      <c r="D64" s="262"/>
      <c r="E64" s="262"/>
      <c r="F64" s="262"/>
      <c r="G64" s="262"/>
      <c r="H64" s="262"/>
      <c r="I64" s="262"/>
      <c r="J64" s="262"/>
      <c r="K64" s="261"/>
    </row>
    <row r="65" spans="1:12" s="260" customFormat="1" ht="24" customHeight="1">
      <c r="A65" s="261"/>
      <c r="B65" s="262" t="s">
        <v>408</v>
      </c>
      <c r="C65" s="269"/>
      <c r="D65" s="269"/>
      <c r="E65" s="269"/>
      <c r="F65" s="269"/>
      <c r="G65" s="269"/>
      <c r="H65" s="269"/>
      <c r="I65" s="269"/>
      <c r="J65" s="269"/>
      <c r="K65" s="262"/>
      <c r="L65" s="268"/>
    </row>
    <row r="66" spans="1:12" s="260" customFormat="1" ht="24" customHeight="1">
      <c r="A66" s="261"/>
      <c r="B66" s="262" t="s">
        <v>409</v>
      </c>
      <c r="C66" s="269"/>
      <c r="D66" s="269"/>
      <c r="E66" s="269"/>
      <c r="F66" s="269"/>
      <c r="G66" s="269"/>
      <c r="H66" s="269"/>
      <c r="I66" s="269"/>
      <c r="J66" s="269"/>
      <c r="K66" s="262"/>
      <c r="L66" s="268"/>
    </row>
    <row r="67" spans="1:12" s="260" customFormat="1" ht="24" customHeight="1">
      <c r="A67" s="261"/>
      <c r="B67" s="262" t="s">
        <v>412</v>
      </c>
      <c r="C67" s="269"/>
      <c r="D67" s="269"/>
      <c r="E67" s="269"/>
      <c r="F67" s="269"/>
      <c r="G67" s="269"/>
      <c r="H67" s="269"/>
      <c r="I67" s="269"/>
      <c r="J67" s="269"/>
      <c r="K67" s="262"/>
      <c r="L67" s="268"/>
    </row>
    <row r="68" spans="1:12" s="260" customFormat="1" ht="22.5" customHeight="1">
      <c r="A68" s="261"/>
      <c r="B68" s="262"/>
      <c r="C68" s="269"/>
      <c r="D68" s="269"/>
      <c r="E68" s="269"/>
      <c r="F68" s="269"/>
      <c r="G68" s="269"/>
      <c r="H68" s="269"/>
      <c r="I68" s="269"/>
      <c r="J68" s="269"/>
      <c r="K68" s="261"/>
      <c r="L68" s="268"/>
    </row>
    <row r="69" spans="1:12" s="270" customFormat="1" ht="14.1" customHeight="1">
      <c r="A69" s="262"/>
      <c r="B69" s="262"/>
      <c r="C69" s="269"/>
      <c r="D69" s="269"/>
      <c r="E69" s="269"/>
      <c r="F69" s="269"/>
      <c r="G69" s="269"/>
      <c r="H69" s="269"/>
      <c r="I69" s="269"/>
      <c r="J69" s="269"/>
      <c r="K69" s="262"/>
      <c r="L69" s="271"/>
    </row>
    <row r="70" spans="1:12" s="260" customFormat="1" ht="24" customHeight="1">
      <c r="A70" s="261"/>
      <c r="B70" s="262" t="s">
        <v>127</v>
      </c>
      <c r="C70" s="269"/>
      <c r="D70" s="269"/>
      <c r="E70" s="269"/>
      <c r="F70" s="269"/>
      <c r="G70" s="269"/>
      <c r="H70" s="269"/>
      <c r="I70" s="269"/>
      <c r="J70" s="269"/>
      <c r="K70" s="261"/>
      <c r="L70" s="268"/>
    </row>
    <row r="71" spans="1:12" s="260" customFormat="1" ht="12" customHeight="1">
      <c r="A71" s="261"/>
      <c r="B71" s="262"/>
      <c r="C71" s="262"/>
      <c r="D71" s="262"/>
      <c r="E71" s="262"/>
      <c r="F71" s="262"/>
      <c r="G71" s="262"/>
      <c r="H71" s="262"/>
      <c r="I71" s="262"/>
      <c r="J71" s="262"/>
      <c r="K71" s="261"/>
    </row>
    <row r="72" spans="1:12" s="260" customFormat="1" ht="24" customHeight="1">
      <c r="A72" s="261"/>
      <c r="B72" s="262" t="s">
        <v>498</v>
      </c>
      <c r="C72" s="269"/>
      <c r="D72" s="269"/>
      <c r="E72" s="269"/>
      <c r="F72" s="269"/>
      <c r="G72" s="269"/>
      <c r="H72" s="269"/>
      <c r="I72" s="269"/>
      <c r="J72" s="269"/>
      <c r="K72" s="262"/>
      <c r="L72" s="268"/>
    </row>
    <row r="73" spans="1:12" s="260" customFormat="1" ht="24" customHeight="1">
      <c r="A73" s="261"/>
      <c r="B73" s="262" t="s">
        <v>496</v>
      </c>
      <c r="C73" s="269"/>
      <c r="D73" s="269"/>
      <c r="E73" s="269"/>
      <c r="F73" s="269"/>
      <c r="G73" s="269"/>
      <c r="H73" s="269"/>
      <c r="I73" s="269"/>
      <c r="J73" s="269"/>
      <c r="K73" s="262"/>
      <c r="L73" s="268"/>
    </row>
    <row r="74" spans="1:12" s="260" customFormat="1" ht="24" customHeight="1">
      <c r="A74" s="261"/>
      <c r="B74" s="262" t="s">
        <v>497</v>
      </c>
      <c r="C74" s="269"/>
      <c r="D74" s="269"/>
      <c r="E74" s="269"/>
      <c r="F74" s="269"/>
      <c r="G74" s="269"/>
      <c r="H74" s="269"/>
      <c r="I74" s="269"/>
      <c r="J74" s="269"/>
      <c r="K74" s="262"/>
      <c r="L74" s="268"/>
    </row>
    <row r="75" spans="1:12" s="260" customFormat="1" ht="22.5" customHeight="1">
      <c r="A75" s="261"/>
      <c r="B75" s="262"/>
      <c r="C75" s="269"/>
      <c r="D75" s="269"/>
      <c r="E75" s="269"/>
      <c r="F75" s="269"/>
      <c r="G75" s="269"/>
      <c r="H75" s="269"/>
      <c r="I75" s="269"/>
      <c r="J75" s="269"/>
      <c r="K75" s="261"/>
      <c r="L75" s="268"/>
    </row>
    <row r="76" spans="1:12" s="260" customFormat="1" ht="14.1" customHeight="1">
      <c r="A76" s="261"/>
      <c r="B76" s="269"/>
      <c r="C76" s="269"/>
      <c r="D76" s="269"/>
      <c r="E76" s="269"/>
      <c r="F76" s="269"/>
      <c r="G76" s="269"/>
      <c r="H76" s="269"/>
      <c r="I76" s="269"/>
      <c r="J76" s="269"/>
      <c r="K76" s="261"/>
      <c r="L76" s="268"/>
    </row>
    <row r="77" spans="1:12" s="270" customFormat="1" ht="24" customHeight="1">
      <c r="A77" s="262"/>
      <c r="B77" s="262" t="s">
        <v>128</v>
      </c>
      <c r="C77" s="269"/>
      <c r="D77" s="269"/>
      <c r="E77" s="269"/>
      <c r="F77" s="269"/>
      <c r="G77" s="269"/>
      <c r="H77" s="269"/>
      <c r="I77" s="269"/>
      <c r="J77" s="269"/>
      <c r="K77" s="262"/>
      <c r="L77" s="271"/>
    </row>
    <row r="78" spans="1:12" s="260" customFormat="1" ht="12" customHeight="1">
      <c r="A78" s="261"/>
      <c r="B78" s="262"/>
      <c r="C78" s="262"/>
      <c r="D78" s="262"/>
      <c r="E78" s="262"/>
      <c r="F78" s="262"/>
      <c r="G78" s="262"/>
      <c r="H78" s="262"/>
      <c r="I78" s="262"/>
      <c r="J78" s="262"/>
      <c r="K78" s="261"/>
    </row>
    <row r="79" spans="1:12" s="260" customFormat="1" ht="24" customHeight="1">
      <c r="A79" s="261"/>
      <c r="B79" s="262" t="s">
        <v>492</v>
      </c>
      <c r="C79" s="269"/>
      <c r="D79" s="269"/>
      <c r="E79" s="269"/>
      <c r="F79" s="269"/>
      <c r="G79" s="269"/>
      <c r="H79" s="269"/>
      <c r="I79" s="269"/>
      <c r="J79" s="269"/>
      <c r="K79" s="262"/>
      <c r="L79" s="268"/>
    </row>
    <row r="80" spans="1:12" s="260" customFormat="1" ht="24" customHeight="1">
      <c r="A80" s="261"/>
      <c r="B80" s="262" t="s">
        <v>392</v>
      </c>
      <c r="C80" s="269"/>
      <c r="D80" s="269"/>
      <c r="E80" s="269"/>
      <c r="F80" s="269"/>
      <c r="G80" s="269"/>
      <c r="H80" s="269"/>
      <c r="I80" s="269"/>
      <c r="J80" s="269"/>
      <c r="K80" s="262"/>
      <c r="L80" s="268"/>
    </row>
    <row r="81" spans="1:12" s="270" customFormat="1" ht="24" customHeight="1">
      <c r="A81" s="262"/>
      <c r="B81" s="262" t="s">
        <v>393</v>
      </c>
      <c r="C81" s="269"/>
      <c r="D81" s="269"/>
      <c r="E81" s="269"/>
      <c r="F81" s="269"/>
      <c r="G81" s="269"/>
      <c r="H81" s="269"/>
      <c r="I81" s="269"/>
      <c r="J81" s="269"/>
      <c r="K81" s="262"/>
      <c r="L81" s="271"/>
    </row>
    <row r="82" spans="1:12" s="260" customFormat="1" ht="22.5" customHeight="1">
      <c r="A82" s="261"/>
      <c r="B82" s="262"/>
      <c r="C82" s="269"/>
      <c r="D82" s="269"/>
      <c r="E82" s="269"/>
      <c r="F82" s="269"/>
      <c r="G82" s="269"/>
      <c r="H82" s="269"/>
      <c r="I82" s="269"/>
      <c r="J82" s="269"/>
      <c r="K82" s="261"/>
      <c r="L82" s="268"/>
    </row>
    <row r="83" spans="1:12" s="260" customFormat="1" ht="14.1" customHeight="1">
      <c r="A83" s="261"/>
      <c r="B83" s="262"/>
      <c r="C83" s="269"/>
      <c r="D83" s="269"/>
      <c r="E83" s="269"/>
      <c r="F83" s="269"/>
      <c r="G83" s="269"/>
      <c r="H83" s="269"/>
      <c r="I83" s="269"/>
      <c r="J83" s="269"/>
      <c r="K83" s="261"/>
      <c r="L83" s="268"/>
    </row>
    <row r="84" spans="1:12" s="260" customFormat="1" ht="24" customHeight="1">
      <c r="A84" s="261"/>
      <c r="B84" s="262" t="s">
        <v>129</v>
      </c>
      <c r="C84" s="269"/>
      <c r="D84" s="269"/>
      <c r="E84" s="269"/>
      <c r="F84" s="269"/>
      <c r="G84" s="269"/>
      <c r="H84" s="269"/>
      <c r="I84" s="269"/>
      <c r="J84" s="269"/>
      <c r="K84" s="261"/>
      <c r="L84" s="268"/>
    </row>
    <row r="85" spans="1:12" s="260" customFormat="1" ht="12" customHeight="1">
      <c r="A85" s="261"/>
      <c r="B85" s="262"/>
      <c r="C85" s="269"/>
      <c r="D85" s="269"/>
      <c r="E85" s="269"/>
      <c r="F85" s="269"/>
      <c r="G85" s="269"/>
      <c r="H85" s="269"/>
      <c r="I85" s="269"/>
      <c r="J85" s="269"/>
      <c r="K85" s="261"/>
      <c r="L85" s="268"/>
    </row>
    <row r="86" spans="1:12" s="260" customFormat="1" ht="24" customHeight="1">
      <c r="A86" s="261"/>
      <c r="B86" s="262" t="s">
        <v>389</v>
      </c>
      <c r="C86" s="269"/>
      <c r="D86" s="269"/>
      <c r="E86" s="269"/>
      <c r="F86" s="269"/>
      <c r="G86" s="269"/>
      <c r="H86" s="269"/>
      <c r="I86" s="269"/>
      <c r="J86" s="269"/>
      <c r="K86" s="262"/>
      <c r="L86" s="268"/>
    </row>
    <row r="87" spans="1:12" s="260" customFormat="1" ht="24" customHeight="1">
      <c r="A87" s="261"/>
      <c r="B87" s="262" t="s">
        <v>390</v>
      </c>
      <c r="C87" s="269"/>
      <c r="D87" s="269"/>
      <c r="E87" s="269"/>
      <c r="F87" s="269"/>
      <c r="G87" s="269"/>
      <c r="H87" s="269"/>
      <c r="I87" s="269"/>
      <c r="J87" s="269"/>
      <c r="K87" s="262"/>
      <c r="L87" s="268"/>
    </row>
    <row r="88" spans="1:12" s="260" customFormat="1" ht="22.5" customHeight="1">
      <c r="A88" s="261"/>
      <c r="B88" s="262"/>
      <c r="C88" s="269"/>
      <c r="D88" s="269"/>
      <c r="E88" s="269"/>
      <c r="F88" s="269"/>
      <c r="G88" s="269"/>
      <c r="H88" s="269"/>
      <c r="I88" s="269"/>
      <c r="J88" s="269"/>
      <c r="K88" s="261"/>
      <c r="L88" s="268"/>
    </row>
    <row r="89" spans="1:12" s="260" customFormat="1" ht="14.1" customHeight="1">
      <c r="A89" s="261"/>
      <c r="B89" s="262"/>
      <c r="C89" s="269"/>
      <c r="D89" s="269"/>
      <c r="E89" s="269"/>
      <c r="F89" s="269"/>
      <c r="G89" s="269"/>
      <c r="H89" s="269"/>
      <c r="I89" s="269"/>
      <c r="J89" s="269"/>
      <c r="K89" s="261"/>
      <c r="L89" s="268"/>
    </row>
    <row r="90" spans="1:12" s="260" customFormat="1" ht="24" customHeight="1">
      <c r="A90" s="261"/>
      <c r="B90" s="262" t="s">
        <v>130</v>
      </c>
      <c r="C90" s="269"/>
      <c r="D90" s="269"/>
      <c r="E90" s="269"/>
      <c r="F90" s="269"/>
      <c r="G90" s="269"/>
      <c r="H90" s="269"/>
      <c r="I90" s="269"/>
      <c r="J90" s="269"/>
      <c r="K90" s="261"/>
      <c r="L90" s="268"/>
    </row>
    <row r="91" spans="1:12" s="260" customFormat="1" ht="12" customHeight="1">
      <c r="A91" s="261"/>
      <c r="B91" s="262"/>
      <c r="C91" s="262"/>
      <c r="D91" s="262"/>
      <c r="E91" s="262"/>
      <c r="F91" s="262"/>
      <c r="G91" s="262"/>
      <c r="H91" s="262"/>
      <c r="I91" s="262"/>
      <c r="J91" s="262"/>
      <c r="K91" s="261"/>
    </row>
    <row r="92" spans="1:12" s="260" customFormat="1" ht="24" customHeight="1">
      <c r="A92" s="261"/>
      <c r="B92" s="262" t="s">
        <v>391</v>
      </c>
      <c r="C92" s="262"/>
      <c r="D92" s="262"/>
      <c r="E92" s="262"/>
      <c r="F92" s="262"/>
      <c r="G92" s="262"/>
      <c r="H92" s="262"/>
      <c r="I92" s="262"/>
      <c r="J92" s="262"/>
      <c r="K92" s="262"/>
      <c r="L92" s="268"/>
    </row>
    <row r="93" spans="1:12" s="260" customFormat="1" ht="24" customHeight="1">
      <c r="A93" s="261"/>
      <c r="B93" s="262" t="s">
        <v>394</v>
      </c>
      <c r="C93" s="262"/>
      <c r="D93" s="262"/>
      <c r="E93" s="262"/>
      <c r="F93" s="262"/>
      <c r="G93" s="262"/>
      <c r="H93" s="262"/>
      <c r="I93" s="262"/>
      <c r="J93" s="262"/>
      <c r="K93" s="262"/>
      <c r="L93" s="268"/>
    </row>
    <row r="94" spans="1:12" s="260" customFormat="1" ht="24" customHeight="1">
      <c r="A94" s="261"/>
      <c r="B94" s="262" t="s">
        <v>385</v>
      </c>
      <c r="C94" s="269"/>
      <c r="D94" s="269"/>
      <c r="E94" s="269"/>
      <c r="F94" s="269"/>
      <c r="G94" s="269"/>
      <c r="H94" s="269"/>
      <c r="I94" s="269"/>
      <c r="J94" s="269"/>
      <c r="K94" s="262"/>
      <c r="L94" s="268"/>
    </row>
    <row r="95" spans="1:12" ht="27" customHeight="1">
      <c r="A95" s="265"/>
      <c r="B95" s="632" t="s">
        <v>401</v>
      </c>
      <c r="C95" s="632"/>
      <c r="D95" s="265"/>
      <c r="E95" s="265"/>
      <c r="F95" s="265"/>
      <c r="G95" s="265"/>
      <c r="H95" s="265"/>
      <c r="I95" s="265"/>
      <c r="J95" s="265"/>
      <c r="K95" s="265"/>
    </row>
    <row r="96" spans="1:12" s="260" customFormat="1" ht="6.75" customHeight="1">
      <c r="A96" s="261"/>
      <c r="B96" s="261"/>
      <c r="C96" s="261"/>
      <c r="D96" s="261"/>
      <c r="E96" s="261"/>
      <c r="F96" s="261"/>
      <c r="G96" s="261"/>
      <c r="H96" s="261"/>
      <c r="I96" s="261"/>
      <c r="J96" s="261"/>
      <c r="K96" s="261"/>
    </row>
    <row r="97" spans="1:11" s="260" customFormat="1" ht="18.75" customHeight="1">
      <c r="A97" s="261"/>
      <c r="B97" s="262"/>
      <c r="C97" s="262"/>
      <c r="D97" s="262"/>
      <c r="E97" s="262"/>
      <c r="F97" s="262"/>
      <c r="G97" s="262"/>
      <c r="H97" s="262"/>
      <c r="I97" s="262"/>
      <c r="J97" s="262"/>
      <c r="K97" s="261"/>
    </row>
    <row r="98" spans="1:11" s="260" customFormat="1" ht="30" customHeight="1">
      <c r="A98" s="261"/>
      <c r="B98" s="273" t="s">
        <v>388</v>
      </c>
      <c r="C98" s="262"/>
      <c r="D98" s="262"/>
      <c r="E98" s="262"/>
      <c r="F98" s="262"/>
      <c r="G98" s="262"/>
      <c r="H98" s="262"/>
      <c r="I98" s="262"/>
      <c r="J98" s="262"/>
      <c r="K98" s="261"/>
    </row>
    <row r="99" spans="1:11" s="260" customFormat="1" ht="39.950000000000003" customHeight="1">
      <c r="A99" s="261"/>
      <c r="B99" s="262"/>
      <c r="C99" s="262"/>
      <c r="D99" s="262"/>
      <c r="E99" s="262"/>
      <c r="F99" s="262"/>
      <c r="G99" s="262"/>
      <c r="H99" s="262"/>
      <c r="I99" s="262"/>
      <c r="J99" s="262"/>
      <c r="K99" s="261"/>
    </row>
    <row r="100" spans="1:11" s="260" customFormat="1" ht="24" customHeight="1">
      <c r="A100" s="261"/>
      <c r="B100" s="262" t="s">
        <v>123</v>
      </c>
      <c r="C100" s="262"/>
      <c r="D100" s="262"/>
      <c r="E100" s="262"/>
      <c r="F100" s="262"/>
      <c r="G100" s="262"/>
      <c r="H100" s="262"/>
      <c r="I100" s="262"/>
      <c r="J100" s="262"/>
      <c r="K100" s="261"/>
    </row>
    <row r="101" spans="1:11" s="260" customFormat="1" ht="12" customHeight="1">
      <c r="A101" s="261"/>
      <c r="B101" s="262"/>
      <c r="C101" s="262"/>
      <c r="D101" s="262"/>
      <c r="E101" s="262"/>
      <c r="F101" s="262"/>
      <c r="G101" s="262"/>
      <c r="H101" s="262"/>
      <c r="I101" s="262"/>
      <c r="J101" s="262"/>
      <c r="K101" s="261"/>
    </row>
    <row r="102" spans="1:11" s="260" customFormat="1" ht="24" customHeight="1">
      <c r="A102" s="261"/>
      <c r="B102" s="262" t="s">
        <v>501</v>
      </c>
      <c r="C102" s="262"/>
      <c r="D102" s="262"/>
      <c r="E102" s="262"/>
      <c r="F102" s="262"/>
      <c r="G102" s="262"/>
      <c r="H102" s="262"/>
      <c r="I102" s="262"/>
      <c r="J102" s="262"/>
      <c r="K102" s="261"/>
    </row>
    <row r="103" spans="1:11" s="260" customFormat="1" ht="24" customHeight="1">
      <c r="A103" s="261"/>
      <c r="B103" s="261" t="s">
        <v>402</v>
      </c>
      <c r="C103" s="262"/>
      <c r="D103" s="262"/>
      <c r="E103" s="262"/>
      <c r="F103" s="262"/>
      <c r="G103" s="262"/>
      <c r="H103" s="262"/>
      <c r="I103" s="262"/>
      <c r="J103" s="262"/>
      <c r="K103" s="261"/>
    </row>
    <row r="104" spans="1:11" s="260" customFormat="1" ht="24" customHeight="1">
      <c r="A104" s="261"/>
      <c r="B104" s="261" t="s">
        <v>404</v>
      </c>
      <c r="C104" s="262"/>
      <c r="D104" s="262"/>
      <c r="E104" s="262"/>
      <c r="F104" s="262"/>
      <c r="G104" s="262"/>
      <c r="H104" s="262"/>
      <c r="I104" s="262"/>
      <c r="J104" s="262"/>
      <c r="K104" s="261"/>
    </row>
    <row r="105" spans="1:11" s="260" customFormat="1" ht="24" customHeight="1">
      <c r="A105" s="261"/>
      <c r="B105" s="261" t="s">
        <v>403</v>
      </c>
      <c r="C105" s="262"/>
      <c r="D105" s="262"/>
      <c r="E105" s="262"/>
      <c r="F105" s="262"/>
      <c r="G105" s="262"/>
      <c r="H105" s="262"/>
      <c r="I105" s="262"/>
      <c r="J105" s="262"/>
      <c r="K105" s="261"/>
    </row>
    <row r="106" spans="1:11" s="260" customFormat="1" ht="24" customHeight="1">
      <c r="A106" s="261"/>
      <c r="B106" s="262"/>
      <c r="C106" s="262"/>
      <c r="D106" s="262"/>
      <c r="E106" s="262"/>
      <c r="F106" s="262"/>
      <c r="G106" s="262"/>
      <c r="H106" s="262"/>
      <c r="I106" s="262"/>
      <c r="J106" s="262"/>
      <c r="K106" s="261"/>
    </row>
    <row r="107" spans="1:11" s="260" customFormat="1" ht="24" customHeight="1">
      <c r="A107" s="261"/>
      <c r="B107" s="262" t="s">
        <v>124</v>
      </c>
      <c r="C107" s="262"/>
      <c r="D107" s="262"/>
      <c r="E107" s="262"/>
      <c r="F107" s="262"/>
      <c r="G107" s="262"/>
      <c r="H107" s="262"/>
      <c r="I107" s="262"/>
      <c r="J107" s="262"/>
      <c r="K107" s="261"/>
    </row>
    <row r="108" spans="1:11" s="260" customFormat="1" ht="12" customHeight="1">
      <c r="A108" s="261"/>
      <c r="B108" s="262"/>
      <c r="C108" s="262"/>
      <c r="D108" s="262"/>
      <c r="E108" s="262"/>
      <c r="F108" s="262"/>
      <c r="G108" s="262"/>
      <c r="H108" s="262"/>
      <c r="I108" s="262"/>
      <c r="J108" s="262"/>
      <c r="K108" s="261"/>
    </row>
    <row r="109" spans="1:11" s="260" customFormat="1" ht="24" customHeight="1">
      <c r="A109" s="261"/>
      <c r="B109" s="274" t="s">
        <v>405</v>
      </c>
      <c r="C109" s="262"/>
      <c r="D109" s="262"/>
      <c r="E109" s="262"/>
      <c r="F109" s="262"/>
      <c r="G109" s="262"/>
      <c r="H109" s="262"/>
      <c r="I109" s="262"/>
      <c r="J109" s="262"/>
      <c r="K109" s="261"/>
    </row>
    <row r="110" spans="1:11" s="260" customFormat="1" ht="24" customHeight="1">
      <c r="A110" s="261"/>
      <c r="B110" s="262" t="s">
        <v>368</v>
      </c>
      <c r="C110" s="262"/>
      <c r="D110" s="262"/>
      <c r="E110" s="262"/>
      <c r="F110" s="262"/>
      <c r="G110" s="262"/>
      <c r="H110" s="262"/>
      <c r="I110" s="262"/>
      <c r="J110" s="262"/>
      <c r="K110" s="261"/>
    </row>
    <row r="111" spans="1:11" s="260" customFormat="1" ht="24" customHeight="1">
      <c r="A111" s="261"/>
      <c r="B111" s="262"/>
      <c r="C111" s="262"/>
      <c r="D111" s="262"/>
      <c r="E111" s="262"/>
      <c r="F111" s="262"/>
      <c r="G111" s="262"/>
      <c r="H111" s="262"/>
      <c r="I111" s="262"/>
      <c r="J111" s="262"/>
      <c r="K111" s="261"/>
    </row>
    <row r="112" spans="1:11" s="260" customFormat="1" ht="24" customHeight="1">
      <c r="A112" s="261"/>
      <c r="B112" s="262"/>
      <c r="C112" s="262"/>
      <c r="D112" s="262"/>
      <c r="E112" s="262"/>
      <c r="F112" s="262"/>
      <c r="G112" s="262"/>
      <c r="H112" s="262"/>
      <c r="I112" s="262"/>
      <c r="J112" s="262"/>
      <c r="K112" s="261"/>
    </row>
    <row r="113" spans="1:14" s="260" customFormat="1" ht="24" customHeight="1">
      <c r="A113" s="261"/>
      <c r="B113" s="262" t="s">
        <v>125</v>
      </c>
      <c r="C113" s="262"/>
      <c r="D113" s="262"/>
      <c r="E113" s="262"/>
      <c r="F113" s="262"/>
      <c r="G113" s="262"/>
      <c r="H113" s="262"/>
      <c r="I113" s="262"/>
      <c r="J113" s="262"/>
      <c r="K113" s="261"/>
    </row>
    <row r="114" spans="1:14" s="260" customFormat="1" ht="12" customHeight="1">
      <c r="A114" s="261"/>
      <c r="B114" s="262"/>
      <c r="C114" s="262"/>
      <c r="D114" s="262"/>
      <c r="E114" s="262"/>
      <c r="F114" s="262"/>
      <c r="G114" s="262"/>
      <c r="H114" s="262"/>
      <c r="I114" s="262"/>
      <c r="J114" s="262"/>
      <c r="K114" s="261"/>
    </row>
    <row r="115" spans="1:14" s="260" customFormat="1" ht="24" customHeight="1">
      <c r="A115" s="261"/>
      <c r="B115" s="262" t="s">
        <v>370</v>
      </c>
      <c r="C115" s="262"/>
      <c r="D115" s="262"/>
      <c r="E115" s="262"/>
      <c r="F115" s="262"/>
      <c r="G115" s="262"/>
      <c r="H115" s="262"/>
      <c r="I115" s="262"/>
      <c r="J115" s="262"/>
      <c r="K115" s="261"/>
      <c r="N115" s="262"/>
    </row>
    <row r="116" spans="1:14" s="260" customFormat="1" ht="24" customHeight="1">
      <c r="A116" s="261"/>
      <c r="B116" s="262" t="s">
        <v>371</v>
      </c>
      <c r="C116" s="262"/>
      <c r="D116" s="262"/>
      <c r="E116" s="262"/>
      <c r="F116" s="262"/>
      <c r="G116" s="262"/>
      <c r="H116" s="262"/>
      <c r="I116" s="262"/>
      <c r="J116" s="262"/>
      <c r="K116" s="261"/>
      <c r="N116" s="262"/>
    </row>
    <row r="117" spans="1:14" s="260" customFormat="1" ht="24" customHeight="1">
      <c r="A117" s="261"/>
      <c r="B117" s="262"/>
      <c r="C117" s="262"/>
      <c r="D117" s="262"/>
      <c r="E117" s="262"/>
      <c r="F117" s="262"/>
      <c r="G117" s="262"/>
      <c r="H117" s="262"/>
      <c r="I117" s="262"/>
      <c r="J117" s="262"/>
      <c r="K117" s="261"/>
      <c r="N117" s="262"/>
    </row>
    <row r="118" spans="1:14" s="260" customFormat="1" ht="24" customHeight="1">
      <c r="A118" s="261"/>
      <c r="B118" s="262"/>
      <c r="C118" s="262"/>
      <c r="D118" s="262"/>
      <c r="E118" s="262"/>
      <c r="F118" s="262"/>
      <c r="G118" s="262"/>
      <c r="H118" s="262"/>
      <c r="I118" s="262"/>
      <c r="J118" s="262"/>
      <c r="K118" s="261"/>
      <c r="N118" s="262"/>
    </row>
    <row r="119" spans="1:14" s="260" customFormat="1" ht="24" customHeight="1">
      <c r="A119" s="261"/>
      <c r="B119" s="261"/>
      <c r="C119" s="261"/>
      <c r="D119" s="261"/>
      <c r="E119" s="261"/>
      <c r="F119" s="261"/>
      <c r="G119" s="261"/>
      <c r="H119" s="261"/>
      <c r="I119" s="261"/>
      <c r="J119" s="261"/>
      <c r="K119" s="261"/>
      <c r="N119" s="268"/>
    </row>
    <row r="120" spans="1:14" s="260" customFormat="1" ht="24" customHeight="1">
      <c r="A120" s="261"/>
      <c r="B120" s="262"/>
      <c r="C120" s="262"/>
      <c r="D120" s="262"/>
      <c r="E120" s="261"/>
      <c r="F120" s="261"/>
      <c r="G120" s="261"/>
      <c r="H120" s="261"/>
      <c r="I120" s="261"/>
      <c r="J120" s="261"/>
      <c r="K120" s="261"/>
      <c r="N120" s="268"/>
    </row>
    <row r="121" spans="1:14" s="260" customFormat="1" ht="24" customHeight="1">
      <c r="A121" s="261"/>
      <c r="B121" s="262"/>
      <c r="C121" s="262"/>
      <c r="D121" s="262"/>
      <c r="E121" s="261"/>
      <c r="F121" s="261"/>
      <c r="G121" s="261"/>
      <c r="H121" s="261"/>
      <c r="I121" s="261"/>
      <c r="J121" s="261"/>
      <c r="K121" s="261"/>
    </row>
    <row r="122" spans="1:14" s="260" customFormat="1" ht="24" customHeight="1">
      <c r="A122" s="261"/>
      <c r="B122" s="261"/>
      <c r="C122" s="261"/>
      <c r="D122" s="261"/>
      <c r="E122" s="261"/>
      <c r="F122" s="261"/>
      <c r="G122" s="261"/>
      <c r="H122" s="261"/>
      <c r="I122" s="261"/>
      <c r="J122" s="261"/>
      <c r="K122" s="261"/>
    </row>
    <row r="123" spans="1:14" s="260" customFormat="1" ht="24" customHeight="1">
      <c r="A123" s="261"/>
      <c r="B123" s="261"/>
      <c r="C123" s="261"/>
      <c r="D123" s="261"/>
      <c r="E123" s="261"/>
      <c r="F123" s="261"/>
      <c r="G123" s="261"/>
      <c r="H123" s="261"/>
      <c r="I123" s="261"/>
      <c r="J123" s="261"/>
      <c r="K123" s="261"/>
    </row>
    <row r="124" spans="1:14" s="260" customFormat="1" ht="24" customHeight="1">
      <c r="A124" s="261"/>
      <c r="B124" s="261"/>
      <c r="C124" s="261"/>
      <c r="D124" s="261"/>
      <c r="E124" s="261"/>
      <c r="F124" s="261"/>
      <c r="G124" s="261"/>
      <c r="H124" s="261"/>
      <c r="I124" s="261"/>
      <c r="J124" s="261"/>
      <c r="K124" s="261"/>
    </row>
    <row r="125" spans="1:14" s="260" customFormat="1" ht="24" customHeight="1">
      <c r="A125" s="261"/>
      <c r="B125" s="261"/>
      <c r="C125" s="261"/>
      <c r="D125" s="261"/>
      <c r="E125" s="261"/>
      <c r="F125" s="261"/>
      <c r="G125" s="261"/>
      <c r="H125" s="261"/>
      <c r="I125" s="261"/>
      <c r="J125" s="261"/>
      <c r="K125" s="261"/>
    </row>
    <row r="126" spans="1:14" s="260" customFormat="1" ht="24" customHeight="1">
      <c r="A126" s="261"/>
      <c r="B126" s="261"/>
      <c r="C126" s="261"/>
      <c r="D126" s="261"/>
      <c r="E126" s="261"/>
      <c r="F126" s="261"/>
      <c r="G126" s="261"/>
      <c r="H126" s="261"/>
      <c r="I126" s="261"/>
      <c r="J126" s="261"/>
      <c r="K126" s="261"/>
    </row>
    <row r="127" spans="1:14" s="260" customFormat="1" ht="24" customHeight="1">
      <c r="A127" s="261"/>
      <c r="B127" s="261"/>
      <c r="C127" s="261"/>
      <c r="D127" s="261"/>
      <c r="E127" s="261"/>
      <c r="F127" s="261"/>
      <c r="G127" s="261"/>
      <c r="H127" s="261"/>
      <c r="I127" s="261"/>
      <c r="J127" s="261"/>
      <c r="K127" s="261"/>
    </row>
    <row r="128" spans="1:14" s="260" customFormat="1" ht="24" customHeight="1">
      <c r="A128" s="261"/>
      <c r="B128" s="261"/>
      <c r="C128" s="261"/>
      <c r="D128" s="261"/>
      <c r="E128" s="261"/>
      <c r="F128" s="261"/>
      <c r="G128" s="261"/>
      <c r="H128" s="261"/>
      <c r="I128" s="261"/>
      <c r="J128" s="261"/>
      <c r="K128" s="261"/>
    </row>
    <row r="129" spans="1:11" s="260" customFormat="1" ht="24" customHeight="1">
      <c r="A129" s="261"/>
      <c r="B129" s="261"/>
      <c r="C129" s="261"/>
      <c r="D129" s="261"/>
      <c r="E129" s="261"/>
      <c r="F129" s="261"/>
      <c r="G129" s="261"/>
      <c r="H129" s="261"/>
      <c r="I129" s="261"/>
      <c r="J129" s="261"/>
      <c r="K129" s="261"/>
    </row>
    <row r="130" spans="1:11" s="260" customFormat="1" ht="24" customHeight="1">
      <c r="A130" s="261"/>
      <c r="B130" s="261"/>
      <c r="C130" s="261"/>
      <c r="D130" s="261"/>
      <c r="E130" s="261"/>
      <c r="F130" s="261"/>
      <c r="G130" s="261"/>
      <c r="H130" s="261"/>
      <c r="I130" s="261"/>
      <c r="J130" s="261"/>
      <c r="K130" s="261"/>
    </row>
    <row r="131" spans="1:11" s="260" customFormat="1" ht="24" customHeight="1">
      <c r="A131" s="261"/>
      <c r="B131" s="261"/>
      <c r="C131" s="261"/>
      <c r="D131" s="261"/>
      <c r="E131" s="261"/>
      <c r="F131" s="261"/>
      <c r="G131" s="261"/>
      <c r="H131" s="261"/>
      <c r="I131" s="261"/>
      <c r="J131" s="261"/>
      <c r="K131" s="261"/>
    </row>
    <row r="132" spans="1:11" s="260" customFormat="1" ht="24" customHeight="1">
      <c r="A132" s="261"/>
      <c r="B132" s="261"/>
      <c r="C132" s="261"/>
      <c r="D132" s="261"/>
      <c r="E132" s="261"/>
      <c r="F132" s="261"/>
      <c r="G132" s="261"/>
      <c r="H132" s="261"/>
      <c r="I132" s="261"/>
      <c r="J132" s="261"/>
      <c r="K132" s="261"/>
    </row>
    <row r="133" spans="1:11" s="260" customFormat="1" ht="24" customHeight="1">
      <c r="A133" s="261"/>
      <c r="B133" s="261"/>
      <c r="C133" s="261"/>
      <c r="D133" s="261"/>
      <c r="E133" s="261"/>
      <c r="F133" s="261"/>
      <c r="G133" s="261"/>
      <c r="H133" s="261"/>
      <c r="I133" s="261"/>
      <c r="J133" s="261"/>
      <c r="K133" s="261"/>
    </row>
    <row r="134" spans="1:11" s="260" customFormat="1" ht="16.5" customHeight="1">
      <c r="A134" s="261"/>
      <c r="B134" s="261"/>
      <c r="C134" s="261"/>
      <c r="D134" s="261"/>
      <c r="E134" s="261"/>
      <c r="F134" s="261"/>
      <c r="G134" s="261"/>
      <c r="H134" s="261"/>
      <c r="I134" s="261"/>
      <c r="J134" s="261"/>
      <c r="K134" s="261"/>
    </row>
    <row r="135" spans="1:11" ht="27" customHeight="1">
      <c r="A135" s="265"/>
      <c r="B135" s="632" t="s">
        <v>131</v>
      </c>
      <c r="C135" s="632"/>
      <c r="D135" s="632"/>
      <c r="E135" s="265"/>
      <c r="F135" s="265"/>
      <c r="G135" s="265"/>
      <c r="H135" s="265"/>
      <c r="I135" s="265"/>
      <c r="J135" s="265"/>
      <c r="K135" s="265"/>
    </row>
    <row r="136" spans="1:11" s="260" customFormat="1" ht="6.75" customHeight="1">
      <c r="A136" s="261"/>
      <c r="B136" s="261"/>
      <c r="C136" s="261"/>
      <c r="D136" s="261"/>
      <c r="E136" s="261"/>
      <c r="F136" s="261"/>
      <c r="G136" s="261"/>
      <c r="H136" s="261"/>
      <c r="I136" s="261"/>
      <c r="J136" s="261"/>
      <c r="K136" s="261"/>
    </row>
    <row r="137" spans="1:11" s="260" customFormat="1" ht="18.75" customHeight="1">
      <c r="A137" s="261"/>
      <c r="B137" s="262"/>
      <c r="C137" s="262"/>
      <c r="D137" s="262"/>
      <c r="E137" s="262"/>
      <c r="F137" s="262"/>
      <c r="G137" s="262"/>
      <c r="H137" s="262"/>
      <c r="I137" s="262"/>
      <c r="J137" s="262"/>
      <c r="K137" s="261"/>
    </row>
    <row r="138" spans="1:11" s="260" customFormat="1" ht="30" customHeight="1">
      <c r="A138" s="261"/>
      <c r="B138" s="633" t="s">
        <v>406</v>
      </c>
      <c r="C138" s="633"/>
      <c r="D138" s="633"/>
      <c r="E138" s="633"/>
      <c r="F138" s="633"/>
      <c r="G138" s="633"/>
      <c r="H138" s="633"/>
      <c r="I138" s="633"/>
      <c r="J138" s="633"/>
      <c r="K138" s="261"/>
    </row>
    <row r="139" spans="1:11" s="260" customFormat="1" ht="18.75" customHeight="1">
      <c r="A139" s="261"/>
      <c r="B139" s="261"/>
      <c r="C139" s="261"/>
      <c r="D139" s="261"/>
      <c r="E139" s="261"/>
      <c r="F139" s="261"/>
      <c r="G139" s="261"/>
      <c r="H139" s="261"/>
      <c r="I139" s="261"/>
      <c r="J139" s="261"/>
      <c r="K139" s="261"/>
    </row>
    <row r="140" spans="1:11" s="260" customFormat="1" ht="18.75" customHeight="1">
      <c r="A140" s="261"/>
      <c r="B140" s="261" t="s">
        <v>132</v>
      </c>
      <c r="C140" s="261"/>
      <c r="D140" s="261"/>
      <c r="E140" s="261"/>
      <c r="F140" s="261"/>
      <c r="G140" s="261"/>
      <c r="H140" s="261"/>
      <c r="I140" s="261"/>
      <c r="J140" s="261"/>
      <c r="K140" s="261"/>
    </row>
    <row r="141" spans="1:11" s="260" customFormat="1" ht="19.5">
      <c r="A141" s="261"/>
      <c r="B141" s="261"/>
      <c r="C141" s="261"/>
      <c r="D141" s="261"/>
      <c r="E141" s="261"/>
      <c r="F141" s="261"/>
      <c r="G141" s="261"/>
      <c r="H141" s="261"/>
      <c r="I141" s="261"/>
      <c r="J141" s="267"/>
      <c r="K141" s="261"/>
    </row>
    <row r="142" spans="1:11" s="260" customFormat="1" ht="19.5">
      <c r="A142" s="261"/>
      <c r="B142" s="261"/>
      <c r="C142" s="261"/>
      <c r="D142" s="261"/>
      <c r="E142" s="261"/>
      <c r="F142" s="261"/>
      <c r="G142" s="261"/>
      <c r="H142" s="261"/>
      <c r="I142" s="261"/>
      <c r="J142" s="261"/>
      <c r="K142" s="261"/>
    </row>
    <row r="143" spans="1:11" s="260" customFormat="1" ht="19.5">
      <c r="A143" s="261"/>
      <c r="B143" s="261"/>
      <c r="C143" s="261"/>
      <c r="D143" s="261"/>
      <c r="E143" s="261"/>
      <c r="F143" s="261"/>
      <c r="G143" s="261"/>
      <c r="H143" s="261"/>
      <c r="I143" s="261"/>
      <c r="J143" s="261"/>
      <c r="K143" s="261"/>
    </row>
    <row r="144" spans="1:11" s="260" customFormat="1" ht="19.5">
      <c r="A144" s="261"/>
      <c r="B144" s="261"/>
      <c r="C144" s="261"/>
      <c r="D144" s="261"/>
      <c r="E144" s="261"/>
      <c r="F144" s="261"/>
      <c r="G144" s="261"/>
      <c r="H144" s="261"/>
      <c r="I144" s="261"/>
      <c r="J144" s="261"/>
      <c r="K144" s="261"/>
    </row>
    <row r="145" spans="1:25" s="260" customFormat="1" ht="19.5">
      <c r="A145" s="261"/>
      <c r="B145" s="261"/>
      <c r="C145" s="261"/>
      <c r="D145" s="261"/>
      <c r="E145" s="261"/>
      <c r="F145" s="261"/>
      <c r="G145" s="261"/>
      <c r="H145" s="261"/>
      <c r="I145" s="261"/>
      <c r="J145" s="261"/>
      <c r="K145" s="261"/>
    </row>
    <row r="146" spans="1:25" s="260" customFormat="1" ht="19.5">
      <c r="A146" s="261"/>
      <c r="B146" s="261"/>
      <c r="C146" s="261"/>
      <c r="D146" s="261"/>
      <c r="E146" s="261"/>
      <c r="F146" s="261"/>
      <c r="G146" s="261"/>
      <c r="H146" s="261"/>
      <c r="I146" s="261"/>
      <c r="J146" s="261"/>
      <c r="K146" s="261"/>
    </row>
    <row r="147" spans="1:25" s="260" customFormat="1" ht="19.5">
      <c r="A147" s="261"/>
      <c r="B147" s="261"/>
      <c r="C147" s="261"/>
      <c r="D147" s="261"/>
      <c r="E147" s="261"/>
      <c r="F147" s="261"/>
      <c r="G147" s="261"/>
      <c r="H147" s="261"/>
      <c r="I147" s="261"/>
      <c r="J147" s="261"/>
      <c r="K147" s="261"/>
    </row>
    <row r="148" spans="1:25" s="260" customFormat="1" ht="19.5">
      <c r="A148" s="261"/>
      <c r="B148" s="261"/>
      <c r="C148" s="261"/>
      <c r="D148" s="261"/>
      <c r="E148" s="261"/>
      <c r="F148" s="261"/>
      <c r="G148" s="261"/>
      <c r="H148" s="261"/>
      <c r="I148" s="261"/>
      <c r="J148" s="261"/>
      <c r="K148" s="261"/>
    </row>
    <row r="149" spans="1:25" s="260" customFormat="1" ht="19.5">
      <c r="A149" s="261"/>
      <c r="B149" s="261"/>
      <c r="C149" s="261"/>
      <c r="D149" s="261"/>
      <c r="E149" s="261"/>
      <c r="F149" s="261"/>
      <c r="G149" s="261"/>
      <c r="H149" s="261"/>
      <c r="I149" s="261"/>
      <c r="J149" s="261"/>
      <c r="K149" s="261"/>
    </row>
    <row r="150" spans="1:25" s="260" customFormat="1" ht="19.5">
      <c r="A150" s="261"/>
      <c r="B150" s="261"/>
      <c r="C150" s="261"/>
      <c r="D150" s="261"/>
      <c r="E150" s="261"/>
      <c r="F150" s="261"/>
      <c r="G150" s="261"/>
      <c r="H150" s="261"/>
      <c r="I150" s="261"/>
      <c r="J150" s="261"/>
      <c r="K150" s="261"/>
    </row>
    <row r="151" spans="1:25" s="260" customFormat="1" ht="30" customHeight="1">
      <c r="A151" s="261"/>
      <c r="B151" s="261"/>
      <c r="C151" s="261"/>
      <c r="D151" s="261"/>
      <c r="E151" s="261"/>
      <c r="F151" s="261"/>
      <c r="G151" s="261"/>
      <c r="H151" s="261"/>
      <c r="I151" s="261"/>
      <c r="J151" s="261"/>
      <c r="K151" s="261"/>
    </row>
    <row r="152" spans="1:25" s="260" customFormat="1" ht="23.25" customHeight="1">
      <c r="A152" s="261"/>
      <c r="B152" s="261"/>
      <c r="C152" s="261"/>
      <c r="D152" s="261"/>
      <c r="E152" s="261"/>
      <c r="F152" s="261"/>
      <c r="G152" s="261"/>
      <c r="H152" s="261"/>
      <c r="I152" s="261"/>
      <c r="J152" s="261"/>
      <c r="K152" s="261"/>
    </row>
    <row r="153" spans="1:25" ht="27" customHeight="1">
      <c r="A153" s="265"/>
      <c r="B153" s="635" t="s">
        <v>308</v>
      </c>
      <c r="C153" s="635"/>
      <c r="D153" s="635"/>
      <c r="E153" s="635"/>
      <c r="F153" s="635"/>
      <c r="G153" s="635"/>
      <c r="H153" s="266"/>
      <c r="I153" s="265"/>
      <c r="J153" s="265"/>
      <c r="K153" s="265"/>
    </row>
    <row r="154" spans="1:25" s="260" customFormat="1" ht="6.75" customHeight="1">
      <c r="A154" s="261"/>
      <c r="B154" s="261"/>
      <c r="C154" s="261"/>
      <c r="D154" s="261"/>
      <c r="E154" s="261"/>
      <c r="F154" s="261"/>
      <c r="G154" s="261"/>
      <c r="H154" s="261"/>
      <c r="I154" s="261"/>
      <c r="J154" s="261"/>
      <c r="K154" s="261"/>
    </row>
    <row r="155" spans="1:25" s="260" customFormat="1" ht="18.75" customHeight="1">
      <c r="A155" s="261"/>
      <c r="B155" s="262"/>
      <c r="C155" s="262"/>
      <c r="D155" s="262"/>
      <c r="E155" s="262"/>
      <c r="F155" s="262"/>
      <c r="G155" s="262"/>
      <c r="H155" s="262"/>
      <c r="I155" s="262"/>
      <c r="J155" s="262"/>
      <c r="K155" s="261"/>
    </row>
    <row r="156" spans="1:25" s="260" customFormat="1" ht="30" customHeight="1">
      <c r="A156" s="261"/>
      <c r="B156" s="262" t="s">
        <v>499</v>
      </c>
      <c r="C156" s="262"/>
      <c r="D156" s="262"/>
      <c r="E156" s="262"/>
      <c r="F156" s="262"/>
      <c r="G156" s="262"/>
      <c r="H156" s="262"/>
      <c r="I156" s="262"/>
      <c r="J156" s="262"/>
      <c r="K156" s="262"/>
      <c r="N156" s="634"/>
      <c r="O156" s="634"/>
      <c r="P156" s="634"/>
      <c r="Q156" s="634"/>
      <c r="R156" s="634"/>
      <c r="S156" s="634"/>
      <c r="T156" s="634"/>
      <c r="U156" s="634"/>
      <c r="V156" s="634"/>
      <c r="W156" s="634"/>
      <c r="X156" s="634"/>
      <c r="Y156" s="634"/>
    </row>
    <row r="157" spans="1:25" s="260" customFormat="1" ht="30" customHeight="1">
      <c r="A157" s="261"/>
      <c r="B157" s="262" t="s">
        <v>376</v>
      </c>
      <c r="C157" s="262"/>
      <c r="D157" s="262"/>
      <c r="E157" s="262"/>
      <c r="F157" s="262"/>
      <c r="G157" s="262"/>
      <c r="H157" s="262"/>
      <c r="I157" s="262"/>
      <c r="J157" s="262"/>
      <c r="K157" s="262"/>
      <c r="N157" s="634"/>
      <c r="O157" s="634"/>
      <c r="P157" s="634"/>
      <c r="Q157" s="634"/>
      <c r="R157" s="634"/>
      <c r="S157" s="634"/>
      <c r="T157" s="634"/>
      <c r="U157" s="634"/>
      <c r="V157" s="634"/>
      <c r="W157" s="634"/>
      <c r="X157" s="634"/>
      <c r="Y157" s="634"/>
    </row>
    <row r="158" spans="1:25" s="260" customFormat="1" ht="30" customHeight="1">
      <c r="A158" s="261"/>
      <c r="B158" s="261" t="s">
        <v>377</v>
      </c>
      <c r="C158" s="261"/>
      <c r="D158" s="261"/>
      <c r="E158" s="261"/>
      <c r="F158" s="261"/>
      <c r="G158" s="261"/>
      <c r="H158" s="261"/>
      <c r="I158" s="261"/>
      <c r="J158" s="261"/>
      <c r="K158" s="261"/>
      <c r="N158" s="264"/>
      <c r="O158" s="264"/>
      <c r="P158" s="264"/>
      <c r="Q158" s="264"/>
      <c r="R158" s="264"/>
      <c r="S158" s="264"/>
      <c r="T158" s="264"/>
      <c r="U158" s="264"/>
      <c r="V158" s="264"/>
      <c r="W158" s="264"/>
      <c r="X158" s="264"/>
      <c r="Y158" s="264"/>
    </row>
    <row r="159" spans="1:25" s="260" customFormat="1" ht="30" customHeight="1">
      <c r="A159" s="261"/>
      <c r="B159" s="261"/>
      <c r="C159" s="261"/>
      <c r="D159" s="261"/>
      <c r="E159" s="261"/>
      <c r="F159" s="261"/>
      <c r="G159" s="261"/>
      <c r="H159" s="261"/>
      <c r="I159" s="261"/>
      <c r="J159" s="261"/>
      <c r="K159" s="261"/>
    </row>
    <row r="160" spans="1:25" ht="27" customHeight="1">
      <c r="A160" s="263"/>
      <c r="B160" s="631" t="s">
        <v>137</v>
      </c>
      <c r="C160" s="631"/>
      <c r="D160" s="631"/>
      <c r="E160" s="263"/>
      <c r="F160" s="263"/>
      <c r="G160" s="263"/>
      <c r="H160" s="263"/>
      <c r="I160" s="263"/>
      <c r="J160" s="263"/>
      <c r="K160" s="263"/>
    </row>
    <row r="161" spans="1:20" s="260" customFormat="1" ht="6.75" customHeight="1">
      <c r="A161" s="261"/>
      <c r="B161" s="261"/>
      <c r="C161" s="261"/>
      <c r="D161" s="261"/>
      <c r="E161" s="261"/>
      <c r="F161" s="261"/>
      <c r="G161" s="261"/>
      <c r="H161" s="261"/>
      <c r="I161" s="261"/>
      <c r="J161" s="261"/>
      <c r="K161" s="261"/>
    </row>
    <row r="162" spans="1:20" s="260" customFormat="1" ht="18.75" customHeight="1">
      <c r="A162" s="261"/>
      <c r="B162" s="262"/>
      <c r="C162" s="262"/>
      <c r="D162" s="262"/>
      <c r="E162" s="262"/>
      <c r="F162" s="262"/>
      <c r="G162" s="262"/>
      <c r="H162" s="262"/>
      <c r="I162" s="262"/>
      <c r="J162" s="262"/>
      <c r="K162" s="261"/>
    </row>
    <row r="163" spans="1:20" s="255" customFormat="1" ht="27" customHeight="1">
      <c r="A163" s="256"/>
      <c r="B163" s="259" t="s">
        <v>503</v>
      </c>
      <c r="C163" s="259"/>
      <c r="D163" s="259"/>
      <c r="E163" s="259"/>
      <c r="F163" s="259"/>
      <c r="G163" s="256"/>
      <c r="H163" s="256"/>
      <c r="I163" s="256"/>
      <c r="J163" s="256"/>
      <c r="K163" s="256"/>
      <c r="N163" s="630"/>
      <c r="O163" s="630"/>
      <c r="P163" s="630"/>
      <c r="Q163" s="630"/>
      <c r="R163" s="630"/>
      <c r="S163" s="630"/>
      <c r="T163" s="630"/>
    </row>
    <row r="164" spans="1:20" s="255" customFormat="1" ht="27" customHeight="1">
      <c r="A164" s="256"/>
      <c r="B164" s="259" t="s">
        <v>373</v>
      </c>
      <c r="C164" s="259"/>
      <c r="D164" s="259"/>
      <c r="E164" s="259"/>
      <c r="F164" s="259"/>
      <c r="G164" s="256"/>
      <c r="H164" s="256"/>
      <c r="I164" s="256"/>
      <c r="J164" s="256"/>
      <c r="K164" s="256"/>
      <c r="N164" s="630"/>
      <c r="O164" s="630"/>
      <c r="P164" s="630"/>
      <c r="Q164" s="630"/>
      <c r="R164" s="630"/>
      <c r="S164" s="630"/>
      <c r="T164" s="630"/>
    </row>
    <row r="165" spans="1:20" s="255" customFormat="1" ht="27" customHeight="1">
      <c r="A165" s="256"/>
      <c r="B165" s="258" t="s">
        <v>502</v>
      </c>
      <c r="C165" s="258"/>
      <c r="D165" s="258"/>
      <c r="E165" s="258"/>
      <c r="F165" s="258"/>
      <c r="G165" s="257"/>
      <c r="H165" s="257"/>
      <c r="I165" s="257"/>
      <c r="J165" s="257"/>
      <c r="K165" s="256"/>
      <c r="N165" s="630"/>
      <c r="O165" s="630"/>
      <c r="P165" s="630"/>
      <c r="Q165" s="630"/>
      <c r="R165" s="630"/>
      <c r="S165" s="630"/>
      <c r="T165" s="630"/>
    </row>
    <row r="166" spans="1:20" ht="27" customHeight="1">
      <c r="A166" s="33"/>
      <c r="B166" s="103"/>
      <c r="C166" s="33"/>
      <c r="D166" s="33"/>
      <c r="E166" s="33"/>
      <c r="F166" s="33"/>
      <c r="G166" s="33"/>
      <c r="H166" s="33"/>
      <c r="I166" s="33"/>
      <c r="J166" s="33"/>
      <c r="K166" s="33"/>
    </row>
    <row r="167" spans="1:20" ht="27" customHeight="1">
      <c r="A167" s="33"/>
      <c r="B167" s="34"/>
      <c r="C167" s="33"/>
      <c r="D167" s="33"/>
      <c r="E167" s="33"/>
      <c r="F167" s="33"/>
      <c r="G167" s="33"/>
      <c r="H167" s="33"/>
      <c r="I167" s="33"/>
      <c r="J167" s="33"/>
      <c r="K167" s="33"/>
    </row>
  </sheetData>
  <mergeCells count="34">
    <mergeCell ref="D46:J46"/>
    <mergeCell ref="D47:J47"/>
    <mergeCell ref="D36:J36"/>
    <mergeCell ref="N163:T165"/>
    <mergeCell ref="B160:D160"/>
    <mergeCell ref="B51:C51"/>
    <mergeCell ref="B135:D135"/>
    <mergeCell ref="B138:J138"/>
    <mergeCell ref="N156:Y157"/>
    <mergeCell ref="B153:G153"/>
    <mergeCell ref="B95:C95"/>
    <mergeCell ref="D45:J45"/>
    <mergeCell ref="D39:J39"/>
    <mergeCell ref="D42:J42"/>
    <mergeCell ref="D43:J43"/>
    <mergeCell ref="D44:J44"/>
    <mergeCell ref="D29:J29"/>
    <mergeCell ref="D37:J37"/>
    <mergeCell ref="D35:J35"/>
    <mergeCell ref="D15:J15"/>
    <mergeCell ref="D30:J30"/>
    <mergeCell ref="D23:J23"/>
    <mergeCell ref="D34:J34"/>
    <mergeCell ref="D33:J33"/>
    <mergeCell ref="B5:B7"/>
    <mergeCell ref="D12:J12"/>
    <mergeCell ref="D9:J9"/>
    <mergeCell ref="D19:J19"/>
    <mergeCell ref="D25:J25"/>
    <mergeCell ref="D22:J22"/>
    <mergeCell ref="D10:J10"/>
    <mergeCell ref="D13:J13"/>
    <mergeCell ref="D11:J11"/>
    <mergeCell ref="D14:J14"/>
  </mergeCells>
  <phoneticPr fontId="6"/>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94"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1:AB89"/>
  <sheetViews>
    <sheetView view="pageBreakPreview" topLeftCell="A43" zoomScale="80" zoomScaleNormal="100" zoomScaleSheetLayoutView="80" workbookViewId="0">
      <pane xSplit="2" topLeftCell="C1" activePane="topRight" state="frozen"/>
      <selection activeCell="R11" sqref="R11"/>
      <selection pane="topRight" activeCell="R11" sqref="R11"/>
    </sheetView>
  </sheetViews>
  <sheetFormatPr defaultColWidth="10.28515625" defaultRowHeight="13.5"/>
  <cols>
    <col min="1" max="1" width="1" style="46" customWidth="1"/>
    <col min="2" max="2" width="16.7109375" style="46" customWidth="1"/>
    <col min="3" max="3" width="11.5703125" style="46" customWidth="1"/>
    <col min="4" max="4" width="11.5703125" style="46" hidden="1" customWidth="1"/>
    <col min="5" max="5" width="12" style="46" hidden="1" customWidth="1"/>
    <col min="6" max="6" width="11.5703125" style="46" hidden="1" customWidth="1"/>
    <col min="7" max="7" width="12" style="46" hidden="1" customWidth="1"/>
    <col min="8" max="8" width="11.5703125" style="46" hidden="1" customWidth="1"/>
    <col min="9" max="10" width="10.5703125" style="46" hidden="1" customWidth="1"/>
    <col min="11" max="11" width="11.5703125" style="46" customWidth="1"/>
    <col min="12" max="12" width="11" style="46" customWidth="1"/>
    <col min="13" max="13" width="11.5703125" style="46" customWidth="1"/>
    <col min="14" max="20" width="10.7109375" style="46" customWidth="1"/>
    <col min="21" max="28" width="10.5703125" style="46" bestFit="1" customWidth="1"/>
    <col min="29" max="16384" width="10.28515625" style="46"/>
  </cols>
  <sheetData>
    <row r="1" spans="2:28">
      <c r="B1" s="46" t="s">
        <v>80</v>
      </c>
    </row>
    <row r="3" spans="2:28">
      <c r="B3" s="46" t="s">
        <v>60</v>
      </c>
    </row>
    <row r="4" spans="2:28" s="50" customFormat="1">
      <c r="B4" s="47"/>
      <c r="C4" s="48" t="s">
        <v>47</v>
      </c>
      <c r="D4" s="48" t="s">
        <v>61</v>
      </c>
      <c r="E4" s="48" t="s">
        <v>48</v>
      </c>
      <c r="F4" s="48" t="s">
        <v>62</v>
      </c>
      <c r="G4" s="48" t="s">
        <v>49</v>
      </c>
      <c r="H4" s="48" t="s">
        <v>63</v>
      </c>
      <c r="I4" s="48" t="s">
        <v>50</v>
      </c>
      <c r="J4" s="48" t="s">
        <v>64</v>
      </c>
      <c r="K4" s="48" t="s">
        <v>51</v>
      </c>
      <c r="L4" s="48" t="s">
        <v>52</v>
      </c>
      <c r="M4" s="48" t="s">
        <v>53</v>
      </c>
      <c r="N4" s="49" t="s">
        <v>88</v>
      </c>
      <c r="O4" s="49" t="s">
        <v>103</v>
      </c>
      <c r="P4" s="49" t="s">
        <v>106</v>
      </c>
      <c r="Q4" s="49" t="s">
        <v>112</v>
      </c>
      <c r="R4" s="49" t="s">
        <v>133</v>
      </c>
      <c r="S4" s="49" t="s">
        <v>140</v>
      </c>
      <c r="T4" s="49" t="s">
        <v>156</v>
      </c>
      <c r="U4" s="49" t="s">
        <v>162</v>
      </c>
      <c r="V4" s="49" t="s">
        <v>168</v>
      </c>
      <c r="W4" s="49" t="s">
        <v>192</v>
      </c>
      <c r="X4" s="49" t="s">
        <v>195</v>
      </c>
      <c r="Y4" s="49" t="s">
        <v>212</v>
      </c>
      <c r="Z4" s="49" t="s">
        <v>224</v>
      </c>
      <c r="AA4" s="49" t="s">
        <v>277</v>
      </c>
      <c r="AB4" s="49" t="s">
        <v>378</v>
      </c>
    </row>
    <row r="5" spans="2:28" s="50" customFormat="1">
      <c r="B5" s="51" t="s">
        <v>81</v>
      </c>
      <c r="C5" s="52">
        <v>490419</v>
      </c>
      <c r="D5" s="52">
        <v>473096</v>
      </c>
      <c r="E5" s="52">
        <v>555592</v>
      </c>
      <c r="F5" s="52">
        <v>407813</v>
      </c>
      <c r="G5" s="52">
        <v>390207</v>
      </c>
      <c r="H5" s="52">
        <v>357302</v>
      </c>
      <c r="I5" s="52">
        <v>287916</v>
      </c>
      <c r="J5" s="52">
        <v>219703</v>
      </c>
      <c r="K5" s="52">
        <v>185020</v>
      </c>
      <c r="L5" s="52">
        <v>166774</v>
      </c>
      <c r="M5" s="52">
        <v>150545</v>
      </c>
      <c r="N5" s="53">
        <v>162129</v>
      </c>
      <c r="O5" s="53">
        <v>124207</v>
      </c>
      <c r="P5" s="53">
        <v>125825</v>
      </c>
      <c r="Q5" s="53">
        <v>95376</v>
      </c>
      <c r="R5" s="53">
        <v>90088</v>
      </c>
      <c r="S5" s="53">
        <v>76715</v>
      </c>
      <c r="T5" s="53">
        <v>83723</v>
      </c>
      <c r="U5" s="53">
        <v>101864</v>
      </c>
      <c r="V5" s="53">
        <v>100879</v>
      </c>
      <c r="W5" s="54">
        <v>100112</v>
      </c>
      <c r="X5" s="54">
        <v>115757</v>
      </c>
      <c r="Y5" s="54">
        <v>124704</v>
      </c>
      <c r="Z5" s="54">
        <v>157306</v>
      </c>
      <c r="AA5" s="54">
        <v>177781</v>
      </c>
      <c r="AB5" s="54">
        <v>213390</v>
      </c>
    </row>
    <row r="6" spans="2:28" s="50" customFormat="1">
      <c r="B6" s="51" t="s">
        <v>72</v>
      </c>
      <c r="C6" s="52">
        <f t="shared" ref="C6:L6" si="0">C10-C9-C8-C5-C7</f>
        <v>657571</v>
      </c>
      <c r="D6" s="52">
        <f t="shared" si="0"/>
        <v>647421</v>
      </c>
      <c r="E6" s="52">
        <f t="shared" si="0"/>
        <v>658464</v>
      </c>
      <c r="F6" s="52">
        <f t="shared" si="0"/>
        <v>699410</v>
      </c>
      <c r="G6" s="52">
        <f t="shared" si="0"/>
        <v>672493</v>
      </c>
      <c r="H6" s="52">
        <f t="shared" si="0"/>
        <v>672899</v>
      </c>
      <c r="I6" s="52">
        <f t="shared" si="0"/>
        <v>641302</v>
      </c>
      <c r="J6" s="52">
        <f t="shared" si="0"/>
        <v>629351</v>
      </c>
      <c r="K6" s="52">
        <f t="shared" si="0"/>
        <v>640522</v>
      </c>
      <c r="L6" s="52">
        <f t="shared" si="0"/>
        <v>635380</v>
      </c>
      <c r="M6" s="52">
        <v>587893</v>
      </c>
      <c r="N6" s="53">
        <v>553627</v>
      </c>
      <c r="O6" s="53">
        <v>573465</v>
      </c>
      <c r="P6" s="53">
        <v>652275</v>
      </c>
      <c r="Q6" s="53">
        <v>602938</v>
      </c>
      <c r="R6" s="53">
        <v>584309</v>
      </c>
      <c r="S6" s="53">
        <v>631833</v>
      </c>
      <c r="T6" s="54">
        <v>576794</v>
      </c>
      <c r="U6" s="54">
        <v>543322</v>
      </c>
      <c r="V6" s="54">
        <v>518938</v>
      </c>
      <c r="W6" s="54">
        <v>468576</v>
      </c>
      <c r="X6" s="54">
        <v>508666</v>
      </c>
      <c r="Y6" s="54">
        <v>485989</v>
      </c>
      <c r="Z6" s="54">
        <v>497800</v>
      </c>
      <c r="AA6" s="54">
        <v>746213</v>
      </c>
      <c r="AB6" s="54">
        <v>561632</v>
      </c>
    </row>
    <row r="7" spans="2:28" s="50" customFormat="1">
      <c r="B7" s="51" t="s">
        <v>82</v>
      </c>
      <c r="C7" s="52">
        <v>145516</v>
      </c>
      <c r="D7" s="52">
        <v>160175</v>
      </c>
      <c r="E7" s="52">
        <v>166464</v>
      </c>
      <c r="F7" s="52">
        <v>189404</v>
      </c>
      <c r="G7" s="52">
        <v>199166</v>
      </c>
      <c r="H7" s="52">
        <v>209993</v>
      </c>
      <c r="I7" s="52">
        <v>233813</v>
      </c>
      <c r="J7" s="52">
        <v>218849</v>
      </c>
      <c r="K7" s="52">
        <v>217563</v>
      </c>
      <c r="L7" s="52">
        <v>210400</v>
      </c>
      <c r="M7" s="52">
        <v>207507</v>
      </c>
      <c r="N7" s="53">
        <v>207387</v>
      </c>
      <c r="O7" s="53">
        <v>213802</v>
      </c>
      <c r="P7" s="53">
        <v>221510</v>
      </c>
      <c r="Q7" s="53">
        <v>222238</v>
      </c>
      <c r="R7" s="53">
        <v>237153</v>
      </c>
      <c r="S7" s="53">
        <v>260026</v>
      </c>
      <c r="T7" s="53">
        <v>279755</v>
      </c>
      <c r="U7" s="53">
        <v>265954</v>
      </c>
      <c r="V7" s="53">
        <v>278423</v>
      </c>
      <c r="W7" s="54">
        <v>265961</v>
      </c>
      <c r="X7" s="54">
        <v>262980</v>
      </c>
      <c r="Y7" s="54">
        <v>292271</v>
      </c>
      <c r="Z7" s="54">
        <v>225144</v>
      </c>
      <c r="AA7" s="54">
        <v>195501</v>
      </c>
      <c r="AB7" s="54">
        <v>204626</v>
      </c>
    </row>
    <row r="8" spans="2:28" s="50" customFormat="1">
      <c r="B8" s="51" t="s">
        <v>83</v>
      </c>
      <c r="C8" s="52">
        <v>217325</v>
      </c>
      <c r="D8" s="52">
        <v>231951</v>
      </c>
      <c r="E8" s="52">
        <v>246904</v>
      </c>
      <c r="F8" s="52">
        <v>264778</v>
      </c>
      <c r="G8" s="52">
        <v>255380</v>
      </c>
      <c r="H8" s="52">
        <v>275392</v>
      </c>
      <c r="I8" s="52">
        <v>296340</v>
      </c>
      <c r="J8" s="52">
        <v>327848</v>
      </c>
      <c r="K8" s="52">
        <v>346732</v>
      </c>
      <c r="L8" s="52">
        <v>356313</v>
      </c>
      <c r="M8" s="52">
        <v>363149</v>
      </c>
      <c r="N8" s="53">
        <v>374569</v>
      </c>
      <c r="O8" s="53">
        <v>384863</v>
      </c>
      <c r="P8" s="53">
        <v>426249</v>
      </c>
      <c r="Q8" s="53">
        <v>481221</v>
      </c>
      <c r="R8" s="53">
        <v>496850</v>
      </c>
      <c r="S8" s="53">
        <v>498403</v>
      </c>
      <c r="T8" s="53">
        <v>501060</v>
      </c>
      <c r="U8" s="53">
        <v>517168</v>
      </c>
      <c r="V8" s="53">
        <v>528188</v>
      </c>
      <c r="W8" s="54">
        <v>541680</v>
      </c>
      <c r="X8" s="54">
        <v>552538</v>
      </c>
      <c r="Y8" s="54">
        <v>553538</v>
      </c>
      <c r="Z8" s="54">
        <v>572052</v>
      </c>
      <c r="AA8" s="54">
        <v>589363</v>
      </c>
      <c r="AB8" s="54">
        <v>675283</v>
      </c>
    </row>
    <row r="9" spans="2:28" s="50" customFormat="1">
      <c r="B9" s="51" t="s">
        <v>84</v>
      </c>
      <c r="C9" s="52">
        <v>333494</v>
      </c>
      <c r="D9" s="52">
        <v>339766</v>
      </c>
      <c r="E9" s="52">
        <v>344027</v>
      </c>
      <c r="F9" s="52">
        <v>344624</v>
      </c>
      <c r="G9" s="52">
        <v>343620</v>
      </c>
      <c r="H9" s="52">
        <v>342117</v>
      </c>
      <c r="I9" s="52">
        <v>328600</v>
      </c>
      <c r="J9" s="52">
        <v>324236</v>
      </c>
      <c r="K9" s="52">
        <v>312114</v>
      </c>
      <c r="L9" s="52">
        <v>295822</v>
      </c>
      <c r="M9" s="52">
        <v>278549</v>
      </c>
      <c r="N9" s="53">
        <v>275570</v>
      </c>
      <c r="O9" s="53">
        <v>256522</v>
      </c>
      <c r="P9" s="53">
        <v>243904</v>
      </c>
      <c r="Q9" s="53">
        <v>239462</v>
      </c>
      <c r="R9" s="53">
        <v>241497</v>
      </c>
      <c r="S9" s="53">
        <v>232278</v>
      </c>
      <c r="T9" s="53">
        <v>209070</v>
      </c>
      <c r="U9" s="53">
        <v>207535</v>
      </c>
      <c r="V9" s="53">
        <v>203645</v>
      </c>
      <c r="W9" s="54">
        <v>196519</v>
      </c>
      <c r="X9" s="54">
        <v>300874</v>
      </c>
      <c r="Y9" s="54">
        <v>302071</v>
      </c>
      <c r="Z9" s="54">
        <v>304487</v>
      </c>
      <c r="AA9" s="54">
        <v>305796</v>
      </c>
      <c r="AB9" s="54">
        <v>307225</v>
      </c>
    </row>
    <row r="10" spans="2:28" s="50" customFormat="1">
      <c r="B10" s="51" t="s">
        <v>73</v>
      </c>
      <c r="C10" s="52">
        <v>1844325</v>
      </c>
      <c r="D10" s="52">
        <v>1852409</v>
      </c>
      <c r="E10" s="52">
        <v>1971451</v>
      </c>
      <c r="F10" s="52">
        <v>1906029</v>
      </c>
      <c r="G10" s="52">
        <v>1860866</v>
      </c>
      <c r="H10" s="52">
        <v>1857703</v>
      </c>
      <c r="I10" s="52">
        <v>1787971</v>
      </c>
      <c r="J10" s="52">
        <v>1719987</v>
      </c>
      <c r="K10" s="52">
        <v>1701951</v>
      </c>
      <c r="L10" s="52">
        <v>1664689</v>
      </c>
      <c r="M10" s="52">
        <v>1587643</v>
      </c>
      <c r="N10" s="53">
        <v>1573282</v>
      </c>
      <c r="O10" s="53">
        <v>1552859</v>
      </c>
      <c r="P10" s="53">
        <v>1669763</v>
      </c>
      <c r="Q10" s="53">
        <v>1641235</v>
      </c>
      <c r="R10" s="53">
        <v>1649897</v>
      </c>
      <c r="S10" s="53">
        <v>1699255</v>
      </c>
      <c r="T10" s="53">
        <v>1650402</v>
      </c>
      <c r="U10" s="53">
        <v>1635843</v>
      </c>
      <c r="V10" s="53">
        <v>1630073</v>
      </c>
      <c r="W10" s="54">
        <v>1572848</v>
      </c>
      <c r="X10" s="54">
        <v>1740813</v>
      </c>
      <c r="Y10" s="54">
        <v>1758572</v>
      </c>
      <c r="Z10" s="54">
        <v>1756789</v>
      </c>
      <c r="AA10" s="54">
        <v>2014653</v>
      </c>
      <c r="AB10" s="54">
        <v>1962155</v>
      </c>
    </row>
    <row r="11" spans="2:28" s="50" customFormat="1">
      <c r="B11" s="407"/>
      <c r="C11" s="59">
        <f>SUM(C5:C9)-C10</f>
        <v>0</v>
      </c>
      <c r="D11" s="59">
        <f t="shared" ref="D11:P11" si="1">SUM(D5:D9)-D10</f>
        <v>0</v>
      </c>
      <c r="E11" s="59">
        <f t="shared" si="1"/>
        <v>0</v>
      </c>
      <c r="F11" s="59">
        <f t="shared" si="1"/>
        <v>0</v>
      </c>
      <c r="G11" s="59">
        <f t="shared" si="1"/>
        <v>0</v>
      </c>
      <c r="H11" s="59">
        <f t="shared" si="1"/>
        <v>0</v>
      </c>
      <c r="I11" s="59">
        <f t="shared" si="1"/>
        <v>0</v>
      </c>
      <c r="J11" s="59">
        <f t="shared" si="1"/>
        <v>0</v>
      </c>
      <c r="K11" s="59">
        <f t="shared" si="1"/>
        <v>0</v>
      </c>
      <c r="L11" s="59">
        <f t="shared" si="1"/>
        <v>0</v>
      </c>
      <c r="M11" s="59">
        <f t="shared" si="1"/>
        <v>0</v>
      </c>
      <c r="N11" s="59">
        <f t="shared" si="1"/>
        <v>0</v>
      </c>
      <c r="O11" s="59">
        <f t="shared" si="1"/>
        <v>0</v>
      </c>
      <c r="P11" s="59">
        <f t="shared" si="1"/>
        <v>0</v>
      </c>
      <c r="Q11" s="59">
        <f t="shared" ref="Q11:W11" si="2">SUM(Q5:Q9)-Q10</f>
        <v>0</v>
      </c>
      <c r="R11" s="59">
        <f t="shared" si="2"/>
        <v>0</v>
      </c>
      <c r="S11" s="59">
        <f t="shared" si="2"/>
        <v>0</v>
      </c>
      <c r="T11" s="59">
        <f t="shared" si="2"/>
        <v>0</v>
      </c>
      <c r="U11" s="59">
        <f t="shared" si="2"/>
        <v>0</v>
      </c>
      <c r="V11" s="59">
        <f>SUM(V5:V9)-V10</f>
        <v>0</v>
      </c>
      <c r="W11" s="79">
        <f t="shared" si="2"/>
        <v>0</v>
      </c>
      <c r="X11" s="79">
        <f>SUM(X5:X9)-X10</f>
        <v>2</v>
      </c>
      <c r="Y11" s="79">
        <f>SUM(Y5:Y9)-Y10</f>
        <v>1</v>
      </c>
      <c r="Z11" s="79">
        <f>SUM(Z5:Z9)-Z10</f>
        <v>0</v>
      </c>
      <c r="AA11" s="79">
        <f>SUM(AA5:AA9)-AA10</f>
        <v>1</v>
      </c>
      <c r="AB11" s="79">
        <f>SUM(AB5:AB9)-AB10</f>
        <v>1</v>
      </c>
    </row>
    <row r="13" spans="2:28">
      <c r="B13" s="636" t="s">
        <v>85</v>
      </c>
      <c r="C13" s="636"/>
      <c r="D13" s="636"/>
      <c r="E13" s="636"/>
    </row>
    <row r="14" spans="2:28">
      <c r="B14" s="47"/>
      <c r="C14" s="48" t="s">
        <v>47</v>
      </c>
      <c r="D14" s="48" t="s">
        <v>61</v>
      </c>
      <c r="E14" s="48" t="s">
        <v>48</v>
      </c>
      <c r="F14" s="48" t="s">
        <v>62</v>
      </c>
      <c r="G14" s="48" t="s">
        <v>49</v>
      </c>
      <c r="H14" s="48" t="s">
        <v>63</v>
      </c>
      <c r="I14" s="48" t="s">
        <v>50</v>
      </c>
      <c r="J14" s="48" t="s">
        <v>64</v>
      </c>
      <c r="K14" s="48" t="s">
        <v>51</v>
      </c>
      <c r="L14" s="48" t="s">
        <v>52</v>
      </c>
      <c r="M14" s="48" t="s">
        <v>53</v>
      </c>
      <c r="N14" s="61" t="s">
        <v>88</v>
      </c>
      <c r="O14" s="61" t="s">
        <v>103</v>
      </c>
      <c r="P14" s="61" t="s">
        <v>106</v>
      </c>
      <c r="Q14" s="61" t="s">
        <v>112</v>
      </c>
      <c r="R14" s="61" t="s">
        <v>133</v>
      </c>
      <c r="S14" s="49" t="s">
        <v>140</v>
      </c>
      <c r="T14" s="61" t="s">
        <v>156</v>
      </c>
      <c r="U14" s="61" t="s">
        <v>162</v>
      </c>
      <c r="V14" s="49" t="s">
        <v>168</v>
      </c>
      <c r="W14" s="49" t="s">
        <v>192</v>
      </c>
      <c r="X14" s="49" t="s">
        <v>195</v>
      </c>
      <c r="Y14" s="49" t="s">
        <v>212</v>
      </c>
      <c r="Z14" s="49" t="s">
        <v>224</v>
      </c>
      <c r="AA14" s="49" t="s">
        <v>277</v>
      </c>
      <c r="AB14" s="49" t="s">
        <v>378</v>
      </c>
    </row>
    <row r="15" spans="2:28">
      <c r="B15" s="51" t="s">
        <v>82</v>
      </c>
      <c r="C15" s="52">
        <v>145516</v>
      </c>
      <c r="D15" s="52">
        <v>160175</v>
      </c>
      <c r="E15" s="52">
        <v>166464</v>
      </c>
      <c r="F15" s="52">
        <v>189404</v>
      </c>
      <c r="G15" s="52">
        <v>199166</v>
      </c>
      <c r="H15" s="52">
        <v>209993</v>
      </c>
      <c r="I15" s="52">
        <v>233813</v>
      </c>
      <c r="J15" s="52">
        <v>218849</v>
      </c>
      <c r="K15" s="52">
        <v>217563</v>
      </c>
      <c r="L15" s="52">
        <v>210400</v>
      </c>
      <c r="M15" s="52">
        <v>207507</v>
      </c>
      <c r="N15" s="52">
        <v>207387</v>
      </c>
      <c r="O15" s="52">
        <v>213802</v>
      </c>
      <c r="P15" s="52">
        <f t="shared" ref="P15:AB17" si="3">P7</f>
        <v>221510</v>
      </c>
      <c r="Q15" s="52">
        <f t="shared" si="3"/>
        <v>222238</v>
      </c>
      <c r="R15" s="52">
        <f t="shared" si="3"/>
        <v>237153</v>
      </c>
      <c r="S15" s="52">
        <f t="shared" si="3"/>
        <v>260026</v>
      </c>
      <c r="T15" s="52">
        <f t="shared" si="3"/>
        <v>279755</v>
      </c>
      <c r="U15" s="52">
        <f t="shared" si="3"/>
        <v>265954</v>
      </c>
      <c r="V15" s="52">
        <f>V7</f>
        <v>278423</v>
      </c>
      <c r="W15" s="96">
        <f t="shared" si="3"/>
        <v>265961</v>
      </c>
      <c r="X15" s="96">
        <f t="shared" si="3"/>
        <v>262980</v>
      </c>
      <c r="Y15" s="96">
        <f t="shared" si="3"/>
        <v>292271</v>
      </c>
      <c r="Z15" s="96">
        <f t="shared" si="3"/>
        <v>225144</v>
      </c>
      <c r="AA15" s="96">
        <f t="shared" si="3"/>
        <v>195501</v>
      </c>
      <c r="AB15" s="96">
        <f t="shared" si="3"/>
        <v>204626</v>
      </c>
    </row>
    <row r="16" spans="2:28">
      <c r="B16" s="51" t="s">
        <v>83</v>
      </c>
      <c r="C16" s="52">
        <v>217325</v>
      </c>
      <c r="D16" s="52">
        <v>231951</v>
      </c>
      <c r="E16" s="52">
        <v>246904</v>
      </c>
      <c r="F16" s="52">
        <v>264778</v>
      </c>
      <c r="G16" s="52">
        <v>255380</v>
      </c>
      <c r="H16" s="52">
        <v>275392</v>
      </c>
      <c r="I16" s="52">
        <v>296340</v>
      </c>
      <c r="J16" s="52">
        <v>327848</v>
      </c>
      <c r="K16" s="52">
        <v>346732</v>
      </c>
      <c r="L16" s="52">
        <v>356313</v>
      </c>
      <c r="M16" s="52">
        <v>363149</v>
      </c>
      <c r="N16" s="52">
        <v>374569</v>
      </c>
      <c r="O16" s="52">
        <v>384863</v>
      </c>
      <c r="P16" s="52">
        <f t="shared" si="3"/>
        <v>426249</v>
      </c>
      <c r="Q16" s="52">
        <f t="shared" si="3"/>
        <v>481221</v>
      </c>
      <c r="R16" s="52">
        <f t="shared" si="3"/>
        <v>496850</v>
      </c>
      <c r="S16" s="52">
        <f t="shared" si="3"/>
        <v>498403</v>
      </c>
      <c r="T16" s="52">
        <f>T8</f>
        <v>501060</v>
      </c>
      <c r="U16" s="52">
        <f t="shared" si="3"/>
        <v>517168</v>
      </c>
      <c r="V16" s="52">
        <f>V8</f>
        <v>528188</v>
      </c>
      <c r="W16" s="96">
        <f t="shared" si="3"/>
        <v>541680</v>
      </c>
      <c r="X16" s="96">
        <f t="shared" si="3"/>
        <v>552538</v>
      </c>
      <c r="Y16" s="96">
        <f t="shared" si="3"/>
        <v>553538</v>
      </c>
      <c r="Z16" s="96">
        <f t="shared" si="3"/>
        <v>572052</v>
      </c>
      <c r="AA16" s="96">
        <f t="shared" si="3"/>
        <v>589363</v>
      </c>
      <c r="AB16" s="96">
        <f t="shared" si="3"/>
        <v>675283</v>
      </c>
    </row>
    <row r="17" spans="2:28">
      <c r="B17" s="51" t="s">
        <v>84</v>
      </c>
      <c r="C17" s="52">
        <v>333494</v>
      </c>
      <c r="D17" s="52">
        <v>339766</v>
      </c>
      <c r="E17" s="52">
        <v>344027</v>
      </c>
      <c r="F17" s="52">
        <v>344624</v>
      </c>
      <c r="G17" s="52">
        <v>343620</v>
      </c>
      <c r="H17" s="52">
        <v>342117</v>
      </c>
      <c r="I17" s="52">
        <v>328600</v>
      </c>
      <c r="J17" s="52">
        <v>324236</v>
      </c>
      <c r="K17" s="52">
        <v>312114</v>
      </c>
      <c r="L17" s="52">
        <v>295822</v>
      </c>
      <c r="M17" s="52">
        <v>278549</v>
      </c>
      <c r="N17" s="52">
        <v>275570</v>
      </c>
      <c r="O17" s="52">
        <v>256522</v>
      </c>
      <c r="P17" s="52">
        <f t="shared" si="3"/>
        <v>243904</v>
      </c>
      <c r="Q17" s="52">
        <f t="shared" si="3"/>
        <v>239462</v>
      </c>
      <c r="R17" s="52">
        <f t="shared" si="3"/>
        <v>241497</v>
      </c>
      <c r="S17" s="52">
        <f t="shared" si="3"/>
        <v>232278</v>
      </c>
      <c r="T17" s="52">
        <f t="shared" si="3"/>
        <v>209070</v>
      </c>
      <c r="U17" s="52">
        <f t="shared" si="3"/>
        <v>207535</v>
      </c>
      <c r="V17" s="52">
        <f>V9</f>
        <v>203645</v>
      </c>
      <c r="W17" s="96">
        <f t="shared" si="3"/>
        <v>196519</v>
      </c>
      <c r="X17" s="96">
        <f t="shared" si="3"/>
        <v>300874</v>
      </c>
      <c r="Y17" s="96">
        <f t="shared" si="3"/>
        <v>302071</v>
      </c>
      <c r="Z17" s="96">
        <f t="shared" si="3"/>
        <v>304487</v>
      </c>
      <c r="AA17" s="96">
        <f t="shared" si="3"/>
        <v>305796</v>
      </c>
      <c r="AB17" s="96">
        <f t="shared" si="3"/>
        <v>307225</v>
      </c>
    </row>
    <row r="18" spans="2:28" ht="27">
      <c r="B18" s="51" t="s">
        <v>86</v>
      </c>
      <c r="C18" s="52">
        <f>SUM(C15:C17)</f>
        <v>696335</v>
      </c>
      <c r="D18" s="52">
        <f t="shared" ref="D18:AB18" si="4">SUM(D15:D17)</f>
        <v>731892</v>
      </c>
      <c r="E18" s="52">
        <f t="shared" si="4"/>
        <v>757395</v>
      </c>
      <c r="F18" s="52">
        <f t="shared" si="4"/>
        <v>798806</v>
      </c>
      <c r="G18" s="52">
        <f t="shared" si="4"/>
        <v>798166</v>
      </c>
      <c r="H18" s="52">
        <f t="shared" si="4"/>
        <v>827502</v>
      </c>
      <c r="I18" s="52">
        <f t="shared" si="4"/>
        <v>858753</v>
      </c>
      <c r="J18" s="52">
        <f t="shared" si="4"/>
        <v>870933</v>
      </c>
      <c r="K18" s="52">
        <f t="shared" si="4"/>
        <v>876409</v>
      </c>
      <c r="L18" s="52">
        <f t="shared" si="4"/>
        <v>862535</v>
      </c>
      <c r="M18" s="52">
        <f t="shared" si="4"/>
        <v>849205</v>
      </c>
      <c r="N18" s="52">
        <f t="shared" si="4"/>
        <v>857526</v>
      </c>
      <c r="O18" s="52">
        <f t="shared" si="4"/>
        <v>855187</v>
      </c>
      <c r="P18" s="52">
        <f t="shared" si="4"/>
        <v>891663</v>
      </c>
      <c r="Q18" s="52">
        <f t="shared" si="4"/>
        <v>942921</v>
      </c>
      <c r="R18" s="52">
        <f t="shared" si="4"/>
        <v>975500</v>
      </c>
      <c r="S18" s="52">
        <f t="shared" si="4"/>
        <v>990707</v>
      </c>
      <c r="T18" s="52">
        <f t="shared" si="4"/>
        <v>989885</v>
      </c>
      <c r="U18" s="52">
        <f t="shared" si="4"/>
        <v>990657</v>
      </c>
      <c r="V18" s="52">
        <f t="shared" si="4"/>
        <v>1010256</v>
      </c>
      <c r="W18" s="96">
        <f t="shared" si="4"/>
        <v>1004160</v>
      </c>
      <c r="X18" s="96">
        <f t="shared" si="4"/>
        <v>1116392</v>
      </c>
      <c r="Y18" s="96">
        <f t="shared" si="4"/>
        <v>1147880</v>
      </c>
      <c r="Z18" s="96">
        <f t="shared" si="4"/>
        <v>1101683</v>
      </c>
      <c r="AA18" s="96">
        <f t="shared" si="4"/>
        <v>1090660</v>
      </c>
      <c r="AB18" s="96">
        <f t="shared" si="4"/>
        <v>1187134</v>
      </c>
    </row>
    <row r="19" spans="2:28">
      <c r="B19" s="407"/>
      <c r="C19" s="59"/>
      <c r="D19" s="59"/>
      <c r="E19" s="59"/>
      <c r="F19" s="59"/>
      <c r="G19" s="59"/>
      <c r="H19" s="59"/>
      <c r="I19" s="59"/>
      <c r="J19" s="59"/>
      <c r="K19" s="59"/>
      <c r="L19" s="59"/>
      <c r="M19" s="59"/>
    </row>
    <row r="20" spans="2:28">
      <c r="B20" s="637" t="s">
        <v>77</v>
      </c>
      <c r="C20" s="637"/>
      <c r="D20" s="637"/>
      <c r="E20" s="637"/>
    </row>
    <row r="21" spans="2:28">
      <c r="B21" s="47"/>
      <c r="C21" s="48" t="s">
        <v>47</v>
      </c>
      <c r="D21" s="48" t="s">
        <v>61</v>
      </c>
      <c r="E21" s="48" t="s">
        <v>48</v>
      </c>
      <c r="F21" s="48" t="s">
        <v>62</v>
      </c>
      <c r="G21" s="48" t="s">
        <v>49</v>
      </c>
      <c r="H21" s="48" t="s">
        <v>63</v>
      </c>
      <c r="I21" s="48" t="s">
        <v>50</v>
      </c>
      <c r="J21" s="48" t="s">
        <v>64</v>
      </c>
      <c r="K21" s="48" t="s">
        <v>51</v>
      </c>
      <c r="L21" s="48" t="s">
        <v>52</v>
      </c>
      <c r="M21" s="48" t="s">
        <v>53</v>
      </c>
      <c r="N21" s="61" t="s">
        <v>88</v>
      </c>
      <c r="O21" s="61" t="s">
        <v>103</v>
      </c>
      <c r="P21" s="61" t="s">
        <v>106</v>
      </c>
      <c r="Q21" s="61" t="s">
        <v>112</v>
      </c>
      <c r="R21" s="61" t="s">
        <v>133</v>
      </c>
      <c r="S21" s="49" t="s">
        <v>140</v>
      </c>
      <c r="T21" s="61" t="s">
        <v>156</v>
      </c>
      <c r="U21" s="61" t="s">
        <v>162</v>
      </c>
      <c r="V21" s="49" t="s">
        <v>168</v>
      </c>
      <c r="W21" s="49" t="s">
        <v>192</v>
      </c>
      <c r="X21" s="49" t="s">
        <v>195</v>
      </c>
      <c r="Y21" s="49" t="s">
        <v>212</v>
      </c>
      <c r="Z21" s="49" t="s">
        <v>224</v>
      </c>
      <c r="AA21" s="49" t="s">
        <v>277</v>
      </c>
      <c r="AB21" s="49" t="s">
        <v>378</v>
      </c>
    </row>
    <row r="22" spans="2:28">
      <c r="B22" s="51" t="s">
        <v>81</v>
      </c>
      <c r="C22" s="62">
        <f>C5/C$10*100</f>
        <v>26.590703916066854</v>
      </c>
      <c r="D22" s="62">
        <f t="shared" ref="D22:AB26" si="5">D5/D$10*100</f>
        <v>25.539500185974045</v>
      </c>
      <c r="E22" s="62">
        <f t="shared" si="5"/>
        <v>28.181882278585675</v>
      </c>
      <c r="F22" s="62">
        <f t="shared" si="5"/>
        <v>21.395949379573974</v>
      </c>
      <c r="G22" s="62">
        <f t="shared" si="5"/>
        <v>20.969107931468468</v>
      </c>
      <c r="H22" s="62">
        <f t="shared" si="5"/>
        <v>19.233537330778923</v>
      </c>
      <c r="I22" s="62">
        <f t="shared" si="5"/>
        <v>16.102945741289986</v>
      </c>
      <c r="J22" s="62">
        <f t="shared" si="5"/>
        <v>12.773526776655869</v>
      </c>
      <c r="K22" s="62">
        <f t="shared" si="5"/>
        <v>10.87105327944224</v>
      </c>
      <c r="L22" s="62">
        <f t="shared" si="5"/>
        <v>10.018327747705428</v>
      </c>
      <c r="M22" s="62">
        <f t="shared" si="5"/>
        <v>9.482295453071</v>
      </c>
      <c r="N22" s="62">
        <f t="shared" si="5"/>
        <v>10.305145549240377</v>
      </c>
      <c r="O22" s="62">
        <f t="shared" si="5"/>
        <v>7.9986012896212726</v>
      </c>
      <c r="P22" s="62">
        <f t="shared" si="5"/>
        <v>7.5355005470836272</v>
      </c>
      <c r="Q22" s="62">
        <f t="shared" si="5"/>
        <v>5.8112336137116261</v>
      </c>
      <c r="R22" s="62">
        <f t="shared" si="5"/>
        <v>5.4602196379531573</v>
      </c>
      <c r="S22" s="62">
        <f t="shared" si="5"/>
        <v>4.5146255270692155</v>
      </c>
      <c r="T22" s="62">
        <f t="shared" si="5"/>
        <v>5.0728852728002023</v>
      </c>
      <c r="U22" s="62">
        <f t="shared" si="5"/>
        <v>6.2270034471523248</v>
      </c>
      <c r="V22" s="62">
        <f t="shared" si="5"/>
        <v>6.1886185465313517</v>
      </c>
      <c r="W22" s="408">
        <f t="shared" si="5"/>
        <v>6.3650142925444797</v>
      </c>
      <c r="X22" s="408">
        <f t="shared" si="5"/>
        <v>6.6495941838669639</v>
      </c>
      <c r="Y22" s="408">
        <f t="shared" si="5"/>
        <v>7.091208093839775</v>
      </c>
      <c r="Z22" s="408">
        <f t="shared" si="5"/>
        <v>8.9541771948708693</v>
      </c>
      <c r="AA22" s="408">
        <f t="shared" si="5"/>
        <v>8.8243980477035002</v>
      </c>
      <c r="AB22" s="408">
        <f t="shared" si="5"/>
        <v>10.87528763018212</v>
      </c>
    </row>
    <row r="23" spans="2:28">
      <c r="B23" s="51" t="s">
        <v>72</v>
      </c>
      <c r="C23" s="62">
        <f t="shared" ref="C23:K26" si="6">C6/C$10*100</f>
        <v>35.653748661434399</v>
      </c>
      <c r="D23" s="62">
        <f t="shared" si="6"/>
        <v>34.950218877148622</v>
      </c>
      <c r="E23" s="62">
        <f t="shared" si="6"/>
        <v>33.399967840945578</v>
      </c>
      <c r="F23" s="62">
        <f t="shared" si="6"/>
        <v>36.69461482485314</v>
      </c>
      <c r="G23" s="62">
        <f t="shared" si="6"/>
        <v>36.138711761083279</v>
      </c>
      <c r="H23" s="62">
        <f t="shared" si="6"/>
        <v>36.222097934922857</v>
      </c>
      <c r="I23" s="62">
        <f t="shared" si="6"/>
        <v>35.867583982066826</v>
      </c>
      <c r="J23" s="62">
        <f t="shared" si="6"/>
        <v>36.590450974338765</v>
      </c>
      <c r="K23" s="62">
        <f t="shared" si="6"/>
        <v>37.634573498296952</v>
      </c>
      <c r="L23" s="62">
        <f t="shared" si="5"/>
        <v>38.168090255897646</v>
      </c>
      <c r="M23" s="62">
        <f t="shared" si="5"/>
        <v>37.029294369074158</v>
      </c>
      <c r="N23" s="62">
        <f t="shared" si="5"/>
        <v>35.189304905287166</v>
      </c>
      <c r="O23" s="62">
        <f t="shared" si="5"/>
        <v>36.929624647183033</v>
      </c>
      <c r="P23" s="62">
        <f t="shared" si="5"/>
        <v>39.063927036351863</v>
      </c>
      <c r="Q23" s="62">
        <f t="shared" si="5"/>
        <v>36.736847556870281</v>
      </c>
      <c r="R23" s="62">
        <f t="shared" si="5"/>
        <v>35.414877413559751</v>
      </c>
      <c r="S23" s="62">
        <f t="shared" si="5"/>
        <v>37.182941936319153</v>
      </c>
      <c r="T23" s="62">
        <f>T6/T$10*100</f>
        <v>34.948697347676507</v>
      </c>
      <c r="U23" s="62">
        <f t="shared" si="5"/>
        <v>33.213578564691112</v>
      </c>
      <c r="V23" s="62">
        <f>V6/V$10*100</f>
        <v>31.835261365595287</v>
      </c>
      <c r="W23" s="408">
        <f t="shared" si="5"/>
        <v>29.791562821073619</v>
      </c>
      <c r="X23" s="408">
        <f t="shared" si="5"/>
        <v>29.220025355968733</v>
      </c>
      <c r="Y23" s="408">
        <f t="shared" si="5"/>
        <v>27.63543374965597</v>
      </c>
      <c r="Z23" s="408">
        <f t="shared" si="5"/>
        <v>28.335787621621041</v>
      </c>
      <c r="AA23" s="408">
        <f t="shared" si="5"/>
        <v>37.039281702605855</v>
      </c>
      <c r="AB23" s="408">
        <f t="shared" si="5"/>
        <v>28.623222936006588</v>
      </c>
    </row>
    <row r="24" spans="2:28">
      <c r="B24" s="51" t="s">
        <v>82</v>
      </c>
      <c r="C24" s="62">
        <f t="shared" si="6"/>
        <v>7.8899326311794287</v>
      </c>
      <c r="D24" s="62">
        <f t="shared" si="6"/>
        <v>8.6468485091575342</v>
      </c>
      <c r="E24" s="62">
        <f t="shared" si="6"/>
        <v>8.4437300242308826</v>
      </c>
      <c r="F24" s="62">
        <f t="shared" si="6"/>
        <v>9.9370995929232979</v>
      </c>
      <c r="G24" s="62">
        <f t="shared" si="6"/>
        <v>10.702866299884032</v>
      </c>
      <c r="H24" s="62">
        <f t="shared" si="6"/>
        <v>11.303905952673812</v>
      </c>
      <c r="I24" s="62">
        <f t="shared" si="6"/>
        <v>13.077001808194877</v>
      </c>
      <c r="J24" s="62">
        <f t="shared" si="6"/>
        <v>12.723875238591919</v>
      </c>
      <c r="K24" s="62">
        <f t="shared" si="6"/>
        <v>12.783152981490067</v>
      </c>
      <c r="L24" s="62">
        <f t="shared" si="5"/>
        <v>12.638997434355606</v>
      </c>
      <c r="M24" s="62">
        <f t="shared" si="5"/>
        <v>13.070129745792977</v>
      </c>
      <c r="N24" s="62">
        <f t="shared" si="5"/>
        <v>13.181807203031623</v>
      </c>
      <c r="O24" s="62">
        <f t="shared" si="5"/>
        <v>13.768281601871129</v>
      </c>
      <c r="P24" s="62">
        <f t="shared" si="5"/>
        <v>13.265954509711857</v>
      </c>
      <c r="Q24" s="62">
        <f t="shared" si="5"/>
        <v>13.540900602290348</v>
      </c>
      <c r="R24" s="62">
        <f t="shared" si="5"/>
        <v>14.373806364882173</v>
      </c>
      <c r="S24" s="62">
        <f t="shared" si="5"/>
        <v>15.302353090030632</v>
      </c>
      <c r="T24" s="62">
        <f>T7/T$10*100</f>
        <v>16.950718673389879</v>
      </c>
      <c r="U24" s="62">
        <f t="shared" si="5"/>
        <v>16.257917171757924</v>
      </c>
      <c r="V24" s="62">
        <f>V7/V$10*100</f>
        <v>17.080400693711265</v>
      </c>
      <c r="W24" s="408">
        <f t="shared" si="5"/>
        <v>16.909517003550249</v>
      </c>
      <c r="X24" s="408">
        <f t="shared" si="5"/>
        <v>15.106734611931321</v>
      </c>
      <c r="Y24" s="408">
        <f t="shared" si="5"/>
        <v>16.619791512659134</v>
      </c>
      <c r="Z24" s="408">
        <f t="shared" si="5"/>
        <v>12.815654014227093</v>
      </c>
      <c r="AA24" s="408">
        <f t="shared" si="5"/>
        <v>9.7039539811570528</v>
      </c>
      <c r="AB24" s="408">
        <f t="shared" si="5"/>
        <v>10.428635862100599</v>
      </c>
    </row>
    <row r="25" spans="2:28">
      <c r="B25" s="51" t="s">
        <v>83</v>
      </c>
      <c r="C25" s="62">
        <f t="shared" si="6"/>
        <v>11.783443807354994</v>
      </c>
      <c r="D25" s="62">
        <f t="shared" si="6"/>
        <v>12.521586755408768</v>
      </c>
      <c r="E25" s="62">
        <f t="shared" si="6"/>
        <v>12.523973459142528</v>
      </c>
      <c r="F25" s="62">
        <f t="shared" si="6"/>
        <v>13.891603957757201</v>
      </c>
      <c r="G25" s="62">
        <f t="shared" si="6"/>
        <v>13.723717881889399</v>
      </c>
      <c r="H25" s="62">
        <f t="shared" si="6"/>
        <v>14.824328754381083</v>
      </c>
      <c r="I25" s="62">
        <f t="shared" si="6"/>
        <v>16.574094322558921</v>
      </c>
      <c r="J25" s="62">
        <f t="shared" si="6"/>
        <v>19.061074298817374</v>
      </c>
      <c r="K25" s="62">
        <f t="shared" si="6"/>
        <v>20.37261942323839</v>
      </c>
      <c r="L25" s="62">
        <f t="shared" si="5"/>
        <v>21.404178197849568</v>
      </c>
      <c r="M25" s="62">
        <f t="shared" si="5"/>
        <v>22.873467145951576</v>
      </c>
      <c r="N25" s="62">
        <f t="shared" si="5"/>
        <v>23.808128485548043</v>
      </c>
      <c r="O25" s="62">
        <f t="shared" si="5"/>
        <v>24.78415619190152</v>
      </c>
      <c r="P25" s="62">
        <f t="shared" si="5"/>
        <v>25.527514982665206</v>
      </c>
      <c r="Q25" s="62">
        <f t="shared" si="5"/>
        <v>29.320664012161572</v>
      </c>
      <c r="R25" s="62">
        <f t="shared" si="5"/>
        <v>30.114001055823486</v>
      </c>
      <c r="S25" s="62">
        <f t="shared" si="5"/>
        <v>29.330677267390708</v>
      </c>
      <c r="T25" s="62">
        <f>T8/T$10*100</f>
        <v>30.359875957493994</v>
      </c>
      <c r="U25" s="62">
        <f t="shared" si="5"/>
        <v>31.614769877060329</v>
      </c>
      <c r="V25" s="62">
        <f>V8/V$10*100</f>
        <v>32.402720614352852</v>
      </c>
      <c r="W25" s="408">
        <f t="shared" si="5"/>
        <v>34.439437250134787</v>
      </c>
      <c r="X25" s="408">
        <f t="shared" si="5"/>
        <v>31.740227123763436</v>
      </c>
      <c r="Y25" s="408">
        <f t="shared" si="5"/>
        <v>31.47656166480531</v>
      </c>
      <c r="Z25" s="408">
        <f t="shared" si="5"/>
        <v>32.562362355410926</v>
      </c>
      <c r="AA25" s="408">
        <f t="shared" si="5"/>
        <v>29.253821874039847</v>
      </c>
      <c r="AB25" s="408">
        <f t="shared" si="5"/>
        <v>34.415374932153682</v>
      </c>
    </row>
    <row r="26" spans="2:28">
      <c r="B26" s="51" t="s">
        <v>84</v>
      </c>
      <c r="C26" s="62">
        <f t="shared" si="6"/>
        <v>18.082170983964325</v>
      </c>
      <c r="D26" s="62">
        <f t="shared" si="6"/>
        <v>18.341845672311027</v>
      </c>
      <c r="E26" s="62">
        <f t="shared" si="6"/>
        <v>17.450446397095337</v>
      </c>
      <c r="F26" s="62">
        <f t="shared" si="6"/>
        <v>18.080732244892392</v>
      </c>
      <c r="G26" s="62">
        <f t="shared" si="6"/>
        <v>18.465596125674821</v>
      </c>
      <c r="H26" s="62">
        <f t="shared" si="6"/>
        <v>18.416130027243323</v>
      </c>
      <c r="I26" s="62">
        <f t="shared" si="6"/>
        <v>18.378374145889389</v>
      </c>
      <c r="J26" s="62">
        <f t="shared" si="6"/>
        <v>18.851072711596075</v>
      </c>
      <c r="K26" s="62">
        <f t="shared" si="6"/>
        <v>18.338600817532349</v>
      </c>
      <c r="L26" s="62">
        <f t="shared" si="5"/>
        <v>17.77040636419175</v>
      </c>
      <c r="M26" s="62">
        <f t="shared" si="5"/>
        <v>17.544813286110291</v>
      </c>
      <c r="N26" s="62">
        <f t="shared" si="5"/>
        <v>17.515613856892788</v>
      </c>
      <c r="O26" s="62">
        <f t="shared" si="5"/>
        <v>16.519336269423047</v>
      </c>
      <c r="P26" s="62">
        <f t="shared" si="5"/>
        <v>14.607102924187446</v>
      </c>
      <c r="Q26" s="62">
        <f t="shared" si="5"/>
        <v>14.590354214966169</v>
      </c>
      <c r="R26" s="62">
        <f t="shared" si="5"/>
        <v>14.637095527781433</v>
      </c>
      <c r="S26" s="62">
        <f t="shared" si="5"/>
        <v>13.669402179190293</v>
      </c>
      <c r="T26" s="62">
        <f>T9/T$10*100</f>
        <v>12.667822748639423</v>
      </c>
      <c r="U26" s="62">
        <f t="shared" si="5"/>
        <v>12.686730939338311</v>
      </c>
      <c r="V26" s="62">
        <f>V9/V$10*100</f>
        <v>12.492998779809247</v>
      </c>
      <c r="W26" s="408">
        <f t="shared" si="5"/>
        <v>12.494468632696867</v>
      </c>
      <c r="X26" s="408">
        <f t="shared" si="5"/>
        <v>17.283533613317456</v>
      </c>
      <c r="Y26" s="408">
        <f t="shared" si="5"/>
        <v>17.177061843359269</v>
      </c>
      <c r="Z26" s="408">
        <f t="shared" si="5"/>
        <v>17.332018813870079</v>
      </c>
      <c r="AA26" s="408">
        <f t="shared" si="5"/>
        <v>15.1785940308331</v>
      </c>
      <c r="AB26" s="408">
        <f t="shared" si="5"/>
        <v>15.657529603930373</v>
      </c>
    </row>
    <row r="27" spans="2:28">
      <c r="B27" s="51" t="s">
        <v>73</v>
      </c>
      <c r="C27" s="62">
        <f>SUM(C22:C26)</f>
        <v>100</v>
      </c>
      <c r="D27" s="62">
        <f t="shared" ref="D27:W27" si="7">SUM(D22:D26)</f>
        <v>99.999999999999986</v>
      </c>
      <c r="E27" s="62">
        <f t="shared" si="7"/>
        <v>100</v>
      </c>
      <c r="F27" s="62">
        <f t="shared" si="7"/>
        <v>100</v>
      </c>
      <c r="G27" s="62">
        <f t="shared" si="7"/>
        <v>100</v>
      </c>
      <c r="H27" s="62">
        <f t="shared" si="7"/>
        <v>100</v>
      </c>
      <c r="I27" s="62">
        <f t="shared" si="7"/>
        <v>100</v>
      </c>
      <c r="J27" s="62">
        <f t="shared" si="7"/>
        <v>100</v>
      </c>
      <c r="K27" s="62">
        <f t="shared" si="7"/>
        <v>100</v>
      </c>
      <c r="L27" s="62">
        <f t="shared" si="7"/>
        <v>100</v>
      </c>
      <c r="M27" s="62">
        <f t="shared" si="7"/>
        <v>100</v>
      </c>
      <c r="N27" s="62">
        <f t="shared" si="7"/>
        <v>100</v>
      </c>
      <c r="O27" s="62">
        <f t="shared" si="7"/>
        <v>100</v>
      </c>
      <c r="P27" s="62">
        <f t="shared" si="7"/>
        <v>100</v>
      </c>
      <c r="Q27" s="62">
        <f t="shared" si="7"/>
        <v>100</v>
      </c>
      <c r="R27" s="62">
        <f t="shared" si="7"/>
        <v>100</v>
      </c>
      <c r="S27" s="62">
        <f t="shared" si="7"/>
        <v>100</v>
      </c>
      <c r="T27" s="62">
        <f t="shared" si="7"/>
        <v>100</v>
      </c>
      <c r="U27" s="62">
        <f t="shared" si="7"/>
        <v>100</v>
      </c>
      <c r="V27" s="62">
        <f>SUM(V22:V26)</f>
        <v>99.999999999999986</v>
      </c>
      <c r="W27" s="408">
        <f t="shared" si="7"/>
        <v>100</v>
      </c>
      <c r="X27" s="408">
        <f>SUM(X22:X26)</f>
        <v>100.00011488884792</v>
      </c>
      <c r="Y27" s="408">
        <f>SUM(Y22:Y26)</f>
        <v>100.00005686431945</v>
      </c>
      <c r="Z27" s="408">
        <f>SUM(Z22:Z26)</f>
        <v>100.00000000000001</v>
      </c>
      <c r="AA27" s="408">
        <f>SUM(AA22:AA26)</f>
        <v>100.00004963633936</v>
      </c>
      <c r="AB27" s="408">
        <f>SUM(AB22:AB26)</f>
        <v>100.00005096437336</v>
      </c>
    </row>
    <row r="29" spans="2:28">
      <c r="B29" s="637" t="s">
        <v>78</v>
      </c>
      <c r="C29" s="637"/>
      <c r="D29" s="637"/>
      <c r="E29" s="637"/>
    </row>
    <row r="30" spans="2:28">
      <c r="B30" s="47"/>
      <c r="C30" s="48" t="s">
        <v>47</v>
      </c>
      <c r="D30" s="48" t="s">
        <v>61</v>
      </c>
      <c r="E30" s="48" t="s">
        <v>48</v>
      </c>
      <c r="F30" s="48" t="s">
        <v>62</v>
      </c>
      <c r="G30" s="48" t="s">
        <v>49</v>
      </c>
      <c r="H30" s="48" t="s">
        <v>63</v>
      </c>
      <c r="I30" s="48" t="s">
        <v>50</v>
      </c>
      <c r="J30" s="48" t="s">
        <v>64</v>
      </c>
      <c r="K30" s="48" t="s">
        <v>51</v>
      </c>
      <c r="L30" s="48" t="s">
        <v>52</v>
      </c>
      <c r="M30" s="48" t="s">
        <v>53</v>
      </c>
      <c r="N30" s="61" t="s">
        <v>88</v>
      </c>
      <c r="O30" s="61" t="s">
        <v>103</v>
      </c>
      <c r="P30" s="61" t="s">
        <v>106</v>
      </c>
      <c r="Q30" s="61" t="s">
        <v>112</v>
      </c>
      <c r="R30" s="61" t="s">
        <v>133</v>
      </c>
      <c r="S30" s="49" t="s">
        <v>140</v>
      </c>
      <c r="T30" s="61" t="s">
        <v>156</v>
      </c>
      <c r="U30" s="61" t="s">
        <v>162</v>
      </c>
      <c r="V30" s="49" t="s">
        <v>168</v>
      </c>
      <c r="W30" s="49" t="s">
        <v>192</v>
      </c>
      <c r="X30" s="49" t="s">
        <v>196</v>
      </c>
      <c r="Y30" s="49" t="s">
        <v>213</v>
      </c>
      <c r="Z30" s="49" t="s">
        <v>224</v>
      </c>
      <c r="AA30" s="49" t="s">
        <v>277</v>
      </c>
      <c r="AB30" s="49" t="s">
        <v>378</v>
      </c>
    </row>
    <row r="31" spans="2:28">
      <c r="B31" s="51" t="s">
        <v>81</v>
      </c>
      <c r="C31" s="64">
        <f>ROUND(C22,1)</f>
        <v>26.6</v>
      </c>
      <c r="D31" s="64">
        <f t="shared" ref="D31:AB35" si="8">ROUND(D22,1)</f>
        <v>25.5</v>
      </c>
      <c r="E31" s="64">
        <f t="shared" si="8"/>
        <v>28.2</v>
      </c>
      <c r="F31" s="64">
        <f t="shared" si="8"/>
        <v>21.4</v>
      </c>
      <c r="G31" s="64">
        <f t="shared" si="8"/>
        <v>21</v>
      </c>
      <c r="H31" s="64">
        <f t="shared" si="8"/>
        <v>19.2</v>
      </c>
      <c r="I31" s="64">
        <f t="shared" si="8"/>
        <v>16.100000000000001</v>
      </c>
      <c r="J31" s="64">
        <f t="shared" si="8"/>
        <v>12.8</v>
      </c>
      <c r="K31" s="64">
        <f t="shared" si="8"/>
        <v>10.9</v>
      </c>
      <c r="L31" s="64">
        <f t="shared" si="8"/>
        <v>10</v>
      </c>
      <c r="M31" s="64">
        <f t="shared" si="8"/>
        <v>9.5</v>
      </c>
      <c r="N31" s="64">
        <f t="shared" si="8"/>
        <v>10.3</v>
      </c>
      <c r="O31" s="64">
        <f t="shared" si="8"/>
        <v>8</v>
      </c>
      <c r="P31" s="64">
        <f t="shared" si="8"/>
        <v>7.5</v>
      </c>
      <c r="Q31" s="64">
        <f t="shared" si="8"/>
        <v>5.8</v>
      </c>
      <c r="R31" s="64">
        <f t="shared" si="8"/>
        <v>5.5</v>
      </c>
      <c r="S31" s="64">
        <f t="shared" si="8"/>
        <v>4.5</v>
      </c>
      <c r="T31" s="64">
        <f t="shared" si="8"/>
        <v>5.0999999999999996</v>
      </c>
      <c r="U31" s="64">
        <f t="shared" si="8"/>
        <v>6.2</v>
      </c>
      <c r="V31" s="64">
        <f>ROUND(V22,1)</f>
        <v>6.2</v>
      </c>
      <c r="W31" s="66">
        <f t="shared" si="8"/>
        <v>6.4</v>
      </c>
      <c r="X31" s="66">
        <f t="shared" si="8"/>
        <v>6.6</v>
      </c>
      <c r="Y31" s="66">
        <f t="shared" si="8"/>
        <v>7.1</v>
      </c>
      <c r="Z31" s="66">
        <f t="shared" si="8"/>
        <v>9</v>
      </c>
      <c r="AA31" s="66">
        <f t="shared" si="8"/>
        <v>8.8000000000000007</v>
      </c>
      <c r="AB31" s="66">
        <f t="shared" si="8"/>
        <v>10.9</v>
      </c>
    </row>
    <row r="32" spans="2:28">
      <c r="B32" s="51" t="s">
        <v>72</v>
      </c>
      <c r="C32" s="64">
        <f>ROUND(C23,1)-0.1</f>
        <v>35.6</v>
      </c>
      <c r="D32" s="64">
        <f t="shared" si="8"/>
        <v>35</v>
      </c>
      <c r="E32" s="64">
        <f t="shared" si="8"/>
        <v>33.4</v>
      </c>
      <c r="F32" s="64">
        <f t="shared" si="8"/>
        <v>36.700000000000003</v>
      </c>
      <c r="G32" s="64">
        <f t="shared" si="8"/>
        <v>36.1</v>
      </c>
      <c r="H32" s="64">
        <f>ROUND(H23,1)+0.1</f>
        <v>36.300000000000004</v>
      </c>
      <c r="I32" s="64">
        <f>ROUND(I23,1)-0.1</f>
        <v>35.799999999999997</v>
      </c>
      <c r="J32" s="64">
        <f t="shared" si="8"/>
        <v>36.6</v>
      </c>
      <c r="K32" s="64">
        <f t="shared" si="8"/>
        <v>37.6</v>
      </c>
      <c r="L32" s="64">
        <f t="shared" si="8"/>
        <v>38.200000000000003</v>
      </c>
      <c r="M32" s="64">
        <f t="shared" si="8"/>
        <v>37</v>
      </c>
      <c r="N32" s="64">
        <f t="shared" si="8"/>
        <v>35.200000000000003</v>
      </c>
      <c r="O32" s="64">
        <f t="shared" si="8"/>
        <v>36.9</v>
      </c>
      <c r="P32" s="64">
        <f t="shared" si="8"/>
        <v>39.1</v>
      </c>
      <c r="Q32" s="409">
        <f>ROUND(Q23,1)+0.1</f>
        <v>36.800000000000004</v>
      </c>
      <c r="R32" s="97">
        <f>ROUND(R23,1)</f>
        <v>35.4</v>
      </c>
      <c r="S32" s="97">
        <f>ROUND(S23,1)</f>
        <v>37.200000000000003</v>
      </c>
      <c r="T32" s="97">
        <f>ROUND(T23,1)</f>
        <v>34.9</v>
      </c>
      <c r="U32" s="97">
        <f t="shared" si="8"/>
        <v>33.200000000000003</v>
      </c>
      <c r="V32" s="97">
        <f>ROUND(V23,1)</f>
        <v>31.8</v>
      </c>
      <c r="W32" s="410">
        <f t="shared" si="8"/>
        <v>29.8</v>
      </c>
      <c r="X32" s="410">
        <f t="shared" si="8"/>
        <v>29.2</v>
      </c>
      <c r="Y32" s="410">
        <f t="shared" si="8"/>
        <v>27.6</v>
      </c>
      <c r="Z32" s="410">
        <f t="shared" si="8"/>
        <v>28.3</v>
      </c>
      <c r="AA32" s="410">
        <f t="shared" si="8"/>
        <v>37</v>
      </c>
      <c r="AB32" s="410">
        <f t="shared" si="8"/>
        <v>28.6</v>
      </c>
    </row>
    <row r="33" spans="2:28">
      <c r="B33" s="51" t="s">
        <v>82</v>
      </c>
      <c r="C33" s="64">
        <f t="shared" ref="C33:K35" si="9">ROUND(C24,1)</f>
        <v>7.9</v>
      </c>
      <c r="D33" s="64">
        <f>ROUND(D24,1)+0.1</f>
        <v>8.6999999999999993</v>
      </c>
      <c r="E33" s="64">
        <f t="shared" si="9"/>
        <v>8.4</v>
      </c>
      <c r="F33" s="64">
        <f t="shared" si="9"/>
        <v>9.9</v>
      </c>
      <c r="G33" s="64">
        <f t="shared" si="9"/>
        <v>10.7</v>
      </c>
      <c r="H33" s="64">
        <f t="shared" si="9"/>
        <v>11.3</v>
      </c>
      <c r="I33" s="64">
        <f t="shared" si="9"/>
        <v>13.1</v>
      </c>
      <c r="J33" s="64">
        <f t="shared" si="9"/>
        <v>12.7</v>
      </c>
      <c r="K33" s="64">
        <f t="shared" si="9"/>
        <v>12.8</v>
      </c>
      <c r="L33" s="64">
        <f t="shared" si="8"/>
        <v>12.6</v>
      </c>
      <c r="M33" s="64">
        <f t="shared" si="8"/>
        <v>13.1</v>
      </c>
      <c r="N33" s="64">
        <f t="shared" si="8"/>
        <v>13.2</v>
      </c>
      <c r="O33" s="64">
        <f t="shared" si="8"/>
        <v>13.8</v>
      </c>
      <c r="P33" s="64">
        <f t="shared" si="8"/>
        <v>13.3</v>
      </c>
      <c r="Q33" s="64">
        <f t="shared" si="8"/>
        <v>13.5</v>
      </c>
      <c r="R33" s="64">
        <f t="shared" si="8"/>
        <v>14.4</v>
      </c>
      <c r="S33" s="64">
        <f t="shared" si="8"/>
        <v>15.3</v>
      </c>
      <c r="T33" s="409">
        <f>ROUND(T24,1)-0.1</f>
        <v>16.899999999999999</v>
      </c>
      <c r="U33" s="69">
        <f t="shared" si="8"/>
        <v>16.3</v>
      </c>
      <c r="V33" s="69">
        <f>ROUND(V24,1)</f>
        <v>17.100000000000001</v>
      </c>
      <c r="W33" s="411">
        <f t="shared" si="8"/>
        <v>16.899999999999999</v>
      </c>
      <c r="X33" s="411">
        <f t="shared" si="8"/>
        <v>15.1</v>
      </c>
      <c r="Y33" s="411">
        <f t="shared" si="8"/>
        <v>16.600000000000001</v>
      </c>
      <c r="Z33" s="411">
        <f t="shared" si="8"/>
        <v>12.8</v>
      </c>
      <c r="AA33" s="411">
        <f t="shared" si="8"/>
        <v>9.6999999999999993</v>
      </c>
      <c r="AB33" s="411">
        <f t="shared" si="8"/>
        <v>10.4</v>
      </c>
    </row>
    <row r="34" spans="2:28">
      <c r="B34" s="51" t="s">
        <v>83</v>
      </c>
      <c r="C34" s="64">
        <f t="shared" si="9"/>
        <v>11.8</v>
      </c>
      <c r="D34" s="64">
        <f t="shared" si="9"/>
        <v>12.5</v>
      </c>
      <c r="E34" s="64">
        <f t="shared" si="9"/>
        <v>12.5</v>
      </c>
      <c r="F34" s="64">
        <f t="shared" si="9"/>
        <v>13.9</v>
      </c>
      <c r="G34" s="64">
        <f t="shared" si="9"/>
        <v>13.7</v>
      </c>
      <c r="H34" s="64">
        <f t="shared" si="9"/>
        <v>14.8</v>
      </c>
      <c r="I34" s="64">
        <f t="shared" si="9"/>
        <v>16.600000000000001</v>
      </c>
      <c r="J34" s="64">
        <f t="shared" si="9"/>
        <v>19.100000000000001</v>
      </c>
      <c r="K34" s="64">
        <f t="shared" si="9"/>
        <v>20.399999999999999</v>
      </c>
      <c r="L34" s="64">
        <f t="shared" si="8"/>
        <v>21.4</v>
      </c>
      <c r="M34" s="64">
        <f t="shared" si="8"/>
        <v>22.9</v>
      </c>
      <c r="N34" s="64">
        <f t="shared" si="8"/>
        <v>23.8</v>
      </c>
      <c r="O34" s="64">
        <f t="shared" si="8"/>
        <v>24.8</v>
      </c>
      <c r="P34" s="64">
        <f t="shared" si="8"/>
        <v>25.5</v>
      </c>
      <c r="Q34" s="64">
        <f t="shared" si="8"/>
        <v>29.3</v>
      </c>
      <c r="R34" s="64">
        <f t="shared" si="8"/>
        <v>30.1</v>
      </c>
      <c r="S34" s="64">
        <f t="shared" si="8"/>
        <v>29.3</v>
      </c>
      <c r="T34" s="64">
        <f t="shared" si="8"/>
        <v>30.4</v>
      </c>
      <c r="U34" s="64">
        <f t="shared" si="8"/>
        <v>31.6</v>
      </c>
      <c r="V34" s="64">
        <f>ROUND(V25,1)</f>
        <v>32.4</v>
      </c>
      <c r="W34" s="66">
        <f t="shared" si="8"/>
        <v>34.4</v>
      </c>
      <c r="X34" s="66">
        <f t="shared" si="8"/>
        <v>31.7</v>
      </c>
      <c r="Y34" s="66">
        <f t="shared" si="8"/>
        <v>31.5</v>
      </c>
      <c r="Z34" s="66">
        <f t="shared" si="8"/>
        <v>32.6</v>
      </c>
      <c r="AA34" s="66">
        <f t="shared" si="8"/>
        <v>29.3</v>
      </c>
      <c r="AB34" s="66">
        <f t="shared" si="8"/>
        <v>34.4</v>
      </c>
    </row>
    <row r="35" spans="2:28">
      <c r="B35" s="51" t="s">
        <v>84</v>
      </c>
      <c r="C35" s="64">
        <f t="shared" si="9"/>
        <v>18.100000000000001</v>
      </c>
      <c r="D35" s="64">
        <f t="shared" si="9"/>
        <v>18.3</v>
      </c>
      <c r="E35" s="64">
        <f t="shared" si="9"/>
        <v>17.5</v>
      </c>
      <c r="F35" s="64">
        <f t="shared" si="9"/>
        <v>18.100000000000001</v>
      </c>
      <c r="G35" s="64">
        <f t="shared" si="9"/>
        <v>18.5</v>
      </c>
      <c r="H35" s="64">
        <f t="shared" si="9"/>
        <v>18.399999999999999</v>
      </c>
      <c r="I35" s="64">
        <f t="shared" si="9"/>
        <v>18.399999999999999</v>
      </c>
      <c r="J35" s="64">
        <f>ROUND(J26,1)-0.1</f>
        <v>18.799999999999997</v>
      </c>
      <c r="K35" s="64">
        <f t="shared" si="9"/>
        <v>18.3</v>
      </c>
      <c r="L35" s="64">
        <f t="shared" si="8"/>
        <v>17.8</v>
      </c>
      <c r="M35" s="64">
        <f t="shared" si="8"/>
        <v>17.5</v>
      </c>
      <c r="N35" s="64">
        <f t="shared" si="8"/>
        <v>17.5</v>
      </c>
      <c r="O35" s="64">
        <f t="shared" si="8"/>
        <v>16.5</v>
      </c>
      <c r="P35" s="64">
        <f t="shared" si="8"/>
        <v>14.6</v>
      </c>
      <c r="Q35" s="64">
        <f t="shared" si="8"/>
        <v>14.6</v>
      </c>
      <c r="R35" s="64">
        <f t="shared" si="8"/>
        <v>14.6</v>
      </c>
      <c r="S35" s="64">
        <f t="shared" si="8"/>
        <v>13.7</v>
      </c>
      <c r="T35" s="64">
        <f t="shared" si="8"/>
        <v>12.7</v>
      </c>
      <c r="U35" s="64">
        <f t="shared" si="8"/>
        <v>12.7</v>
      </c>
      <c r="V35" s="64">
        <f>ROUND(V26,1)</f>
        <v>12.5</v>
      </c>
      <c r="W35" s="66">
        <f t="shared" si="8"/>
        <v>12.5</v>
      </c>
      <c r="X35" s="66">
        <f t="shared" si="8"/>
        <v>17.3</v>
      </c>
      <c r="Y35" s="66">
        <f t="shared" si="8"/>
        <v>17.2</v>
      </c>
      <c r="Z35" s="66">
        <f t="shared" si="8"/>
        <v>17.3</v>
      </c>
      <c r="AA35" s="66">
        <f t="shared" si="8"/>
        <v>15.2</v>
      </c>
      <c r="AB35" s="66">
        <f t="shared" si="8"/>
        <v>15.7</v>
      </c>
    </row>
    <row r="36" spans="2:28">
      <c r="B36" s="51" t="s">
        <v>73</v>
      </c>
      <c r="C36" s="64">
        <f t="shared" ref="C36:W36" si="10">SUM(C31:C35)</f>
        <v>100</v>
      </c>
      <c r="D36" s="64">
        <f t="shared" si="10"/>
        <v>100</v>
      </c>
      <c r="E36" s="64">
        <f t="shared" si="10"/>
        <v>100</v>
      </c>
      <c r="F36" s="64">
        <f t="shared" si="10"/>
        <v>100</v>
      </c>
      <c r="G36" s="64">
        <f t="shared" si="10"/>
        <v>100</v>
      </c>
      <c r="H36" s="64">
        <f t="shared" si="10"/>
        <v>100</v>
      </c>
      <c r="I36" s="64">
        <f t="shared" si="10"/>
        <v>100</v>
      </c>
      <c r="J36" s="64">
        <f t="shared" si="10"/>
        <v>100.00000000000001</v>
      </c>
      <c r="K36" s="64">
        <f t="shared" si="10"/>
        <v>99.999999999999986</v>
      </c>
      <c r="L36" s="64">
        <f t="shared" si="10"/>
        <v>100</v>
      </c>
      <c r="M36" s="64">
        <f t="shared" si="10"/>
        <v>100</v>
      </c>
      <c r="N36" s="64">
        <f t="shared" si="10"/>
        <v>100</v>
      </c>
      <c r="O36" s="64">
        <f t="shared" si="10"/>
        <v>100</v>
      </c>
      <c r="P36" s="64">
        <f t="shared" si="10"/>
        <v>100</v>
      </c>
      <c r="Q36" s="64">
        <f t="shared" si="10"/>
        <v>100</v>
      </c>
      <c r="R36" s="64">
        <f t="shared" si="10"/>
        <v>100</v>
      </c>
      <c r="S36" s="64">
        <f t="shared" si="10"/>
        <v>100</v>
      </c>
      <c r="T36" s="64">
        <f t="shared" si="10"/>
        <v>100</v>
      </c>
      <c r="U36" s="64">
        <f t="shared" si="10"/>
        <v>100.00000000000001</v>
      </c>
      <c r="V36" s="64">
        <f>SUM(V31:V35)</f>
        <v>100</v>
      </c>
      <c r="W36" s="66">
        <f t="shared" si="10"/>
        <v>100</v>
      </c>
      <c r="X36" s="66">
        <f>SUM(X31:X35)</f>
        <v>99.899999999999991</v>
      </c>
      <c r="Y36" s="66">
        <f>SUM(Y31:Y35)</f>
        <v>100.00000000000001</v>
      </c>
      <c r="Z36" s="66">
        <f>SUM(Z31:Z35)</f>
        <v>99.999999999999986</v>
      </c>
      <c r="AA36" s="66">
        <f>SUM(AA31:AA35)</f>
        <v>100</v>
      </c>
      <c r="AB36" s="66">
        <f>SUM(AB31:AB35)</f>
        <v>100</v>
      </c>
    </row>
    <row r="38" spans="2:28">
      <c r="B38" s="46" t="s">
        <v>60</v>
      </c>
    </row>
    <row r="39" spans="2:28" s="50" customFormat="1">
      <c r="B39" s="47"/>
      <c r="C39" s="61" t="s">
        <v>263</v>
      </c>
      <c r="D39" s="61" t="s">
        <v>264</v>
      </c>
      <c r="E39" s="48" t="s">
        <v>49</v>
      </c>
      <c r="F39" s="48" t="s">
        <v>50</v>
      </c>
      <c r="G39" s="61" t="s">
        <v>265</v>
      </c>
      <c r="H39" s="48" t="s">
        <v>53</v>
      </c>
      <c r="I39" s="49" t="s">
        <v>103</v>
      </c>
      <c r="J39" s="61" t="s">
        <v>285</v>
      </c>
      <c r="K39" s="49" t="s">
        <v>267</v>
      </c>
      <c r="L39" s="49" t="s">
        <v>268</v>
      </c>
      <c r="M39" s="49" t="s">
        <v>269</v>
      </c>
      <c r="N39" s="49" t="s">
        <v>278</v>
      </c>
      <c r="O39" s="49" t="s">
        <v>379</v>
      </c>
    </row>
    <row r="40" spans="2:28" s="50" customFormat="1">
      <c r="B40" s="51" t="s">
        <v>81</v>
      </c>
      <c r="C40" s="52">
        <v>490419</v>
      </c>
      <c r="D40" s="52">
        <v>555592</v>
      </c>
      <c r="E40" s="52">
        <v>390207</v>
      </c>
      <c r="F40" s="52">
        <v>287916</v>
      </c>
      <c r="G40" s="52">
        <v>219703</v>
      </c>
      <c r="H40" s="52">
        <f>M5</f>
        <v>150545</v>
      </c>
      <c r="I40" s="53">
        <f>O5</f>
        <v>124207</v>
      </c>
      <c r="J40" s="53">
        <f>W5</f>
        <v>100112</v>
      </c>
      <c r="K40" s="53">
        <f>X5</f>
        <v>115757</v>
      </c>
      <c r="L40" s="53">
        <f t="shared" ref="L40:O45" si="11">Y5</f>
        <v>124704</v>
      </c>
      <c r="M40" s="53">
        <f t="shared" si="11"/>
        <v>157306</v>
      </c>
      <c r="N40" s="53">
        <f>AA5</f>
        <v>177781</v>
      </c>
      <c r="O40" s="53">
        <f>AB5</f>
        <v>213390</v>
      </c>
    </row>
    <row r="41" spans="2:28" s="50" customFormat="1">
      <c r="B41" s="51" t="s">
        <v>72</v>
      </c>
      <c r="C41" s="52">
        <f>C45-C44-C43-C40-C42</f>
        <v>657571</v>
      </c>
      <c r="D41" s="52">
        <f>D45-D44-D43-D40-D42</f>
        <v>658464</v>
      </c>
      <c r="E41" s="52">
        <f>E45-E44-E43-E40-E42</f>
        <v>672493</v>
      </c>
      <c r="F41" s="52">
        <f>F45-F44-F43-F40-F42</f>
        <v>641302</v>
      </c>
      <c r="G41" s="52">
        <f>G45-G44-G43-G40-G42</f>
        <v>629351</v>
      </c>
      <c r="H41" s="52">
        <f>M6</f>
        <v>587893</v>
      </c>
      <c r="I41" s="53">
        <f>O6</f>
        <v>573465</v>
      </c>
      <c r="J41" s="53">
        <f t="shared" ref="J41:K45" si="12">W6</f>
        <v>468576</v>
      </c>
      <c r="K41" s="53">
        <f t="shared" si="12"/>
        <v>508666</v>
      </c>
      <c r="L41" s="53">
        <f t="shared" si="11"/>
        <v>485989</v>
      </c>
      <c r="M41" s="53">
        <f t="shared" si="11"/>
        <v>497800</v>
      </c>
      <c r="N41" s="53">
        <f t="shared" si="11"/>
        <v>746213</v>
      </c>
      <c r="O41" s="53">
        <f t="shared" si="11"/>
        <v>561632</v>
      </c>
    </row>
    <row r="42" spans="2:28" s="50" customFormat="1">
      <c r="B42" s="51" t="s">
        <v>82</v>
      </c>
      <c r="C42" s="52">
        <v>145516</v>
      </c>
      <c r="D42" s="52">
        <v>166464</v>
      </c>
      <c r="E42" s="52">
        <v>199166</v>
      </c>
      <c r="F42" s="52">
        <v>233813</v>
      </c>
      <c r="G42" s="52">
        <v>218849</v>
      </c>
      <c r="H42" s="52">
        <f>M7</f>
        <v>207507</v>
      </c>
      <c r="I42" s="53">
        <f>O7</f>
        <v>213802</v>
      </c>
      <c r="J42" s="53">
        <f t="shared" si="12"/>
        <v>265961</v>
      </c>
      <c r="K42" s="53">
        <f t="shared" si="12"/>
        <v>262980</v>
      </c>
      <c r="L42" s="53">
        <f t="shared" si="11"/>
        <v>292271</v>
      </c>
      <c r="M42" s="53">
        <f t="shared" si="11"/>
        <v>225144</v>
      </c>
      <c r="N42" s="53">
        <f t="shared" si="11"/>
        <v>195501</v>
      </c>
      <c r="O42" s="53">
        <f t="shared" si="11"/>
        <v>204626</v>
      </c>
    </row>
    <row r="43" spans="2:28" s="50" customFormat="1">
      <c r="B43" s="51" t="s">
        <v>83</v>
      </c>
      <c r="C43" s="52">
        <v>217325</v>
      </c>
      <c r="D43" s="52">
        <v>246904</v>
      </c>
      <c r="E43" s="52">
        <v>255380</v>
      </c>
      <c r="F43" s="52">
        <v>296340</v>
      </c>
      <c r="G43" s="52">
        <v>327848</v>
      </c>
      <c r="H43" s="52">
        <f>M8</f>
        <v>363149</v>
      </c>
      <c r="I43" s="53">
        <f>O8</f>
        <v>384863</v>
      </c>
      <c r="J43" s="53">
        <f t="shared" si="12"/>
        <v>541680</v>
      </c>
      <c r="K43" s="53">
        <f t="shared" si="12"/>
        <v>552538</v>
      </c>
      <c r="L43" s="53">
        <f t="shared" si="11"/>
        <v>553538</v>
      </c>
      <c r="M43" s="53">
        <f t="shared" si="11"/>
        <v>572052</v>
      </c>
      <c r="N43" s="53">
        <f t="shared" si="11"/>
        <v>589363</v>
      </c>
      <c r="O43" s="53">
        <f t="shared" si="11"/>
        <v>675283</v>
      </c>
    </row>
    <row r="44" spans="2:28" s="50" customFormat="1">
      <c r="B44" s="51" t="s">
        <v>84</v>
      </c>
      <c r="C44" s="52">
        <v>333494</v>
      </c>
      <c r="D44" s="52">
        <v>344027</v>
      </c>
      <c r="E44" s="52">
        <v>343620</v>
      </c>
      <c r="F44" s="52">
        <v>328600</v>
      </c>
      <c r="G44" s="52">
        <v>324236</v>
      </c>
      <c r="H44" s="52">
        <f>M9</f>
        <v>278549</v>
      </c>
      <c r="I44" s="53">
        <f>O9</f>
        <v>256522</v>
      </c>
      <c r="J44" s="53">
        <f t="shared" si="12"/>
        <v>196519</v>
      </c>
      <c r="K44" s="53">
        <f t="shared" si="12"/>
        <v>300874</v>
      </c>
      <c r="L44" s="53">
        <f t="shared" si="11"/>
        <v>302071</v>
      </c>
      <c r="M44" s="53">
        <f t="shared" si="11"/>
        <v>304487</v>
      </c>
      <c r="N44" s="53">
        <f t="shared" si="11"/>
        <v>305796</v>
      </c>
      <c r="O44" s="53">
        <f t="shared" si="11"/>
        <v>307225</v>
      </c>
    </row>
    <row r="45" spans="2:28" s="50" customFormat="1">
      <c r="B45" s="51" t="s">
        <v>73</v>
      </c>
      <c r="C45" s="52">
        <v>1844325</v>
      </c>
      <c r="D45" s="52">
        <v>1971451</v>
      </c>
      <c r="E45" s="52">
        <v>1860866</v>
      </c>
      <c r="F45" s="52">
        <v>1787971</v>
      </c>
      <c r="G45" s="52">
        <v>1719987</v>
      </c>
      <c r="H45" s="52">
        <f>SUM(H40:H44)</f>
        <v>1587643</v>
      </c>
      <c r="I45" s="52">
        <f>SUM(I40:I44)</f>
        <v>1552859</v>
      </c>
      <c r="J45" s="53">
        <f t="shared" si="12"/>
        <v>1572848</v>
      </c>
      <c r="K45" s="53">
        <f t="shared" si="12"/>
        <v>1740813</v>
      </c>
      <c r="L45" s="53">
        <f t="shared" si="11"/>
        <v>1758572</v>
      </c>
      <c r="M45" s="53">
        <f t="shared" si="11"/>
        <v>1756789</v>
      </c>
      <c r="N45" s="53">
        <f t="shared" si="11"/>
        <v>2014653</v>
      </c>
      <c r="O45" s="53">
        <f t="shared" si="11"/>
        <v>1962155</v>
      </c>
    </row>
    <row r="46" spans="2:28" s="50" customFormat="1">
      <c r="B46" s="407"/>
      <c r="C46" s="59">
        <f t="shared" ref="C46:F46" si="13">SUM(C40:C44)-C45</f>
        <v>0</v>
      </c>
      <c r="D46" s="59">
        <f t="shared" si="13"/>
        <v>0</v>
      </c>
      <c r="E46" s="59">
        <f t="shared" si="13"/>
        <v>0</v>
      </c>
      <c r="F46" s="59">
        <f t="shared" si="13"/>
        <v>0</v>
      </c>
      <c r="G46" s="59">
        <f t="shared" ref="G46:N46" si="14">SUM(G40:G44)-G45</f>
        <v>0</v>
      </c>
      <c r="H46" s="59">
        <f t="shared" si="14"/>
        <v>0</v>
      </c>
      <c r="I46" s="59">
        <f t="shared" si="14"/>
        <v>0</v>
      </c>
      <c r="J46" s="59">
        <f t="shared" si="14"/>
        <v>0</v>
      </c>
      <c r="K46" s="59">
        <f t="shared" si="14"/>
        <v>2</v>
      </c>
      <c r="L46" s="59">
        <f t="shared" si="14"/>
        <v>1</v>
      </c>
      <c r="M46" s="59">
        <f t="shared" si="14"/>
        <v>0</v>
      </c>
      <c r="N46" s="59">
        <f t="shared" si="14"/>
        <v>1</v>
      </c>
      <c r="O46" s="59">
        <f t="shared" ref="O46" si="15">SUM(O40:O44)-O45</f>
        <v>1</v>
      </c>
    </row>
    <row r="47" spans="2:28">
      <c r="B47" s="412" t="s">
        <v>114</v>
      </c>
    </row>
    <row r="48" spans="2:28" s="50" customFormat="1">
      <c r="B48" s="47"/>
      <c r="C48" s="61" t="s">
        <v>287</v>
      </c>
      <c r="D48" s="61" t="s">
        <v>264</v>
      </c>
      <c r="E48" s="48" t="s">
        <v>49</v>
      </c>
      <c r="F48" s="48" t="s">
        <v>50</v>
      </c>
      <c r="G48" s="61" t="s">
        <v>265</v>
      </c>
      <c r="H48" s="48" t="s">
        <v>53</v>
      </c>
      <c r="I48" s="49" t="s">
        <v>103</v>
      </c>
      <c r="J48" s="61" t="s">
        <v>285</v>
      </c>
      <c r="K48" s="49" t="s">
        <v>267</v>
      </c>
      <c r="L48" s="49" t="s">
        <v>268</v>
      </c>
      <c r="M48" s="49" t="s">
        <v>269</v>
      </c>
      <c r="N48" s="49" t="s">
        <v>278</v>
      </c>
      <c r="O48" s="49" t="s">
        <v>379</v>
      </c>
    </row>
    <row r="49" spans="2:15" s="50" customFormat="1">
      <c r="B49" s="51" t="s">
        <v>81</v>
      </c>
      <c r="C49" s="58">
        <f t="shared" ref="C49:F54" si="16">ROUND(C40/100,0)</f>
        <v>4904</v>
      </c>
      <c r="D49" s="58">
        <f t="shared" si="16"/>
        <v>5556</v>
      </c>
      <c r="E49" s="58">
        <f t="shared" si="16"/>
        <v>3902</v>
      </c>
      <c r="F49" s="58">
        <f t="shared" si="16"/>
        <v>2879</v>
      </c>
      <c r="G49" s="58">
        <f>ROUND(G40/100,0)</f>
        <v>2197</v>
      </c>
      <c r="H49" s="58">
        <f>ROUND(H40/100,0)</f>
        <v>1505</v>
      </c>
      <c r="I49" s="58">
        <f>ROUND(I40/100,0)</f>
        <v>1242</v>
      </c>
      <c r="J49" s="58">
        <f>ROUND(J40/100,0)</f>
        <v>1001</v>
      </c>
      <c r="K49" s="58">
        <f t="shared" ref="K49:O54" si="17">ROUND(K40/100,0)</f>
        <v>1158</v>
      </c>
      <c r="L49" s="55">
        <f t="shared" si="17"/>
        <v>1247</v>
      </c>
      <c r="M49" s="55">
        <f t="shared" si="17"/>
        <v>1573</v>
      </c>
      <c r="N49" s="55">
        <f>ROUND(N40/100,0)</f>
        <v>1778</v>
      </c>
      <c r="O49" s="55">
        <f>ROUND(O40/100,0)</f>
        <v>2134</v>
      </c>
    </row>
    <row r="50" spans="2:15" s="50" customFormat="1">
      <c r="B50" s="51" t="s">
        <v>72</v>
      </c>
      <c r="C50" s="58">
        <f t="shared" si="16"/>
        <v>6576</v>
      </c>
      <c r="D50" s="58">
        <f t="shared" si="16"/>
        <v>6585</v>
      </c>
      <c r="E50" s="58">
        <f t="shared" si="16"/>
        <v>6725</v>
      </c>
      <c r="F50" s="58">
        <f t="shared" si="16"/>
        <v>6413</v>
      </c>
      <c r="G50" s="58">
        <f>ROUND(G41/100,0)+1</f>
        <v>6295</v>
      </c>
      <c r="H50" s="58">
        <f t="shared" ref="H50:J51" si="18">ROUND(H41/100,0)</f>
        <v>5879</v>
      </c>
      <c r="I50" s="58">
        <f t="shared" si="18"/>
        <v>5735</v>
      </c>
      <c r="J50" s="58">
        <f t="shared" si="18"/>
        <v>4686</v>
      </c>
      <c r="K50" s="58">
        <f t="shared" si="17"/>
        <v>5087</v>
      </c>
      <c r="L50" s="55">
        <f t="shared" si="17"/>
        <v>4860</v>
      </c>
      <c r="M50" s="55">
        <f t="shared" si="17"/>
        <v>4978</v>
      </c>
      <c r="N50" s="55">
        <f t="shared" si="17"/>
        <v>7462</v>
      </c>
      <c r="O50" s="55">
        <f t="shared" si="17"/>
        <v>5616</v>
      </c>
    </row>
    <row r="51" spans="2:15" s="50" customFormat="1">
      <c r="B51" s="51" t="s">
        <v>82</v>
      </c>
      <c r="C51" s="58">
        <f t="shared" si="16"/>
        <v>1455</v>
      </c>
      <c r="D51" s="58">
        <f t="shared" si="16"/>
        <v>1665</v>
      </c>
      <c r="E51" s="58">
        <f t="shared" si="16"/>
        <v>1992</v>
      </c>
      <c r="F51" s="58">
        <f t="shared" si="16"/>
        <v>2338</v>
      </c>
      <c r="G51" s="58">
        <f>ROUND(G42/100,0)</f>
        <v>2188</v>
      </c>
      <c r="H51" s="58">
        <f t="shared" si="18"/>
        <v>2075</v>
      </c>
      <c r="I51" s="58">
        <f t="shared" si="18"/>
        <v>2138</v>
      </c>
      <c r="J51" s="58">
        <f t="shared" si="18"/>
        <v>2660</v>
      </c>
      <c r="K51" s="58">
        <f t="shared" si="17"/>
        <v>2630</v>
      </c>
      <c r="L51" s="55">
        <f t="shared" si="17"/>
        <v>2923</v>
      </c>
      <c r="M51" s="55">
        <f t="shared" si="17"/>
        <v>2251</v>
      </c>
      <c r="N51" s="55">
        <f t="shared" si="17"/>
        <v>1955</v>
      </c>
      <c r="O51" s="55">
        <f t="shared" si="17"/>
        <v>2046</v>
      </c>
    </row>
    <row r="52" spans="2:15" s="50" customFormat="1">
      <c r="B52" s="51" t="s">
        <v>83</v>
      </c>
      <c r="C52" s="58">
        <f t="shared" si="16"/>
        <v>2173</v>
      </c>
      <c r="D52" s="58">
        <f t="shared" si="16"/>
        <v>2469</v>
      </c>
      <c r="E52" s="58">
        <f t="shared" si="16"/>
        <v>2554</v>
      </c>
      <c r="F52" s="58">
        <f>ROUND(F43/100,0)+1</f>
        <v>2964</v>
      </c>
      <c r="G52" s="58">
        <f>ROUND(G43/100,0)</f>
        <v>3278</v>
      </c>
      <c r="H52" s="58">
        <f>ROUND(H43/100,0)</f>
        <v>3631</v>
      </c>
      <c r="I52" s="58">
        <f>ROUND(I43/100,0)</f>
        <v>3849</v>
      </c>
      <c r="J52" s="58">
        <f>ROUND(J43/100,0)+1</f>
        <v>5418</v>
      </c>
      <c r="K52" s="58">
        <f t="shared" si="17"/>
        <v>5525</v>
      </c>
      <c r="L52" s="55">
        <f t="shared" si="17"/>
        <v>5535</v>
      </c>
      <c r="M52" s="55">
        <f t="shared" si="17"/>
        <v>5721</v>
      </c>
      <c r="N52" s="55">
        <f t="shared" si="17"/>
        <v>5894</v>
      </c>
      <c r="O52" s="55">
        <f t="shared" si="17"/>
        <v>6753</v>
      </c>
    </row>
    <row r="53" spans="2:15" s="50" customFormat="1">
      <c r="B53" s="51" t="s">
        <v>84</v>
      </c>
      <c r="C53" s="58">
        <f t="shared" si="16"/>
        <v>3335</v>
      </c>
      <c r="D53" s="58">
        <f t="shared" si="16"/>
        <v>3440</v>
      </c>
      <c r="E53" s="58">
        <f t="shared" si="16"/>
        <v>3436</v>
      </c>
      <c r="F53" s="58">
        <f t="shared" si="16"/>
        <v>3286</v>
      </c>
      <c r="G53" s="58">
        <f>ROUND(G44/100,0)</f>
        <v>3242</v>
      </c>
      <c r="H53" s="58">
        <f>ROUND(H44/100,0)+1</f>
        <v>2786</v>
      </c>
      <c r="I53" s="58">
        <f>ROUND(I44/100,0)</f>
        <v>2565</v>
      </c>
      <c r="J53" s="58">
        <f>ROUND(J44/100,0)</f>
        <v>1965</v>
      </c>
      <c r="K53" s="58">
        <f t="shared" si="17"/>
        <v>3009</v>
      </c>
      <c r="L53" s="55">
        <f t="shared" si="17"/>
        <v>3021</v>
      </c>
      <c r="M53" s="55">
        <f t="shared" si="17"/>
        <v>3045</v>
      </c>
      <c r="N53" s="55">
        <f t="shared" si="17"/>
        <v>3058</v>
      </c>
      <c r="O53" s="55">
        <f t="shared" si="17"/>
        <v>3072</v>
      </c>
    </row>
    <row r="54" spans="2:15" s="50" customFormat="1">
      <c r="B54" s="51" t="s">
        <v>73</v>
      </c>
      <c r="C54" s="58">
        <f t="shared" si="16"/>
        <v>18443</v>
      </c>
      <c r="D54" s="58">
        <f t="shared" si="16"/>
        <v>19715</v>
      </c>
      <c r="E54" s="58">
        <f t="shared" si="16"/>
        <v>18609</v>
      </c>
      <c r="F54" s="58">
        <f t="shared" si="16"/>
        <v>17880</v>
      </c>
      <c r="G54" s="58">
        <f>ROUND(G45/100,0)</f>
        <v>17200</v>
      </c>
      <c r="H54" s="58">
        <f>ROUND(H45/100,0)</f>
        <v>15876</v>
      </c>
      <c r="I54" s="58">
        <f>ROUND(I45/100,0)</f>
        <v>15529</v>
      </c>
      <c r="J54" s="58">
        <f>ROUND(J45/100,0)</f>
        <v>15728</v>
      </c>
      <c r="K54" s="58">
        <f t="shared" si="17"/>
        <v>17408</v>
      </c>
      <c r="L54" s="55">
        <f t="shared" si="17"/>
        <v>17586</v>
      </c>
      <c r="M54" s="55">
        <f t="shared" si="17"/>
        <v>17568</v>
      </c>
      <c r="N54" s="55">
        <f t="shared" si="17"/>
        <v>20147</v>
      </c>
      <c r="O54" s="55">
        <f t="shared" si="17"/>
        <v>19622</v>
      </c>
    </row>
    <row r="55" spans="2:15">
      <c r="L55" s="412"/>
      <c r="M55" s="412"/>
      <c r="N55" s="412"/>
      <c r="O55" s="412"/>
    </row>
    <row r="56" spans="2:15">
      <c r="B56" s="413" t="s">
        <v>85</v>
      </c>
      <c r="C56" s="413"/>
      <c r="D56" s="413"/>
      <c r="E56" s="65"/>
      <c r="F56" s="65"/>
      <c r="G56" s="65"/>
      <c r="L56" s="412"/>
      <c r="M56" s="412"/>
      <c r="N56" s="412"/>
      <c r="O56" s="412"/>
    </row>
    <row r="57" spans="2:15">
      <c r="B57" s="71"/>
      <c r="C57" s="61" t="s">
        <v>47</v>
      </c>
      <c r="D57" s="61" t="s">
        <v>48</v>
      </c>
      <c r="E57" s="61" t="s">
        <v>49</v>
      </c>
      <c r="F57" s="61" t="s">
        <v>50</v>
      </c>
      <c r="G57" s="61" t="s">
        <v>64</v>
      </c>
      <c r="H57" s="61" t="s">
        <v>53</v>
      </c>
      <c r="I57" s="61" t="s">
        <v>103</v>
      </c>
      <c r="J57" s="61" t="s">
        <v>285</v>
      </c>
      <c r="K57" s="49" t="s">
        <v>267</v>
      </c>
      <c r="L57" s="49" t="s">
        <v>268</v>
      </c>
      <c r="M57" s="49" t="s">
        <v>269</v>
      </c>
      <c r="N57" s="49" t="s">
        <v>278</v>
      </c>
      <c r="O57" s="49" t="s">
        <v>379</v>
      </c>
    </row>
    <row r="58" spans="2:15">
      <c r="B58" s="75" t="s">
        <v>82</v>
      </c>
      <c r="C58" s="414">
        <v>145516</v>
      </c>
      <c r="D58" s="414">
        <v>166464</v>
      </c>
      <c r="E58" s="414">
        <v>199166</v>
      </c>
      <c r="F58" s="414">
        <v>233813</v>
      </c>
      <c r="G58" s="414">
        <v>218849</v>
      </c>
      <c r="H58" s="414">
        <f>M15</f>
        <v>207507</v>
      </c>
      <c r="I58" s="414">
        <f>O15</f>
        <v>213802</v>
      </c>
      <c r="J58" s="414">
        <f t="shared" ref="J58:O60" si="19">W15</f>
        <v>265961</v>
      </c>
      <c r="K58" s="414">
        <f t="shared" si="19"/>
        <v>262980</v>
      </c>
      <c r="L58" s="415">
        <f t="shared" si="19"/>
        <v>292271</v>
      </c>
      <c r="M58" s="415">
        <f t="shared" si="19"/>
        <v>225144</v>
      </c>
      <c r="N58" s="415">
        <f t="shared" si="19"/>
        <v>195501</v>
      </c>
      <c r="O58" s="415">
        <f t="shared" si="19"/>
        <v>204626</v>
      </c>
    </row>
    <row r="59" spans="2:15">
      <c r="B59" s="75" t="s">
        <v>83</v>
      </c>
      <c r="C59" s="414">
        <v>217325</v>
      </c>
      <c r="D59" s="414">
        <v>246904</v>
      </c>
      <c r="E59" s="414">
        <v>255380</v>
      </c>
      <c r="F59" s="414">
        <v>296340</v>
      </c>
      <c r="G59" s="414">
        <v>327848</v>
      </c>
      <c r="H59" s="414">
        <f>M16</f>
        <v>363149</v>
      </c>
      <c r="I59" s="414">
        <f>O16</f>
        <v>384863</v>
      </c>
      <c r="J59" s="414">
        <f t="shared" si="19"/>
        <v>541680</v>
      </c>
      <c r="K59" s="414">
        <f t="shared" si="19"/>
        <v>552538</v>
      </c>
      <c r="L59" s="415">
        <f t="shared" si="19"/>
        <v>553538</v>
      </c>
      <c r="M59" s="415">
        <f t="shared" si="19"/>
        <v>572052</v>
      </c>
      <c r="N59" s="415">
        <f t="shared" si="19"/>
        <v>589363</v>
      </c>
      <c r="O59" s="415">
        <f t="shared" si="19"/>
        <v>675283</v>
      </c>
    </row>
    <row r="60" spans="2:15">
      <c r="B60" s="75" t="s">
        <v>84</v>
      </c>
      <c r="C60" s="414">
        <v>333494</v>
      </c>
      <c r="D60" s="414">
        <v>344027</v>
      </c>
      <c r="E60" s="414">
        <v>343620</v>
      </c>
      <c r="F60" s="414">
        <v>328600</v>
      </c>
      <c r="G60" s="414">
        <v>324236</v>
      </c>
      <c r="H60" s="414">
        <f>M17</f>
        <v>278549</v>
      </c>
      <c r="I60" s="414">
        <f>O17</f>
        <v>256522</v>
      </c>
      <c r="J60" s="414">
        <f>W17</f>
        <v>196519</v>
      </c>
      <c r="K60" s="414">
        <f t="shared" si="19"/>
        <v>300874</v>
      </c>
      <c r="L60" s="415">
        <f t="shared" si="19"/>
        <v>302071</v>
      </c>
      <c r="M60" s="415">
        <f t="shared" si="19"/>
        <v>304487</v>
      </c>
      <c r="N60" s="415">
        <f t="shared" si="19"/>
        <v>305796</v>
      </c>
      <c r="O60" s="415">
        <f t="shared" si="19"/>
        <v>307225</v>
      </c>
    </row>
    <row r="61" spans="2:15">
      <c r="B61" s="75" t="s">
        <v>86</v>
      </c>
      <c r="C61" s="414">
        <f t="shared" ref="C61:J61" si="20">SUM(C58:C60)</f>
        <v>696335</v>
      </c>
      <c r="D61" s="414">
        <f t="shared" si="20"/>
        <v>757395</v>
      </c>
      <c r="E61" s="414">
        <f t="shared" si="20"/>
        <v>798166</v>
      </c>
      <c r="F61" s="414">
        <f t="shared" si="20"/>
        <v>858753</v>
      </c>
      <c r="G61" s="414">
        <f t="shared" si="20"/>
        <v>870933</v>
      </c>
      <c r="H61" s="414">
        <f t="shared" si="20"/>
        <v>849205</v>
      </c>
      <c r="I61" s="414">
        <f t="shared" si="20"/>
        <v>855187</v>
      </c>
      <c r="J61" s="414">
        <f t="shared" si="20"/>
        <v>1004160</v>
      </c>
      <c r="K61" s="414">
        <f>SUM(K58:K60)</f>
        <v>1116392</v>
      </c>
      <c r="L61" s="415">
        <f>SUM(L58:L60)</f>
        <v>1147880</v>
      </c>
      <c r="M61" s="415">
        <f>SUM(M58:M60)</f>
        <v>1101683</v>
      </c>
      <c r="N61" s="415">
        <f>SUM(N58:N60)</f>
        <v>1090660</v>
      </c>
      <c r="O61" s="415">
        <f>SUM(O58:O60)</f>
        <v>1187134</v>
      </c>
    </row>
    <row r="62" spans="2:15">
      <c r="B62" s="407"/>
      <c r="C62" s="59"/>
      <c r="D62" s="59"/>
      <c r="E62" s="59"/>
      <c r="F62" s="59"/>
      <c r="G62" s="59"/>
    </row>
    <row r="63" spans="2:15">
      <c r="B63" s="407"/>
      <c r="C63" s="59"/>
      <c r="D63" s="59"/>
      <c r="E63" s="59"/>
      <c r="F63" s="59"/>
      <c r="G63" s="59"/>
    </row>
    <row r="64" spans="2:15">
      <c r="B64" s="416" t="s">
        <v>85</v>
      </c>
      <c r="C64" s="417"/>
      <c r="D64" s="417"/>
      <c r="E64" s="418"/>
      <c r="F64" s="418"/>
      <c r="G64" s="418"/>
      <c r="H64" s="419"/>
      <c r="I64" s="419"/>
      <c r="J64" s="419"/>
      <c r="K64" s="419"/>
      <c r="L64" s="419"/>
      <c r="M64" s="419"/>
      <c r="N64" s="419"/>
      <c r="O64" s="419"/>
    </row>
    <row r="65" spans="2:15">
      <c r="B65" s="420"/>
      <c r="C65" s="61" t="s">
        <v>287</v>
      </c>
      <c r="D65" s="61" t="s">
        <v>264</v>
      </c>
      <c r="E65" s="61" t="s">
        <v>49</v>
      </c>
      <c r="F65" s="61" t="s">
        <v>50</v>
      </c>
      <c r="G65" s="61" t="s">
        <v>265</v>
      </c>
      <c r="H65" s="61" t="s">
        <v>53</v>
      </c>
      <c r="I65" s="61" t="s">
        <v>103</v>
      </c>
      <c r="J65" s="61" t="s">
        <v>285</v>
      </c>
      <c r="K65" s="49" t="s">
        <v>267</v>
      </c>
      <c r="L65" s="49" t="s">
        <v>268</v>
      </c>
      <c r="M65" s="49" t="s">
        <v>269</v>
      </c>
      <c r="N65" s="49" t="s">
        <v>278</v>
      </c>
      <c r="O65" s="49" t="s">
        <v>379</v>
      </c>
    </row>
    <row r="66" spans="2:15" ht="14.25">
      <c r="B66" s="421" t="s">
        <v>82</v>
      </c>
      <c r="C66" s="422">
        <f>C51</f>
        <v>1455</v>
      </c>
      <c r="D66" s="422">
        <f t="shared" ref="D66:J68" si="21">D51</f>
        <v>1665</v>
      </c>
      <c r="E66" s="422">
        <f t="shared" si="21"/>
        <v>1992</v>
      </c>
      <c r="F66" s="422">
        <f t="shared" si="21"/>
        <v>2338</v>
      </c>
      <c r="G66" s="422">
        <f>G51+1</f>
        <v>2189</v>
      </c>
      <c r="H66" s="422">
        <f t="shared" si="21"/>
        <v>2075</v>
      </c>
      <c r="I66" s="422">
        <f t="shared" si="21"/>
        <v>2138</v>
      </c>
      <c r="J66" s="422">
        <f>J51</f>
        <v>2660</v>
      </c>
      <c r="K66" s="422">
        <f>K51</f>
        <v>2630</v>
      </c>
      <c r="L66" s="423">
        <f>L51</f>
        <v>2923</v>
      </c>
      <c r="M66" s="423">
        <f t="shared" ref="K66:O68" si="22">M51</f>
        <v>2251</v>
      </c>
      <c r="N66" s="423">
        <f t="shared" si="22"/>
        <v>1955</v>
      </c>
      <c r="O66" s="423">
        <f t="shared" si="22"/>
        <v>2046</v>
      </c>
    </row>
    <row r="67" spans="2:15" ht="14.25">
      <c r="B67" s="421" t="s">
        <v>83</v>
      </c>
      <c r="C67" s="422">
        <f>C52</f>
        <v>2173</v>
      </c>
      <c r="D67" s="422">
        <f t="shared" si="21"/>
        <v>2469</v>
      </c>
      <c r="E67" s="422">
        <f t="shared" si="21"/>
        <v>2554</v>
      </c>
      <c r="F67" s="422">
        <f t="shared" si="21"/>
        <v>2964</v>
      </c>
      <c r="G67" s="422">
        <f t="shared" si="21"/>
        <v>3278</v>
      </c>
      <c r="H67" s="422">
        <f t="shared" si="21"/>
        <v>3631</v>
      </c>
      <c r="I67" s="422">
        <f t="shared" si="21"/>
        <v>3849</v>
      </c>
      <c r="J67" s="422">
        <f>J52-1</f>
        <v>5417</v>
      </c>
      <c r="K67" s="422">
        <f t="shared" si="22"/>
        <v>5525</v>
      </c>
      <c r="L67" s="423">
        <f>L52</f>
        <v>5535</v>
      </c>
      <c r="M67" s="423">
        <f t="shared" si="22"/>
        <v>5721</v>
      </c>
      <c r="N67" s="423">
        <f t="shared" si="22"/>
        <v>5894</v>
      </c>
      <c r="O67" s="423">
        <f t="shared" si="22"/>
        <v>6753</v>
      </c>
    </row>
    <row r="68" spans="2:15" ht="14.25">
      <c r="B68" s="421" t="s">
        <v>84</v>
      </c>
      <c r="C68" s="422">
        <f>C53</f>
        <v>3335</v>
      </c>
      <c r="D68" s="422">
        <f t="shared" si="21"/>
        <v>3440</v>
      </c>
      <c r="E68" s="422">
        <f t="shared" si="21"/>
        <v>3436</v>
      </c>
      <c r="F68" s="422">
        <f t="shared" si="21"/>
        <v>3286</v>
      </c>
      <c r="G68" s="422">
        <f t="shared" si="21"/>
        <v>3242</v>
      </c>
      <c r="H68" s="422">
        <f t="shared" si="21"/>
        <v>2786</v>
      </c>
      <c r="I68" s="422">
        <f t="shared" si="21"/>
        <v>2565</v>
      </c>
      <c r="J68" s="422">
        <f t="shared" si="21"/>
        <v>1965</v>
      </c>
      <c r="K68" s="422">
        <f t="shared" si="22"/>
        <v>3009</v>
      </c>
      <c r="L68" s="423">
        <f>L53</f>
        <v>3021</v>
      </c>
      <c r="M68" s="423">
        <f t="shared" si="22"/>
        <v>3045</v>
      </c>
      <c r="N68" s="423">
        <f>N53</f>
        <v>3058</v>
      </c>
      <c r="O68" s="423">
        <f>O53</f>
        <v>3072</v>
      </c>
    </row>
    <row r="69" spans="2:15" ht="14.25">
      <c r="B69" s="421" t="s">
        <v>86</v>
      </c>
      <c r="C69" s="422">
        <f>SUM(C66:C68)</f>
        <v>6963</v>
      </c>
      <c r="D69" s="422">
        <f t="shared" ref="D69:J69" si="23">SUM(D66:D68)</f>
        <v>7574</v>
      </c>
      <c r="E69" s="422">
        <f t="shared" si="23"/>
        <v>7982</v>
      </c>
      <c r="F69" s="422">
        <f t="shared" si="23"/>
        <v>8588</v>
      </c>
      <c r="G69" s="422">
        <f t="shared" si="23"/>
        <v>8709</v>
      </c>
      <c r="H69" s="422">
        <f t="shared" si="23"/>
        <v>8492</v>
      </c>
      <c r="I69" s="422">
        <f t="shared" si="23"/>
        <v>8552</v>
      </c>
      <c r="J69" s="422">
        <f t="shared" si="23"/>
        <v>10042</v>
      </c>
      <c r="K69" s="422">
        <f>SUM(K66:K68)</f>
        <v>11164</v>
      </c>
      <c r="L69" s="423">
        <f>SUM(L66:L68)</f>
        <v>11479</v>
      </c>
      <c r="M69" s="423">
        <f>SUM(M66:M68)</f>
        <v>11017</v>
      </c>
      <c r="N69" s="423">
        <f>SUM(N66:N68)</f>
        <v>10907</v>
      </c>
      <c r="O69" s="423">
        <f>SUM(O66:O68)</f>
        <v>11871</v>
      </c>
    </row>
    <row r="70" spans="2:15" ht="14.25">
      <c r="B70" s="424" t="s">
        <v>115</v>
      </c>
      <c r="C70" s="425">
        <f>ROUND(C61/100,0)</f>
        <v>6963</v>
      </c>
      <c r="D70" s="425">
        <f t="shared" ref="D70:J70" si="24">ROUND(D61/100,0)</f>
        <v>7574</v>
      </c>
      <c r="E70" s="425">
        <f t="shared" si="24"/>
        <v>7982</v>
      </c>
      <c r="F70" s="425">
        <f t="shared" si="24"/>
        <v>8588</v>
      </c>
      <c r="G70" s="425">
        <f t="shared" si="24"/>
        <v>8709</v>
      </c>
      <c r="H70" s="425">
        <f t="shared" si="24"/>
        <v>8492</v>
      </c>
      <c r="I70" s="425">
        <f t="shared" si="24"/>
        <v>8552</v>
      </c>
      <c r="J70" s="425">
        <f t="shared" si="24"/>
        <v>10042</v>
      </c>
      <c r="K70" s="425">
        <f>ROUND(K61/100,0)</f>
        <v>11164</v>
      </c>
      <c r="L70" s="425">
        <f>ROUND(L61/100,0)</f>
        <v>11479</v>
      </c>
      <c r="M70" s="425">
        <f>ROUND(M61/100,0)</f>
        <v>11017</v>
      </c>
      <c r="N70" s="425">
        <f>ROUND(N61/100,0)</f>
        <v>10907</v>
      </c>
      <c r="O70" s="425">
        <f>ROUND(O61/100,0)</f>
        <v>11871</v>
      </c>
    </row>
    <row r="71" spans="2:15" ht="14.25">
      <c r="B71" s="426"/>
      <c r="C71" s="427">
        <f>C69-C70</f>
        <v>0</v>
      </c>
      <c r="D71" s="427">
        <f t="shared" ref="D71:J71" si="25">D69-D70</f>
        <v>0</v>
      </c>
      <c r="E71" s="427">
        <f t="shared" si="25"/>
        <v>0</v>
      </c>
      <c r="F71" s="427">
        <f t="shared" si="25"/>
        <v>0</v>
      </c>
      <c r="G71" s="427">
        <f t="shared" si="25"/>
        <v>0</v>
      </c>
      <c r="H71" s="427">
        <f t="shared" si="25"/>
        <v>0</v>
      </c>
      <c r="I71" s="427">
        <f t="shared" si="25"/>
        <v>0</v>
      </c>
      <c r="J71" s="427">
        <f t="shared" si="25"/>
        <v>0</v>
      </c>
      <c r="K71" s="427">
        <f>K69-K70</f>
        <v>0</v>
      </c>
      <c r="L71" s="427">
        <f>L69-L70</f>
        <v>0</v>
      </c>
      <c r="M71" s="427">
        <f>M69-M70</f>
        <v>0</v>
      </c>
      <c r="N71" s="427">
        <f>N69-N70</f>
        <v>0</v>
      </c>
      <c r="O71" s="427">
        <f>O69-O70</f>
        <v>0</v>
      </c>
    </row>
    <row r="72" spans="2:15">
      <c r="B72" s="407"/>
      <c r="C72" s="59"/>
      <c r="D72" s="59"/>
      <c r="E72" s="59"/>
      <c r="F72" s="59"/>
      <c r="G72" s="59"/>
    </row>
    <row r="73" spans="2:15">
      <c r="B73" s="428" t="s">
        <v>77</v>
      </c>
      <c r="C73" s="428"/>
      <c r="D73" s="428"/>
    </row>
    <row r="74" spans="2:15">
      <c r="B74" s="47"/>
      <c r="C74" s="61" t="s">
        <v>47</v>
      </c>
      <c r="D74" s="61" t="s">
        <v>48</v>
      </c>
      <c r="E74" s="61" t="s">
        <v>49</v>
      </c>
      <c r="F74" s="61" t="s">
        <v>50</v>
      </c>
      <c r="G74" s="61" t="s">
        <v>64</v>
      </c>
      <c r="H74" s="61" t="s">
        <v>53</v>
      </c>
      <c r="I74" s="61" t="s">
        <v>103</v>
      </c>
      <c r="J74" s="61" t="s">
        <v>285</v>
      </c>
      <c r="K74" s="49" t="s">
        <v>267</v>
      </c>
      <c r="L74" s="49" t="s">
        <v>268</v>
      </c>
      <c r="M74" s="49" t="s">
        <v>269</v>
      </c>
      <c r="N74" s="49" t="s">
        <v>278</v>
      </c>
      <c r="O74" s="49" t="s">
        <v>379</v>
      </c>
    </row>
    <row r="75" spans="2:15">
      <c r="B75" s="51" t="s">
        <v>81</v>
      </c>
      <c r="C75" s="62">
        <f>C40/C$10*100</f>
        <v>26.590703916066854</v>
      </c>
      <c r="D75" s="62">
        <f>D40/E$10*100</f>
        <v>28.181882278585675</v>
      </c>
      <c r="E75" s="62">
        <f>E40/G$10*100</f>
        <v>20.969107931468468</v>
      </c>
      <c r="F75" s="62">
        <f>F40/I$10*100</f>
        <v>16.102945741289986</v>
      </c>
      <c r="G75" s="62">
        <f>G40/K$10*100</f>
        <v>12.908891031527936</v>
      </c>
      <c r="H75" s="62">
        <f>H40/M$10*100</f>
        <v>9.482295453071</v>
      </c>
      <c r="I75" s="62">
        <f>I40/O$10*100</f>
        <v>7.9986012896212726</v>
      </c>
      <c r="J75" s="62">
        <f>J40/O$10*100</f>
        <v>6.4469472115626729</v>
      </c>
      <c r="K75" s="62">
        <f t="shared" ref="K75:O79" si="26">K40/W$10*100</f>
        <v>7.3597067230908513</v>
      </c>
      <c r="L75" s="408">
        <f t="shared" si="26"/>
        <v>7.1635494450006982</v>
      </c>
      <c r="M75" s="408">
        <f t="shared" si="26"/>
        <v>8.9450986368485328</v>
      </c>
      <c r="N75" s="408">
        <f t="shared" si="26"/>
        <v>10.119655803855784</v>
      </c>
      <c r="O75" s="408">
        <f t="shared" si="26"/>
        <v>10.591898455962392</v>
      </c>
    </row>
    <row r="76" spans="2:15">
      <c r="B76" s="51" t="s">
        <v>72</v>
      </c>
      <c r="C76" s="62">
        <f>C41/C$10*100</f>
        <v>35.653748661434399</v>
      </c>
      <c r="D76" s="62">
        <f>D41/E$10*100</f>
        <v>33.399967840945578</v>
      </c>
      <c r="E76" s="62">
        <f>E41/G$10*100</f>
        <v>36.138711761083279</v>
      </c>
      <c r="F76" s="62">
        <f>F41/I$10*100</f>
        <v>35.867583982066826</v>
      </c>
      <c r="G76" s="62">
        <f>G41/K$10*100</f>
        <v>36.978209125879651</v>
      </c>
      <c r="H76" s="62">
        <f>H41/M$10*100</f>
        <v>37.029294369074158</v>
      </c>
      <c r="I76" s="62">
        <f>I41/O$10*100</f>
        <v>36.929624647183033</v>
      </c>
      <c r="J76" s="62">
        <f>J41/O$10*100</f>
        <v>30.175051308586294</v>
      </c>
      <c r="K76" s="62">
        <f t="shared" si="26"/>
        <v>32.34044230593166</v>
      </c>
      <c r="L76" s="408">
        <f t="shared" si="26"/>
        <v>27.917358153920034</v>
      </c>
      <c r="M76" s="408">
        <f t="shared" si="26"/>
        <v>28.307058226788556</v>
      </c>
      <c r="N76" s="408">
        <f t="shared" si="26"/>
        <v>42.475960402757529</v>
      </c>
      <c r="O76" s="408">
        <f t="shared" si="26"/>
        <v>27.877356547256525</v>
      </c>
    </row>
    <row r="77" spans="2:15">
      <c r="B77" s="51" t="s">
        <v>82</v>
      </c>
      <c r="C77" s="62">
        <f>C42/C$10*100</f>
        <v>7.8899326311794287</v>
      </c>
      <c r="D77" s="62">
        <f>D42/E$10*100</f>
        <v>8.4437300242308826</v>
      </c>
      <c r="E77" s="62">
        <f>E42/G$10*100</f>
        <v>10.702866299884032</v>
      </c>
      <c r="F77" s="62">
        <f>F42/I$10*100</f>
        <v>13.077001808194877</v>
      </c>
      <c r="G77" s="62">
        <f>G42/K$10*100</f>
        <v>12.858713323709084</v>
      </c>
      <c r="H77" s="62">
        <f>H42/M$10*100</f>
        <v>13.070129745792977</v>
      </c>
      <c r="I77" s="62">
        <f>I42/O$10*100</f>
        <v>13.768281601871129</v>
      </c>
      <c r="J77" s="62">
        <f>J42/O$10*100</f>
        <v>17.127182828576192</v>
      </c>
      <c r="K77" s="62">
        <f t="shared" si="26"/>
        <v>16.719988199749753</v>
      </c>
      <c r="L77" s="408">
        <f t="shared" si="26"/>
        <v>16.78933923402456</v>
      </c>
      <c r="M77" s="408">
        <f t="shared" si="26"/>
        <v>12.802660340321578</v>
      </c>
      <c r="N77" s="408">
        <f t="shared" si="26"/>
        <v>11.128314214171423</v>
      </c>
      <c r="O77" s="408">
        <f t="shared" si="26"/>
        <v>10.156885577814146</v>
      </c>
    </row>
    <row r="78" spans="2:15">
      <c r="B78" s="51" t="s">
        <v>83</v>
      </c>
      <c r="C78" s="62">
        <f>C43/C$10*100</f>
        <v>11.783443807354994</v>
      </c>
      <c r="D78" s="62">
        <f>D43/E$10*100</f>
        <v>12.523973459142528</v>
      </c>
      <c r="E78" s="62">
        <f>E43/G$10*100</f>
        <v>13.723717881889399</v>
      </c>
      <c r="F78" s="62">
        <f>F43/I$10*100</f>
        <v>16.574094322558921</v>
      </c>
      <c r="G78" s="62">
        <f>G43/K$10*100</f>
        <v>19.263069265801423</v>
      </c>
      <c r="H78" s="62">
        <f>H43/M$10*100</f>
        <v>22.873467145951576</v>
      </c>
      <c r="I78" s="62">
        <f>I43/O$10*100</f>
        <v>24.78415619190152</v>
      </c>
      <c r="J78" s="62">
        <f>J43/O$10*100</f>
        <v>34.882754970026255</v>
      </c>
      <c r="K78" s="62">
        <f t="shared" si="26"/>
        <v>35.129777321139741</v>
      </c>
      <c r="L78" s="408">
        <f t="shared" si="26"/>
        <v>31.797671547719368</v>
      </c>
      <c r="M78" s="408">
        <f t="shared" si="26"/>
        <v>32.529347675272888</v>
      </c>
      <c r="N78" s="408">
        <f t="shared" si="26"/>
        <v>33.54773965456296</v>
      </c>
      <c r="O78" s="408">
        <f t="shared" si="26"/>
        <v>33.518576151823666</v>
      </c>
    </row>
    <row r="79" spans="2:15">
      <c r="B79" s="51" t="s">
        <v>84</v>
      </c>
      <c r="C79" s="62">
        <f>C44/C$10*100</f>
        <v>18.082170983964325</v>
      </c>
      <c r="D79" s="62">
        <f>D44/E$10*100</f>
        <v>17.450446397095337</v>
      </c>
      <c r="E79" s="62">
        <f>E44/G$10*100</f>
        <v>18.465596125674821</v>
      </c>
      <c r="F79" s="62">
        <f>F44/I$10*100</f>
        <v>18.378374145889389</v>
      </c>
      <c r="G79" s="62">
        <f>G44/K$10*100</f>
        <v>19.050842239288908</v>
      </c>
      <c r="H79" s="62">
        <f>H44/M$10*100</f>
        <v>17.544813286110291</v>
      </c>
      <c r="I79" s="62">
        <f>I44/O$10*100</f>
        <v>16.519336269423047</v>
      </c>
      <c r="J79" s="62">
        <f>J44/O$10*100</f>
        <v>12.655302252168418</v>
      </c>
      <c r="K79" s="62">
        <f t="shared" si="26"/>
        <v>19.129248344404544</v>
      </c>
      <c r="L79" s="408">
        <f t="shared" si="26"/>
        <v>17.352294588792709</v>
      </c>
      <c r="M79" s="408">
        <f t="shared" si="26"/>
        <v>17.314446039172694</v>
      </c>
      <c r="N79" s="408">
        <f t="shared" si="26"/>
        <v>17.406529754000051</v>
      </c>
      <c r="O79" s="408">
        <f t="shared" si="26"/>
        <v>15.249524359778086</v>
      </c>
    </row>
    <row r="80" spans="2:15">
      <c r="B80" s="51" t="s">
        <v>73</v>
      </c>
      <c r="C80" s="62">
        <f t="shared" ref="C80:I80" si="27">SUM(C75:C79)</f>
        <v>100</v>
      </c>
      <c r="D80" s="62">
        <f t="shared" si="27"/>
        <v>100</v>
      </c>
      <c r="E80" s="62">
        <f t="shared" si="27"/>
        <v>100</v>
      </c>
      <c r="F80" s="62">
        <f t="shared" si="27"/>
        <v>100</v>
      </c>
      <c r="G80" s="62">
        <f t="shared" si="27"/>
        <v>101.059724986207</v>
      </c>
      <c r="H80" s="62">
        <f t="shared" si="27"/>
        <v>100</v>
      </c>
      <c r="I80" s="62">
        <f t="shared" si="27"/>
        <v>100</v>
      </c>
      <c r="J80" s="62">
        <f t="shared" ref="J80:O80" si="28">SUM(J75:J79)</f>
        <v>101.28723857091984</v>
      </c>
      <c r="K80" s="62">
        <f t="shared" si="28"/>
        <v>110.67916289431655</v>
      </c>
      <c r="L80" s="62">
        <f t="shared" si="28"/>
        <v>101.02021296945736</v>
      </c>
      <c r="M80" s="62">
        <f t="shared" si="28"/>
        <v>99.898610918404259</v>
      </c>
      <c r="N80" s="62">
        <f t="shared" si="28"/>
        <v>114.67819982934775</v>
      </c>
      <c r="O80" s="62">
        <f t="shared" si="28"/>
        <v>97.394241092634815</v>
      </c>
    </row>
    <row r="82" spans="2:15">
      <c r="B82" s="428" t="s">
        <v>78</v>
      </c>
      <c r="C82" s="428"/>
      <c r="D82" s="428"/>
    </row>
    <row r="83" spans="2:15">
      <c r="B83" s="47"/>
      <c r="C83" s="61" t="s">
        <v>47</v>
      </c>
      <c r="D83" s="61" t="s">
        <v>48</v>
      </c>
      <c r="E83" s="61" t="s">
        <v>49</v>
      </c>
      <c r="F83" s="61" t="s">
        <v>50</v>
      </c>
      <c r="G83" s="61" t="s">
        <v>64</v>
      </c>
      <c r="H83" s="61" t="s">
        <v>53</v>
      </c>
      <c r="I83" s="61" t="s">
        <v>103</v>
      </c>
      <c r="J83" s="61" t="s">
        <v>285</v>
      </c>
      <c r="K83" s="49" t="s">
        <v>267</v>
      </c>
      <c r="L83" s="49" t="s">
        <v>268</v>
      </c>
      <c r="M83" s="49" t="s">
        <v>269</v>
      </c>
      <c r="N83" s="49" t="s">
        <v>278</v>
      </c>
      <c r="O83" s="49" t="s">
        <v>379</v>
      </c>
    </row>
    <row r="84" spans="2:15">
      <c r="B84" s="51" t="s">
        <v>81</v>
      </c>
      <c r="C84" s="64">
        <f t="shared" ref="C84:O88" si="29">ROUND(C75,1)</f>
        <v>26.6</v>
      </c>
      <c r="D84" s="64">
        <f t="shared" si="29"/>
        <v>28.2</v>
      </c>
      <c r="E84" s="64">
        <f t="shared" si="29"/>
        <v>21</v>
      </c>
      <c r="F84" s="64">
        <f t="shared" si="29"/>
        <v>16.100000000000001</v>
      </c>
      <c r="G84" s="64">
        <f t="shared" si="29"/>
        <v>12.9</v>
      </c>
      <c r="H84" s="64">
        <f t="shared" si="29"/>
        <v>9.5</v>
      </c>
      <c r="I84" s="64">
        <f t="shared" si="29"/>
        <v>8</v>
      </c>
      <c r="J84" s="64">
        <f t="shared" si="29"/>
        <v>6.4</v>
      </c>
      <c r="K84" s="64">
        <f t="shared" si="29"/>
        <v>7.4</v>
      </c>
      <c r="L84" s="66">
        <f t="shared" si="29"/>
        <v>7.2</v>
      </c>
      <c r="M84" s="66">
        <f t="shared" si="29"/>
        <v>8.9</v>
      </c>
      <c r="N84" s="66">
        <f t="shared" si="29"/>
        <v>10.1</v>
      </c>
      <c r="O84" s="66">
        <f t="shared" si="29"/>
        <v>10.6</v>
      </c>
    </row>
    <row r="85" spans="2:15">
      <c r="B85" s="51" t="s">
        <v>72</v>
      </c>
      <c r="C85" s="64">
        <f>ROUND(C76,1)-0.1</f>
        <v>35.6</v>
      </c>
      <c r="D85" s="64">
        <f t="shared" si="29"/>
        <v>33.4</v>
      </c>
      <c r="E85" s="64">
        <f t="shared" si="29"/>
        <v>36.1</v>
      </c>
      <c r="F85" s="64">
        <f>ROUND(F76,1)-0.1</f>
        <v>35.799999999999997</v>
      </c>
      <c r="G85" s="64">
        <f t="shared" si="29"/>
        <v>37</v>
      </c>
      <c r="H85" s="64">
        <f t="shared" si="29"/>
        <v>37</v>
      </c>
      <c r="I85" s="64">
        <f t="shared" si="29"/>
        <v>36.9</v>
      </c>
      <c r="J85" s="64">
        <f t="shared" si="29"/>
        <v>30.2</v>
      </c>
      <c r="K85" s="64">
        <f t="shared" si="29"/>
        <v>32.299999999999997</v>
      </c>
      <c r="L85" s="66">
        <f>ROUND(L76,1)</f>
        <v>27.9</v>
      </c>
      <c r="M85" s="66">
        <f t="shared" si="29"/>
        <v>28.3</v>
      </c>
      <c r="N85" s="66">
        <f t="shared" si="29"/>
        <v>42.5</v>
      </c>
      <c r="O85" s="66">
        <f t="shared" si="29"/>
        <v>27.9</v>
      </c>
    </row>
    <row r="86" spans="2:15">
      <c r="B86" s="51" t="s">
        <v>82</v>
      </c>
      <c r="C86" s="64">
        <f t="shared" si="29"/>
        <v>7.9</v>
      </c>
      <c r="D86" s="64">
        <f t="shared" si="29"/>
        <v>8.4</v>
      </c>
      <c r="E86" s="64">
        <f t="shared" si="29"/>
        <v>10.7</v>
      </c>
      <c r="F86" s="64">
        <f t="shared" si="29"/>
        <v>13.1</v>
      </c>
      <c r="G86" s="64">
        <f t="shared" si="29"/>
        <v>12.9</v>
      </c>
      <c r="H86" s="64">
        <f t="shared" si="29"/>
        <v>13.1</v>
      </c>
      <c r="I86" s="64">
        <f t="shared" si="29"/>
        <v>13.8</v>
      </c>
      <c r="J86" s="64">
        <f t="shared" si="29"/>
        <v>17.100000000000001</v>
      </c>
      <c r="K86" s="64">
        <f t="shared" si="29"/>
        <v>16.7</v>
      </c>
      <c r="L86" s="66">
        <f>ROUND(L77,1)</f>
        <v>16.8</v>
      </c>
      <c r="M86" s="66">
        <f t="shared" si="29"/>
        <v>12.8</v>
      </c>
      <c r="N86" s="66">
        <f t="shared" si="29"/>
        <v>11.1</v>
      </c>
      <c r="O86" s="66">
        <f t="shared" si="29"/>
        <v>10.199999999999999</v>
      </c>
    </row>
    <row r="87" spans="2:15">
      <c r="B87" s="51" t="s">
        <v>83</v>
      </c>
      <c r="C87" s="64">
        <f t="shared" si="29"/>
        <v>11.8</v>
      </c>
      <c r="D87" s="64">
        <f t="shared" si="29"/>
        <v>12.5</v>
      </c>
      <c r="E87" s="64">
        <f t="shared" si="29"/>
        <v>13.7</v>
      </c>
      <c r="F87" s="64">
        <f t="shared" si="29"/>
        <v>16.600000000000001</v>
      </c>
      <c r="G87" s="64">
        <f t="shared" si="29"/>
        <v>19.3</v>
      </c>
      <c r="H87" s="64">
        <f t="shared" si="29"/>
        <v>22.9</v>
      </c>
      <c r="I87" s="64">
        <f t="shared" si="29"/>
        <v>24.8</v>
      </c>
      <c r="J87" s="64">
        <f t="shared" si="29"/>
        <v>34.9</v>
      </c>
      <c r="K87" s="64">
        <f t="shared" si="29"/>
        <v>35.1</v>
      </c>
      <c r="L87" s="66">
        <f>ROUND(L78,1)</f>
        <v>31.8</v>
      </c>
      <c r="M87" s="66">
        <f t="shared" si="29"/>
        <v>32.5</v>
      </c>
      <c r="N87" s="66">
        <f t="shared" si="29"/>
        <v>33.5</v>
      </c>
      <c r="O87" s="66">
        <f t="shared" si="29"/>
        <v>33.5</v>
      </c>
    </row>
    <row r="88" spans="2:15">
      <c r="B88" s="51" t="s">
        <v>84</v>
      </c>
      <c r="C88" s="64">
        <f t="shared" si="29"/>
        <v>18.100000000000001</v>
      </c>
      <c r="D88" s="64">
        <f t="shared" si="29"/>
        <v>17.5</v>
      </c>
      <c r="E88" s="64">
        <f t="shared" si="29"/>
        <v>18.5</v>
      </c>
      <c r="F88" s="64">
        <f t="shared" si="29"/>
        <v>18.399999999999999</v>
      </c>
      <c r="G88" s="64">
        <f t="shared" si="29"/>
        <v>19.100000000000001</v>
      </c>
      <c r="H88" s="64">
        <f t="shared" si="29"/>
        <v>17.5</v>
      </c>
      <c r="I88" s="64">
        <f t="shared" si="29"/>
        <v>16.5</v>
      </c>
      <c r="J88" s="64">
        <f>ROUND(J79,1)</f>
        <v>12.7</v>
      </c>
      <c r="K88" s="64">
        <f t="shared" si="29"/>
        <v>19.100000000000001</v>
      </c>
      <c r="L88" s="66">
        <f>ROUND(L79,1)</f>
        <v>17.399999999999999</v>
      </c>
      <c r="M88" s="66">
        <f t="shared" si="29"/>
        <v>17.3</v>
      </c>
      <c r="N88" s="66">
        <f t="shared" si="29"/>
        <v>17.399999999999999</v>
      </c>
      <c r="O88" s="66">
        <f t="shared" si="29"/>
        <v>15.2</v>
      </c>
    </row>
    <row r="89" spans="2:15">
      <c r="B89" s="51" t="s">
        <v>73</v>
      </c>
      <c r="C89" s="64">
        <f t="shared" ref="C89:J89" si="30">SUM(C84:C88)</f>
        <v>100</v>
      </c>
      <c r="D89" s="64">
        <f t="shared" si="30"/>
        <v>100</v>
      </c>
      <c r="E89" s="64">
        <f t="shared" si="30"/>
        <v>100</v>
      </c>
      <c r="F89" s="64">
        <f t="shared" si="30"/>
        <v>100</v>
      </c>
      <c r="G89" s="64">
        <f t="shared" si="30"/>
        <v>101.19999999999999</v>
      </c>
      <c r="H89" s="64">
        <f t="shared" si="30"/>
        <v>100</v>
      </c>
      <c r="I89" s="64">
        <f t="shared" si="30"/>
        <v>100</v>
      </c>
      <c r="J89" s="64">
        <f t="shared" si="30"/>
        <v>101.3</v>
      </c>
      <c r="K89" s="64">
        <f>SUM(K84:K88)</f>
        <v>110.6</v>
      </c>
      <c r="L89" s="66">
        <f>SUM(L84:L88)</f>
        <v>101.1</v>
      </c>
      <c r="M89" s="66">
        <f>SUM(M84:M88)</f>
        <v>99.8</v>
      </c>
      <c r="N89" s="66">
        <f>SUM(N84:N88)</f>
        <v>114.6</v>
      </c>
      <c r="O89" s="66">
        <f>SUM(O84:O88)</f>
        <v>97.4</v>
      </c>
    </row>
  </sheetData>
  <mergeCells count="3">
    <mergeCell ref="B13:E13"/>
    <mergeCell ref="B20:E20"/>
    <mergeCell ref="B29:E29"/>
  </mergeCells>
  <phoneticPr fontId="6"/>
  <pageMargins left="0" right="0" top="0.98425196850393704" bottom="0.98425196850393704" header="0.51181102362204722" footer="0.51181102362204722"/>
  <pageSetup paperSize="9" scale="46"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A101"/>
  <sheetViews>
    <sheetView view="pageBreakPreview" topLeftCell="A13" zoomScale="66" zoomScaleNormal="100" zoomScaleSheetLayoutView="66" workbookViewId="0">
      <pane xSplit="1" topLeftCell="B1" activePane="topRight" state="frozen"/>
      <selection activeCell="R11" sqref="R11"/>
      <selection pane="topRight" activeCell="R11" sqref="R11"/>
    </sheetView>
  </sheetViews>
  <sheetFormatPr defaultColWidth="10.28515625" defaultRowHeight="13.5"/>
  <cols>
    <col min="1" max="1" width="17.28515625" style="46" bestFit="1" customWidth="1"/>
    <col min="2" max="2" width="10" style="46" customWidth="1"/>
    <col min="3" max="5" width="10" style="46" hidden="1" customWidth="1"/>
    <col min="6" max="8" width="10" style="46" customWidth="1"/>
    <col min="9" max="9" width="12" style="46" customWidth="1"/>
    <col min="10" max="12" width="12" style="46" bestFit="1" customWidth="1"/>
    <col min="13" max="18" width="12" style="46" customWidth="1"/>
    <col min="19" max="19" width="11.140625" style="46" customWidth="1"/>
    <col min="20" max="25" width="10.5703125" style="46" bestFit="1" customWidth="1"/>
    <col min="26" max="27" width="12.28515625" style="46" bestFit="1" customWidth="1"/>
    <col min="28" max="16384" width="10.28515625" style="46"/>
  </cols>
  <sheetData>
    <row r="1" spans="1:27">
      <c r="A1" s="46" t="s">
        <v>59</v>
      </c>
    </row>
    <row r="3" spans="1:27">
      <c r="A3" s="46" t="s">
        <v>60</v>
      </c>
    </row>
    <row r="4" spans="1:27" s="50" customFormat="1">
      <c r="A4" s="47"/>
      <c r="B4" s="48" t="s">
        <v>47</v>
      </c>
      <c r="C4" s="48" t="s">
        <v>61</v>
      </c>
      <c r="D4" s="48" t="s">
        <v>48</v>
      </c>
      <c r="E4" s="48" t="s">
        <v>62</v>
      </c>
      <c r="F4" s="48" t="s">
        <v>49</v>
      </c>
      <c r="G4" s="48" t="s">
        <v>63</v>
      </c>
      <c r="H4" s="48" t="s">
        <v>50</v>
      </c>
      <c r="I4" s="48" t="s">
        <v>64</v>
      </c>
      <c r="J4" s="48" t="s">
        <v>51</v>
      </c>
      <c r="K4" s="48" t="s">
        <v>52</v>
      </c>
      <c r="L4" s="48" t="s">
        <v>65</v>
      </c>
      <c r="M4" s="49" t="s">
        <v>88</v>
      </c>
      <c r="N4" s="49" t="s">
        <v>103</v>
      </c>
      <c r="O4" s="49" t="s">
        <v>108</v>
      </c>
      <c r="P4" s="49" t="s">
        <v>111</v>
      </c>
      <c r="Q4" s="49" t="s">
        <v>134</v>
      </c>
      <c r="R4" s="49" t="s">
        <v>141</v>
      </c>
      <c r="S4" s="49" t="s">
        <v>157</v>
      </c>
      <c r="T4" s="49" t="s">
        <v>163</v>
      </c>
      <c r="U4" s="49" t="s">
        <v>169</v>
      </c>
      <c r="V4" s="49" t="s">
        <v>193</v>
      </c>
      <c r="W4" s="49" t="s">
        <v>197</v>
      </c>
      <c r="X4" s="49" t="s">
        <v>216</v>
      </c>
      <c r="Y4" s="49" t="s">
        <v>225</v>
      </c>
      <c r="Z4" s="49" t="s">
        <v>279</v>
      </c>
      <c r="AA4" s="49" t="s">
        <v>380</v>
      </c>
    </row>
    <row r="5" spans="1:27" s="50" customFormat="1">
      <c r="A5" s="51" t="s">
        <v>66</v>
      </c>
      <c r="B5" s="52">
        <v>777637</v>
      </c>
      <c r="C5" s="52">
        <v>775187</v>
      </c>
      <c r="D5" s="52">
        <v>738656</v>
      </c>
      <c r="E5" s="52">
        <v>712955</v>
      </c>
      <c r="F5" s="52">
        <v>686522</v>
      </c>
      <c r="G5" s="52">
        <v>665501</v>
      </c>
      <c r="H5" s="52">
        <v>635039</v>
      </c>
      <c r="I5" s="52">
        <v>613049</v>
      </c>
      <c r="J5" s="52">
        <v>618500</v>
      </c>
      <c r="K5" s="52">
        <v>628573</v>
      </c>
      <c r="L5" s="52">
        <v>652624</v>
      </c>
      <c r="M5" s="53">
        <v>678485</v>
      </c>
      <c r="N5" s="53">
        <v>670787</v>
      </c>
      <c r="O5" s="53">
        <v>623613</v>
      </c>
      <c r="P5" s="53">
        <v>626018</v>
      </c>
      <c r="Q5" s="53">
        <v>636066</v>
      </c>
      <c r="R5" s="53">
        <v>627006</v>
      </c>
      <c r="S5" s="53">
        <v>641870</v>
      </c>
      <c r="T5" s="53">
        <v>659256</v>
      </c>
      <c r="U5" s="53">
        <v>660088</v>
      </c>
      <c r="V5" s="53">
        <v>659473</v>
      </c>
      <c r="W5" s="53">
        <v>675404</v>
      </c>
      <c r="X5" s="53">
        <v>737441</v>
      </c>
      <c r="Y5" s="53">
        <v>776114</v>
      </c>
      <c r="Z5" s="53">
        <v>744663</v>
      </c>
      <c r="AA5" s="53">
        <v>750030</v>
      </c>
    </row>
    <row r="6" spans="1:27" s="50" customFormat="1">
      <c r="A6" s="51" t="s">
        <v>67</v>
      </c>
      <c r="B6" s="52">
        <v>12844</v>
      </c>
      <c r="C6" s="52">
        <v>3779</v>
      </c>
      <c r="D6" s="52">
        <v>15155</v>
      </c>
      <c r="E6" s="52">
        <v>58810</v>
      </c>
      <c r="F6" s="52">
        <v>76659</v>
      </c>
      <c r="G6" s="52">
        <v>79853</v>
      </c>
      <c r="H6" s="52">
        <v>84384</v>
      </c>
      <c r="I6" s="52">
        <v>80475</v>
      </c>
      <c r="J6" s="52">
        <v>72843</v>
      </c>
      <c r="K6" s="52">
        <v>60716</v>
      </c>
      <c r="L6" s="52">
        <v>47208</v>
      </c>
      <c r="M6" s="53">
        <v>10499</v>
      </c>
      <c r="N6" s="53">
        <v>16903</v>
      </c>
      <c r="O6" s="53">
        <v>38032</v>
      </c>
      <c r="P6" s="53">
        <v>47970</v>
      </c>
      <c r="Q6" s="53">
        <v>54195</v>
      </c>
      <c r="R6" s="53">
        <v>50172</v>
      </c>
      <c r="S6" s="53">
        <v>48640</v>
      </c>
      <c r="T6" s="53">
        <v>36787</v>
      </c>
      <c r="U6" s="53">
        <v>41891</v>
      </c>
      <c r="V6" s="53">
        <v>32905</v>
      </c>
      <c r="W6" s="53">
        <v>52770</v>
      </c>
      <c r="X6" s="53">
        <v>43642</v>
      </c>
      <c r="Y6" s="53">
        <v>44514</v>
      </c>
      <c r="Z6" s="53">
        <v>33867</v>
      </c>
      <c r="AA6" s="53">
        <v>72485</v>
      </c>
    </row>
    <row r="7" spans="1:27" s="50" customFormat="1">
      <c r="A7" s="51" t="s">
        <v>68</v>
      </c>
      <c r="B7" s="52">
        <v>72801</v>
      </c>
      <c r="C7" s="52">
        <v>65665</v>
      </c>
      <c r="D7" s="52">
        <v>86341</v>
      </c>
      <c r="E7" s="52">
        <v>90488</v>
      </c>
      <c r="F7" s="52">
        <v>106576</v>
      </c>
      <c r="G7" s="52">
        <v>103628</v>
      </c>
      <c r="H7" s="52">
        <v>86693</v>
      </c>
      <c r="I7" s="52">
        <v>87878</v>
      </c>
      <c r="J7" s="52">
        <v>97431</v>
      </c>
      <c r="K7" s="52">
        <v>101895</v>
      </c>
      <c r="L7" s="52">
        <v>107866</v>
      </c>
      <c r="M7" s="53">
        <v>77359</v>
      </c>
      <c r="N7" s="53">
        <v>73366</v>
      </c>
      <c r="O7" s="53">
        <v>70908</v>
      </c>
      <c r="P7" s="53">
        <v>68134</v>
      </c>
      <c r="Q7" s="53">
        <v>67480</v>
      </c>
      <c r="R7" s="53">
        <v>64840</v>
      </c>
      <c r="S7" s="53">
        <f>6305+58065+1964+924</f>
        <v>67258</v>
      </c>
      <c r="T7" s="54">
        <f>5987+63133+1804+815</f>
        <v>71739</v>
      </c>
      <c r="U7" s="54">
        <f>6149+1622+87348+877</f>
        <v>95996</v>
      </c>
      <c r="V7" s="54">
        <v>86249</v>
      </c>
      <c r="W7" s="54">
        <v>137989</v>
      </c>
      <c r="X7" s="54">
        <v>95356</v>
      </c>
      <c r="Y7" s="54">
        <v>88300</v>
      </c>
      <c r="Z7" s="54">
        <v>106086</v>
      </c>
      <c r="AA7" s="54">
        <v>131888</v>
      </c>
    </row>
    <row r="8" spans="1:27" s="50" customFormat="1">
      <c r="A8" s="51" t="s">
        <v>69</v>
      </c>
      <c r="B8" s="52">
        <v>219549</v>
      </c>
      <c r="C8" s="52">
        <v>229498</v>
      </c>
      <c r="D8" s="52">
        <v>250785</v>
      </c>
      <c r="E8" s="52">
        <v>278818</v>
      </c>
      <c r="F8" s="52">
        <v>247802</v>
      </c>
      <c r="G8" s="52">
        <v>254842</v>
      </c>
      <c r="H8" s="52">
        <v>250342</v>
      </c>
      <c r="I8" s="52">
        <v>263563</v>
      </c>
      <c r="J8" s="52">
        <v>273692</v>
      </c>
      <c r="K8" s="52">
        <v>273575</v>
      </c>
      <c r="L8" s="52">
        <v>252668</v>
      </c>
      <c r="M8" s="53">
        <v>257413</v>
      </c>
      <c r="N8" s="53">
        <v>258256</v>
      </c>
      <c r="O8" s="53">
        <v>345023</v>
      </c>
      <c r="P8" s="53">
        <v>333440</v>
      </c>
      <c r="Q8" s="53">
        <v>344384</v>
      </c>
      <c r="R8" s="53">
        <v>333309</v>
      </c>
      <c r="S8" s="53">
        <v>348442</v>
      </c>
      <c r="T8" s="54">
        <v>349428</v>
      </c>
      <c r="U8" s="54">
        <v>357597</v>
      </c>
      <c r="V8" s="54">
        <v>366554</v>
      </c>
      <c r="W8" s="54">
        <v>403887</v>
      </c>
      <c r="X8" s="54">
        <v>396685</v>
      </c>
      <c r="Y8" s="54">
        <v>421185</v>
      </c>
      <c r="Z8" s="54">
        <v>770142</v>
      </c>
      <c r="AA8" s="54">
        <v>597577</v>
      </c>
    </row>
    <row r="9" spans="1:27" s="50" customFormat="1">
      <c r="A9" s="51" t="s">
        <v>70</v>
      </c>
      <c r="B9" s="52">
        <v>228236</v>
      </c>
      <c r="C9" s="52">
        <v>239120</v>
      </c>
      <c r="D9" s="52">
        <v>316678</v>
      </c>
      <c r="E9" s="52">
        <v>195979</v>
      </c>
      <c r="F9" s="52">
        <v>206034</v>
      </c>
      <c r="G9" s="52">
        <v>182995</v>
      </c>
      <c r="H9" s="52">
        <v>169411</v>
      </c>
      <c r="I9" s="52">
        <v>133221</v>
      </c>
      <c r="J9" s="52">
        <v>121194</v>
      </c>
      <c r="K9" s="52">
        <v>117210</v>
      </c>
      <c r="L9" s="52">
        <v>90315</v>
      </c>
      <c r="M9" s="53">
        <v>67958</v>
      </c>
      <c r="N9" s="53">
        <v>64878</v>
      </c>
      <c r="O9" s="53">
        <v>50198</v>
      </c>
      <c r="P9" s="53">
        <v>33538</v>
      </c>
      <c r="Q9" s="645">
        <v>164084</v>
      </c>
      <c r="R9" s="645">
        <v>129579</v>
      </c>
      <c r="S9" s="645">
        <v>154833</v>
      </c>
      <c r="T9" s="643">
        <v>121124</v>
      </c>
      <c r="U9" s="643">
        <v>101857</v>
      </c>
      <c r="V9" s="643">
        <v>91432</v>
      </c>
      <c r="W9" s="643">
        <v>117973</v>
      </c>
      <c r="X9" s="643">
        <v>103599</v>
      </c>
      <c r="Y9" s="643">
        <v>100265</v>
      </c>
      <c r="Z9" s="643">
        <v>108576</v>
      </c>
      <c r="AA9" s="643">
        <v>156044</v>
      </c>
    </row>
    <row r="10" spans="1:27" s="50" customFormat="1">
      <c r="A10" s="51" t="s">
        <v>71</v>
      </c>
      <c r="B10" s="52">
        <v>57633</v>
      </c>
      <c r="C10" s="52">
        <v>70028</v>
      </c>
      <c r="D10" s="52">
        <v>90586</v>
      </c>
      <c r="E10" s="52">
        <v>66805</v>
      </c>
      <c r="F10" s="52">
        <v>38553</v>
      </c>
      <c r="G10" s="52">
        <v>49494</v>
      </c>
      <c r="H10" s="52">
        <v>81705</v>
      </c>
      <c r="I10" s="52">
        <v>109678</v>
      </c>
      <c r="J10" s="52">
        <v>96554</v>
      </c>
      <c r="K10" s="52">
        <v>69787</v>
      </c>
      <c r="L10" s="52">
        <v>51873</v>
      </c>
      <c r="M10" s="53">
        <v>73058</v>
      </c>
      <c r="N10" s="53">
        <v>80197</v>
      </c>
      <c r="O10" s="53">
        <v>104121</v>
      </c>
      <c r="P10" s="53">
        <v>113831</v>
      </c>
      <c r="Q10" s="646"/>
      <c r="R10" s="646"/>
      <c r="S10" s="646"/>
      <c r="T10" s="644"/>
      <c r="U10" s="644"/>
      <c r="V10" s="644"/>
      <c r="W10" s="644"/>
      <c r="X10" s="644"/>
      <c r="Y10" s="644"/>
      <c r="Z10" s="644"/>
      <c r="AA10" s="644"/>
    </row>
    <row r="11" spans="1:27" s="50" customFormat="1">
      <c r="A11" s="51" t="s">
        <v>72</v>
      </c>
      <c r="B11" s="52">
        <v>489083</v>
      </c>
      <c r="C11" s="52">
        <v>477612</v>
      </c>
      <c r="D11" s="52">
        <f>D12-D5-D6-D7-D8-D9-D10</f>
        <v>487374</v>
      </c>
      <c r="E11" s="52">
        <f t="shared" ref="E11:J11" si="0">E12-E5-E6-E7-E8-E9-E10</f>
        <v>506475</v>
      </c>
      <c r="F11" s="52">
        <f t="shared" si="0"/>
        <v>507486</v>
      </c>
      <c r="G11" s="52">
        <f t="shared" si="0"/>
        <v>525814</v>
      </c>
      <c r="H11" s="52">
        <f t="shared" si="0"/>
        <v>483132</v>
      </c>
      <c r="I11" s="52">
        <f t="shared" si="0"/>
        <v>434793</v>
      </c>
      <c r="J11" s="52">
        <f t="shared" si="0"/>
        <v>423651</v>
      </c>
      <c r="K11" s="52">
        <f>K12-K5-K6-K7-K8-K9-K10</f>
        <v>414619</v>
      </c>
      <c r="L11" s="52">
        <f>L12-L5-L6-L7-L8-L9-L10</f>
        <v>387952</v>
      </c>
      <c r="M11" s="52">
        <f>M12-M5-M6-M7-M8-M9-M10</f>
        <v>412513</v>
      </c>
      <c r="N11" s="52">
        <v>390734</v>
      </c>
      <c r="O11" s="52">
        <v>439752</v>
      </c>
      <c r="P11" s="52">
        <v>419712</v>
      </c>
      <c r="Q11" s="52">
        <v>384947</v>
      </c>
      <c r="R11" s="52">
        <v>495875</v>
      </c>
      <c r="S11" s="55">
        <f>61828+53265+47472+1526+251556-924</f>
        <v>414723</v>
      </c>
      <c r="T11" s="55">
        <f>62205+56187+50918+25364+208965-815</f>
        <v>402824</v>
      </c>
      <c r="U11" s="55">
        <f>U12-SUM(U5:U10)</f>
        <v>374554</v>
      </c>
      <c r="V11" s="55">
        <f>V12-SUM(V5:V10)</f>
        <v>338225</v>
      </c>
      <c r="W11" s="55">
        <f>W12-SUM(W5:W10)</f>
        <v>354794</v>
      </c>
      <c r="X11" s="55">
        <v>384415</v>
      </c>
      <c r="Y11" s="55">
        <v>333836</v>
      </c>
      <c r="Z11" s="55">
        <v>279351</v>
      </c>
      <c r="AA11" s="55">
        <v>295657</v>
      </c>
    </row>
    <row r="12" spans="1:27" s="50" customFormat="1">
      <c r="A12" s="51" t="s">
        <v>73</v>
      </c>
      <c r="B12" s="52">
        <v>1857783</v>
      </c>
      <c r="C12" s="52">
        <v>1860889</v>
      </c>
      <c r="D12" s="52">
        <v>1985575</v>
      </c>
      <c r="E12" s="52">
        <v>1910330</v>
      </c>
      <c r="F12" s="52">
        <v>1869632</v>
      </c>
      <c r="G12" s="52">
        <v>1862127</v>
      </c>
      <c r="H12" s="52">
        <v>1790706</v>
      </c>
      <c r="I12" s="52">
        <v>1722657</v>
      </c>
      <c r="J12" s="52">
        <v>1703865</v>
      </c>
      <c r="K12" s="52">
        <v>1666375</v>
      </c>
      <c r="L12" s="52">
        <v>1590506</v>
      </c>
      <c r="M12" s="53">
        <v>1577285</v>
      </c>
      <c r="N12" s="53">
        <v>1555121</v>
      </c>
      <c r="O12" s="53">
        <v>1671647</v>
      </c>
      <c r="P12" s="53">
        <v>1642643</v>
      </c>
      <c r="Q12" s="53">
        <v>1651156</v>
      </c>
      <c r="R12" s="53">
        <v>1700781</v>
      </c>
      <c r="S12" s="53">
        <v>1675766</v>
      </c>
      <c r="T12" s="53">
        <v>1641158</v>
      </c>
      <c r="U12" s="53">
        <v>1631983</v>
      </c>
      <c r="V12" s="53">
        <v>1574838</v>
      </c>
      <c r="W12" s="53">
        <v>1742817</v>
      </c>
      <c r="X12" s="53">
        <v>1761138</v>
      </c>
      <c r="Y12" s="53">
        <v>1764214</v>
      </c>
      <c r="Z12" s="53">
        <v>2042685</v>
      </c>
      <c r="AA12" s="53">
        <v>2003681</v>
      </c>
    </row>
    <row r="13" spans="1:27">
      <c r="B13" s="56">
        <f>SUM(B5:B11)-B12</f>
        <v>0</v>
      </c>
      <c r="C13" s="56">
        <f t="shared" ref="C13:O13" si="1">SUM(C5:C11)-C12</f>
        <v>0</v>
      </c>
      <c r="D13" s="56">
        <f t="shared" si="1"/>
        <v>0</v>
      </c>
      <c r="E13" s="56">
        <f t="shared" si="1"/>
        <v>0</v>
      </c>
      <c r="F13" s="56">
        <f t="shared" si="1"/>
        <v>0</v>
      </c>
      <c r="G13" s="56">
        <f t="shared" si="1"/>
        <v>0</v>
      </c>
      <c r="H13" s="56">
        <f t="shared" si="1"/>
        <v>0</v>
      </c>
      <c r="I13" s="56">
        <f t="shared" si="1"/>
        <v>0</v>
      </c>
      <c r="J13" s="56">
        <f t="shared" si="1"/>
        <v>0</v>
      </c>
      <c r="K13" s="56">
        <f t="shared" si="1"/>
        <v>0</v>
      </c>
      <c r="L13" s="56">
        <f t="shared" si="1"/>
        <v>0</v>
      </c>
      <c r="M13" s="56">
        <f t="shared" si="1"/>
        <v>0</v>
      </c>
      <c r="N13" s="56">
        <f t="shared" si="1"/>
        <v>0</v>
      </c>
      <c r="O13" s="56">
        <f t="shared" si="1"/>
        <v>0</v>
      </c>
      <c r="P13" s="56">
        <f t="shared" ref="P13:U13" si="2">SUM(P5:P11)-P12</f>
        <v>0</v>
      </c>
      <c r="Q13" s="56">
        <f t="shared" si="2"/>
        <v>0</v>
      </c>
      <c r="R13" s="56">
        <f t="shared" si="2"/>
        <v>0</v>
      </c>
      <c r="S13" s="56">
        <f t="shared" si="2"/>
        <v>0</v>
      </c>
      <c r="T13" s="56">
        <f t="shared" si="2"/>
        <v>0</v>
      </c>
      <c r="U13" s="56">
        <f t="shared" si="2"/>
        <v>0</v>
      </c>
      <c r="V13" s="56">
        <f t="shared" ref="V13:AA13" si="3">SUM(V5:V11)-V12</f>
        <v>0</v>
      </c>
      <c r="W13" s="56">
        <f t="shared" si="3"/>
        <v>0</v>
      </c>
      <c r="X13" s="56">
        <f t="shared" si="3"/>
        <v>0</v>
      </c>
      <c r="Y13" s="56">
        <f t="shared" si="3"/>
        <v>0</v>
      </c>
      <c r="Z13" s="56">
        <f t="shared" si="3"/>
        <v>0</v>
      </c>
      <c r="AA13" s="56">
        <f t="shared" si="3"/>
        <v>0</v>
      </c>
    </row>
    <row r="14" spans="1:27">
      <c r="A14" s="57" t="s">
        <v>74</v>
      </c>
      <c r="B14" s="52">
        <v>285869</v>
      </c>
      <c r="C14" s="52">
        <v>309148</v>
      </c>
      <c r="D14" s="52">
        <v>407264</v>
      </c>
      <c r="E14" s="52">
        <v>262784</v>
      </c>
      <c r="F14" s="52">
        <v>244587</v>
      </c>
      <c r="G14" s="52">
        <v>232489</v>
      </c>
      <c r="H14" s="52">
        <v>251116</v>
      </c>
      <c r="I14" s="52">
        <v>242899</v>
      </c>
      <c r="J14" s="52">
        <v>217748</v>
      </c>
      <c r="K14" s="52">
        <v>186997</v>
      </c>
      <c r="L14" s="52">
        <f>90315+51873</f>
        <v>142188</v>
      </c>
      <c r="M14" s="52">
        <f>67958+73058</f>
        <v>141016</v>
      </c>
      <c r="N14" s="52">
        <f>64878+80197</f>
        <v>145075</v>
      </c>
      <c r="O14" s="52">
        <v>154319</v>
      </c>
      <c r="P14" s="52">
        <v>147369</v>
      </c>
      <c r="Q14" s="58" t="s">
        <v>58</v>
      </c>
      <c r="R14" s="58" t="s">
        <v>58</v>
      </c>
      <c r="S14" s="58" t="s">
        <v>58</v>
      </c>
      <c r="T14" s="58" t="s">
        <v>58</v>
      </c>
      <c r="U14" s="58" t="s">
        <v>58</v>
      </c>
      <c r="V14" s="58" t="s">
        <v>58</v>
      </c>
      <c r="W14" s="58" t="s">
        <v>58</v>
      </c>
      <c r="X14" s="58" t="s">
        <v>58</v>
      </c>
      <c r="Y14" s="58" t="s">
        <v>58</v>
      </c>
      <c r="Z14" s="58" t="s">
        <v>58</v>
      </c>
      <c r="AA14" s="58" t="s">
        <v>58</v>
      </c>
    </row>
    <row r="15" spans="1:27">
      <c r="A15" s="57"/>
      <c r="B15" s="59">
        <f>B14-B9-B10</f>
        <v>0</v>
      </c>
      <c r="C15" s="59">
        <f t="shared" ref="C15:K15" si="4">C14-C9-C10</f>
        <v>0</v>
      </c>
      <c r="D15" s="59">
        <f t="shared" si="4"/>
        <v>0</v>
      </c>
      <c r="E15" s="59">
        <f t="shared" si="4"/>
        <v>0</v>
      </c>
      <c r="F15" s="59">
        <f t="shared" si="4"/>
        <v>0</v>
      </c>
      <c r="G15" s="59">
        <f t="shared" si="4"/>
        <v>0</v>
      </c>
      <c r="H15" s="59">
        <f t="shared" si="4"/>
        <v>0</v>
      </c>
      <c r="I15" s="59">
        <f t="shared" si="4"/>
        <v>0</v>
      </c>
      <c r="J15" s="59">
        <f t="shared" si="4"/>
        <v>0</v>
      </c>
      <c r="K15" s="59">
        <f t="shared" si="4"/>
        <v>0</v>
      </c>
      <c r="L15" s="59">
        <f>L14-L9-L10</f>
        <v>0</v>
      </c>
      <c r="M15" s="59">
        <f>M14-M9-M10</f>
        <v>0</v>
      </c>
      <c r="N15" s="59">
        <f>N14-N9-N10</f>
        <v>0</v>
      </c>
      <c r="O15" s="59">
        <f>O14-O9-O10</f>
        <v>0</v>
      </c>
      <c r="P15" s="59">
        <f>P14-P9-P10</f>
        <v>0</v>
      </c>
      <c r="Q15" s="59"/>
      <c r="R15" s="59"/>
      <c r="S15" s="59"/>
    </row>
    <row r="16" spans="1:27">
      <c r="B16" s="56"/>
      <c r="C16" s="56"/>
      <c r="D16" s="56"/>
      <c r="E16" s="56"/>
      <c r="F16" s="56"/>
      <c r="G16" s="56"/>
      <c r="H16" s="56"/>
      <c r="I16" s="56"/>
      <c r="J16" s="56"/>
      <c r="K16" s="56"/>
      <c r="L16" s="56"/>
    </row>
    <row r="17" spans="1:27" ht="13.5" hidden="1" customHeight="1">
      <c r="A17" s="637" t="s">
        <v>75</v>
      </c>
      <c r="B17" s="637"/>
      <c r="C17" s="637"/>
      <c r="D17" s="637"/>
    </row>
    <row r="18" spans="1:27" ht="13.5" hidden="1" customHeight="1">
      <c r="A18" s="47"/>
      <c r="B18" s="48" t="s">
        <v>47</v>
      </c>
      <c r="C18" s="48" t="s">
        <v>61</v>
      </c>
      <c r="D18" s="48" t="s">
        <v>48</v>
      </c>
      <c r="E18" s="48" t="s">
        <v>62</v>
      </c>
      <c r="F18" s="48" t="s">
        <v>49</v>
      </c>
      <c r="G18" s="48" t="s">
        <v>63</v>
      </c>
      <c r="H18" s="48" t="s">
        <v>50</v>
      </c>
      <c r="I18" s="48" t="s">
        <v>64</v>
      </c>
      <c r="J18" s="48" t="s">
        <v>51</v>
      </c>
      <c r="K18" s="48" t="s">
        <v>52</v>
      </c>
      <c r="L18" s="48" t="s">
        <v>65</v>
      </c>
    </row>
    <row r="19" spans="1:27" ht="13.5" hidden="1" customHeight="1">
      <c r="A19" s="51" t="s">
        <v>66</v>
      </c>
      <c r="B19" s="52">
        <v>777637</v>
      </c>
      <c r="C19" s="52">
        <v>775187</v>
      </c>
      <c r="D19" s="52">
        <v>738656</v>
      </c>
      <c r="E19" s="52">
        <v>712955</v>
      </c>
      <c r="F19" s="52">
        <v>686522</v>
      </c>
      <c r="G19" s="52">
        <v>665501</v>
      </c>
      <c r="H19" s="52">
        <v>635039</v>
      </c>
      <c r="I19" s="52">
        <v>613049</v>
      </c>
      <c r="J19" s="52">
        <v>618500</v>
      </c>
      <c r="K19" s="52">
        <v>628573</v>
      </c>
      <c r="L19" s="52">
        <v>652624</v>
      </c>
    </row>
    <row r="20" spans="1:27" ht="13.5" hidden="1" customHeight="1">
      <c r="A20" s="51" t="s">
        <v>67</v>
      </c>
      <c r="B20" s="52">
        <v>12844</v>
      </c>
      <c r="C20" s="52">
        <v>3779</v>
      </c>
      <c r="D20" s="52">
        <v>15155</v>
      </c>
      <c r="E20" s="52">
        <v>58810</v>
      </c>
      <c r="F20" s="52">
        <v>76659</v>
      </c>
      <c r="G20" s="52">
        <v>79853</v>
      </c>
      <c r="H20" s="52">
        <v>84384</v>
      </c>
      <c r="I20" s="52">
        <v>80475</v>
      </c>
      <c r="J20" s="52">
        <v>72843</v>
      </c>
      <c r="K20" s="52">
        <v>60716</v>
      </c>
      <c r="L20" s="52">
        <v>47208</v>
      </c>
    </row>
    <row r="21" spans="1:27" ht="13.5" hidden="1" customHeight="1">
      <c r="A21" s="51" t="s">
        <v>76</v>
      </c>
      <c r="B21" s="52" t="s">
        <v>58</v>
      </c>
      <c r="C21" s="52" t="s">
        <v>58</v>
      </c>
      <c r="D21" s="52" t="s">
        <v>58</v>
      </c>
      <c r="E21" s="52" t="s">
        <v>58</v>
      </c>
      <c r="F21" s="52" t="s">
        <v>58</v>
      </c>
      <c r="G21" s="52">
        <v>15666</v>
      </c>
      <c r="H21" s="52">
        <v>36732</v>
      </c>
      <c r="I21" s="52">
        <v>61138</v>
      </c>
      <c r="J21" s="52">
        <v>44086</v>
      </c>
      <c r="K21" s="52">
        <v>33826</v>
      </c>
      <c r="L21" s="52">
        <v>30150</v>
      </c>
    </row>
    <row r="22" spans="1:27" ht="13.5" hidden="1" customHeight="1">
      <c r="A22" s="51" t="s">
        <v>73</v>
      </c>
      <c r="B22" s="52">
        <f>SUM(B19:B21)</f>
        <v>790481</v>
      </c>
      <c r="C22" s="52">
        <f t="shared" ref="C22:L22" si="5">SUM(C19:C21)</f>
        <v>778966</v>
      </c>
      <c r="D22" s="52">
        <f t="shared" si="5"/>
        <v>753811</v>
      </c>
      <c r="E22" s="52">
        <f t="shared" si="5"/>
        <v>771765</v>
      </c>
      <c r="F22" s="52">
        <f t="shared" si="5"/>
        <v>763181</v>
      </c>
      <c r="G22" s="52">
        <f t="shared" si="5"/>
        <v>761020</v>
      </c>
      <c r="H22" s="52">
        <f t="shared" si="5"/>
        <v>756155</v>
      </c>
      <c r="I22" s="52">
        <f t="shared" si="5"/>
        <v>754662</v>
      </c>
      <c r="J22" s="52">
        <f t="shared" si="5"/>
        <v>735429</v>
      </c>
      <c r="K22" s="52">
        <f t="shared" si="5"/>
        <v>723115</v>
      </c>
      <c r="L22" s="52">
        <f t="shared" si="5"/>
        <v>729982</v>
      </c>
    </row>
    <row r="23" spans="1:27" ht="13.5" hidden="1" customHeight="1">
      <c r="B23" s="60"/>
      <c r="C23" s="60"/>
      <c r="D23" s="60"/>
      <c r="E23" s="60"/>
      <c r="F23" s="60"/>
      <c r="G23" s="60"/>
      <c r="H23" s="60"/>
      <c r="I23" s="60"/>
      <c r="J23" s="60"/>
      <c r="K23" s="60"/>
      <c r="L23" s="60"/>
    </row>
    <row r="24" spans="1:27">
      <c r="A24" s="637" t="s">
        <v>77</v>
      </c>
      <c r="B24" s="637"/>
      <c r="C24" s="637"/>
      <c r="D24" s="637"/>
    </row>
    <row r="25" spans="1:27">
      <c r="A25" s="47"/>
      <c r="B25" s="48" t="s">
        <v>47</v>
      </c>
      <c r="C25" s="48" t="s">
        <v>61</v>
      </c>
      <c r="D25" s="48" t="s">
        <v>48</v>
      </c>
      <c r="E25" s="48" t="s">
        <v>62</v>
      </c>
      <c r="F25" s="48" t="s">
        <v>49</v>
      </c>
      <c r="G25" s="48" t="s">
        <v>63</v>
      </c>
      <c r="H25" s="48" t="s">
        <v>50</v>
      </c>
      <c r="I25" s="48" t="s">
        <v>64</v>
      </c>
      <c r="J25" s="48" t="s">
        <v>51</v>
      </c>
      <c r="K25" s="48" t="s">
        <v>52</v>
      </c>
      <c r="L25" s="48" t="s">
        <v>65</v>
      </c>
      <c r="M25" s="61" t="s">
        <v>158</v>
      </c>
      <c r="N25" s="61" t="s">
        <v>104</v>
      </c>
      <c r="O25" s="61" t="s">
        <v>107</v>
      </c>
      <c r="P25" s="61" t="s">
        <v>112</v>
      </c>
      <c r="Q25" s="61" t="s">
        <v>133</v>
      </c>
      <c r="R25" s="49" t="s">
        <v>141</v>
      </c>
      <c r="S25" s="49" t="s">
        <v>159</v>
      </c>
      <c r="T25" s="49" t="s">
        <v>164</v>
      </c>
      <c r="U25" s="49" t="s">
        <v>170</v>
      </c>
      <c r="V25" s="49" t="s">
        <v>193</v>
      </c>
      <c r="W25" s="49" t="s">
        <v>197</v>
      </c>
      <c r="X25" s="49" t="s">
        <v>216</v>
      </c>
      <c r="Y25" s="49" t="s">
        <v>225</v>
      </c>
      <c r="Z25" s="49" t="s">
        <v>279</v>
      </c>
      <c r="AA25" s="49" t="s">
        <v>380</v>
      </c>
    </row>
    <row r="26" spans="1:27">
      <c r="A26" s="51" t="s">
        <v>66</v>
      </c>
      <c r="B26" s="62">
        <f t="shared" ref="B26:N32" si="6">B5/B$12*100</f>
        <v>41.858333292962634</v>
      </c>
      <c r="C26" s="62">
        <f t="shared" si="6"/>
        <v>41.656810266490908</v>
      </c>
      <c r="D26" s="62">
        <f t="shared" si="6"/>
        <v>37.201113027712374</v>
      </c>
      <c r="E26" s="62">
        <f t="shared" si="6"/>
        <v>37.32103877340564</v>
      </c>
      <c r="F26" s="62">
        <f t="shared" si="6"/>
        <v>36.719632526614866</v>
      </c>
      <c r="G26" s="62">
        <f t="shared" si="6"/>
        <v>35.738754660664931</v>
      </c>
      <c r="H26" s="62">
        <f t="shared" si="6"/>
        <v>35.463052002953027</v>
      </c>
      <c r="I26" s="62">
        <f t="shared" si="6"/>
        <v>35.587409449472531</v>
      </c>
      <c r="J26" s="62">
        <f>J5/J$12*100</f>
        <v>36.29982422316322</v>
      </c>
      <c r="K26" s="62">
        <f>K5/K$12*100</f>
        <v>37.720981171705048</v>
      </c>
      <c r="L26" s="62">
        <f>L5/L$12*100</f>
        <v>41.032476457177779</v>
      </c>
      <c r="M26" s="62">
        <f>M5/M$12*100</f>
        <v>43.016005350967006</v>
      </c>
      <c r="N26" s="62">
        <f>N5/N$12*100</f>
        <v>43.134071239472682</v>
      </c>
      <c r="O26" s="63">
        <f t="shared" ref="O26:AA32" si="7">O5/O$12*100</f>
        <v>37.305304289721455</v>
      </c>
      <c r="P26" s="63">
        <f t="shared" si="7"/>
        <v>38.110411087497404</v>
      </c>
      <c r="Q26" s="63">
        <f t="shared" si="7"/>
        <v>38.522465472674902</v>
      </c>
      <c r="R26" s="63">
        <f t="shared" si="7"/>
        <v>36.865769314215058</v>
      </c>
      <c r="S26" s="63">
        <f t="shared" si="7"/>
        <v>38.303080501692961</v>
      </c>
      <c r="T26" s="63">
        <f t="shared" si="7"/>
        <v>40.170172524522322</v>
      </c>
      <c r="U26" s="63">
        <f t="shared" si="7"/>
        <v>40.44698995026296</v>
      </c>
      <c r="V26" s="63">
        <f t="shared" si="7"/>
        <v>41.875608792777413</v>
      </c>
      <c r="W26" s="63">
        <f t="shared" si="7"/>
        <v>38.753581127565319</v>
      </c>
      <c r="X26" s="63">
        <f t="shared" si="7"/>
        <v>41.872982128600938</v>
      </c>
      <c r="Y26" s="63">
        <f t="shared" si="7"/>
        <v>43.992055385571135</v>
      </c>
      <c r="Z26" s="63">
        <f t="shared" si="7"/>
        <v>36.455106881384062</v>
      </c>
      <c r="AA26" s="63">
        <f t="shared" si="7"/>
        <v>37.432605289963824</v>
      </c>
    </row>
    <row r="27" spans="1:27">
      <c r="A27" s="51" t="s">
        <v>67</v>
      </c>
      <c r="B27" s="62">
        <f t="shared" si="6"/>
        <v>0.69136169294260952</v>
      </c>
      <c r="C27" s="62">
        <f t="shared" si="6"/>
        <v>0.20307498190381049</v>
      </c>
      <c r="D27" s="62">
        <f t="shared" si="6"/>
        <v>0.76325497651813701</v>
      </c>
      <c r="E27" s="62">
        <f t="shared" si="6"/>
        <v>3.0785256997482113</v>
      </c>
      <c r="F27" s="62">
        <f t="shared" si="6"/>
        <v>4.1002186526546396</v>
      </c>
      <c r="G27" s="62">
        <f t="shared" si="6"/>
        <v>4.28826820082626</v>
      </c>
      <c r="H27" s="62">
        <f t="shared" si="6"/>
        <v>4.7123313374724827</v>
      </c>
      <c r="I27" s="62">
        <f t="shared" si="6"/>
        <v>4.6715625919727488</v>
      </c>
      <c r="J27" s="62">
        <f t="shared" si="6"/>
        <v>4.275162644927855</v>
      </c>
      <c r="K27" s="62">
        <f t="shared" si="6"/>
        <v>3.6435976295851775</v>
      </c>
      <c r="L27" s="62">
        <f t="shared" si="6"/>
        <v>2.9681120347864138</v>
      </c>
      <c r="M27" s="62">
        <f t="shared" si="6"/>
        <v>0.66563747198508838</v>
      </c>
      <c r="N27" s="62">
        <f t="shared" si="6"/>
        <v>1.0869250688531631</v>
      </c>
      <c r="O27" s="63">
        <f t="shared" si="7"/>
        <v>2.275121481987525</v>
      </c>
      <c r="P27" s="63">
        <f t="shared" si="7"/>
        <v>2.9202936974132543</v>
      </c>
      <c r="Q27" s="63">
        <f t="shared" si="7"/>
        <v>3.2822458931802934</v>
      </c>
      <c r="R27" s="63">
        <f t="shared" si="7"/>
        <v>2.9499388810199552</v>
      </c>
      <c r="S27" s="63">
        <f t="shared" si="7"/>
        <v>2.9025532204376985</v>
      </c>
      <c r="T27" s="63">
        <f t="shared" si="7"/>
        <v>2.2415270193363463</v>
      </c>
      <c r="U27" s="63">
        <f t="shared" si="7"/>
        <v>2.5668772285005423</v>
      </c>
      <c r="V27" s="63">
        <f t="shared" si="7"/>
        <v>2.0894212611074918</v>
      </c>
      <c r="W27" s="63">
        <f t="shared" si="7"/>
        <v>3.0278566252222694</v>
      </c>
      <c r="X27" s="63">
        <f t="shared" si="7"/>
        <v>2.4780568019087656</v>
      </c>
      <c r="Y27" s="63">
        <f t="shared" si="7"/>
        <v>2.5231632897142866</v>
      </c>
      <c r="Z27" s="63">
        <f t="shared" si="7"/>
        <v>1.6579648844535499</v>
      </c>
      <c r="AA27" s="63">
        <f t="shared" si="7"/>
        <v>3.6175918222511467</v>
      </c>
    </row>
    <row r="28" spans="1:27">
      <c r="A28" s="51" t="s">
        <v>68</v>
      </c>
      <c r="B28" s="62">
        <f t="shared" si="6"/>
        <v>3.9187030993393739</v>
      </c>
      <c r="C28" s="62">
        <f t="shared" si="6"/>
        <v>3.5286897821417611</v>
      </c>
      <c r="D28" s="62">
        <f t="shared" si="6"/>
        <v>4.3484129282449668</v>
      </c>
      <c r="E28" s="62">
        <f t="shared" si="6"/>
        <v>4.736773227662237</v>
      </c>
      <c r="F28" s="62">
        <f t="shared" si="6"/>
        <v>5.7003731215554723</v>
      </c>
      <c r="G28" s="62">
        <f t="shared" si="6"/>
        <v>5.5650339638488671</v>
      </c>
      <c r="H28" s="62">
        <f t="shared" si="6"/>
        <v>4.841274893812832</v>
      </c>
      <c r="I28" s="62">
        <f t="shared" si="6"/>
        <v>5.1013057155312982</v>
      </c>
      <c r="J28" s="62">
        <f t="shared" si="6"/>
        <v>5.7182347192999448</v>
      </c>
      <c r="K28" s="62">
        <f t="shared" si="6"/>
        <v>6.1147700847648343</v>
      </c>
      <c r="L28" s="62">
        <f t="shared" si="6"/>
        <v>6.781866902734099</v>
      </c>
      <c r="M28" s="62">
        <f t="shared" si="6"/>
        <v>4.9045670249828026</v>
      </c>
      <c r="N28" s="62">
        <f t="shared" si="6"/>
        <v>4.7177036384950108</v>
      </c>
      <c r="O28" s="63">
        <f t="shared" si="7"/>
        <v>4.2418046393766149</v>
      </c>
      <c r="P28" s="63">
        <f t="shared" si="7"/>
        <v>4.1478276168345767</v>
      </c>
      <c r="Q28" s="63">
        <f t="shared" si="7"/>
        <v>4.0868337092315929</v>
      </c>
      <c r="R28" s="63">
        <f t="shared" si="7"/>
        <v>3.8123662011746369</v>
      </c>
      <c r="S28" s="63">
        <f t="shared" si="7"/>
        <v>4.0135675267310589</v>
      </c>
      <c r="T28" s="63">
        <f t="shared" si="7"/>
        <v>4.3712427444523927</v>
      </c>
      <c r="U28" s="63">
        <f t="shared" si="7"/>
        <v>5.8821691157322098</v>
      </c>
      <c r="V28" s="63">
        <f t="shared" si="7"/>
        <v>5.4766903008436421</v>
      </c>
      <c r="W28" s="63">
        <f t="shared" si="7"/>
        <v>7.9175840033692575</v>
      </c>
      <c r="X28" s="63">
        <f t="shared" si="7"/>
        <v>5.4144536089732886</v>
      </c>
      <c r="Y28" s="63">
        <f t="shared" si="7"/>
        <v>5.0050617442101695</v>
      </c>
      <c r="Z28" s="63">
        <f t="shared" si="7"/>
        <v>5.1934586096240976</v>
      </c>
      <c r="AA28" s="63">
        <f t="shared" si="7"/>
        <v>6.5822853038981748</v>
      </c>
    </row>
    <row r="29" spans="1:27">
      <c r="A29" s="51" t="s">
        <v>69</v>
      </c>
      <c r="B29" s="62">
        <f t="shared" si="6"/>
        <v>11.817795727488086</v>
      </c>
      <c r="C29" s="62">
        <f t="shared" si="6"/>
        <v>12.33270764672154</v>
      </c>
      <c r="D29" s="62">
        <f t="shared" si="6"/>
        <v>12.630346373216828</v>
      </c>
      <c r="E29" s="62">
        <f t="shared" si="6"/>
        <v>14.59527934964116</v>
      </c>
      <c r="F29" s="62">
        <f t="shared" si="6"/>
        <v>13.254052134323761</v>
      </c>
      <c r="G29" s="62">
        <f t="shared" si="6"/>
        <v>13.685532726822608</v>
      </c>
      <c r="H29" s="62">
        <f t="shared" si="6"/>
        <v>13.980072664077744</v>
      </c>
      <c r="I29" s="62">
        <f t="shared" si="6"/>
        <v>15.299795606438193</v>
      </c>
      <c r="J29" s="62">
        <f t="shared" si="6"/>
        <v>16.063009686800303</v>
      </c>
      <c r="K29" s="62">
        <f t="shared" si="6"/>
        <v>16.417373040282047</v>
      </c>
      <c r="L29" s="62">
        <f t="shared" si="6"/>
        <v>15.88601363339717</v>
      </c>
      <c r="M29" s="62">
        <f t="shared" si="6"/>
        <v>16.320005579207308</v>
      </c>
      <c r="N29" s="62">
        <f t="shared" si="6"/>
        <v>16.606810659749303</v>
      </c>
      <c r="O29" s="63">
        <f t="shared" si="7"/>
        <v>20.639704435206717</v>
      </c>
      <c r="P29" s="63">
        <f t="shared" si="7"/>
        <v>20.298993755794779</v>
      </c>
      <c r="Q29" s="63">
        <f t="shared" si="7"/>
        <v>20.857144933610151</v>
      </c>
      <c r="R29" s="63">
        <f t="shared" si="7"/>
        <v>19.597408484690266</v>
      </c>
      <c r="S29" s="63">
        <f t="shared" si="7"/>
        <v>20.792998545142936</v>
      </c>
      <c r="T29" s="63">
        <f t="shared" si="7"/>
        <v>21.291551453303097</v>
      </c>
      <c r="U29" s="63">
        <f t="shared" si="7"/>
        <v>21.911809130364716</v>
      </c>
      <c r="V29" s="63">
        <f t="shared" si="7"/>
        <v>23.275663909557682</v>
      </c>
      <c r="W29" s="63">
        <f t="shared" si="7"/>
        <v>23.17437803280551</v>
      </c>
      <c r="X29" s="63">
        <f t="shared" si="7"/>
        <v>22.52435641045733</v>
      </c>
      <c r="Y29" s="63">
        <f t="shared" si="7"/>
        <v>23.873804425086753</v>
      </c>
      <c r="Z29" s="63">
        <f t="shared" si="7"/>
        <v>37.702435764692062</v>
      </c>
      <c r="AA29" s="63">
        <f t="shared" si="7"/>
        <v>29.823959003454142</v>
      </c>
    </row>
    <row r="30" spans="1:27">
      <c r="A30" s="51" t="s">
        <v>70</v>
      </c>
      <c r="B30" s="62">
        <f t="shared" si="6"/>
        <v>12.285396087702386</v>
      </c>
      <c r="C30" s="62">
        <f t="shared" si="6"/>
        <v>12.849772339994486</v>
      </c>
      <c r="D30" s="62">
        <f t="shared" si="6"/>
        <v>15.948931669667477</v>
      </c>
      <c r="E30" s="62">
        <f t="shared" si="6"/>
        <v>10.258908146759984</v>
      </c>
      <c r="F30" s="62">
        <f t="shared" si="6"/>
        <v>11.020029610105091</v>
      </c>
      <c r="G30" s="62">
        <f t="shared" si="6"/>
        <v>9.8272029780997752</v>
      </c>
      <c r="H30" s="62">
        <f t="shared" si="6"/>
        <v>9.4605703002056174</v>
      </c>
      <c r="I30" s="62">
        <f t="shared" si="6"/>
        <v>7.7334605786294084</v>
      </c>
      <c r="J30" s="62">
        <f t="shared" si="6"/>
        <v>7.1128874646758984</v>
      </c>
      <c r="K30" s="62">
        <f t="shared" si="6"/>
        <v>7.0338309204110718</v>
      </c>
      <c r="L30" s="62">
        <f t="shared" si="6"/>
        <v>5.678381596800012</v>
      </c>
      <c r="M30" s="62">
        <f t="shared" si="6"/>
        <v>4.308542844191126</v>
      </c>
      <c r="N30" s="62">
        <f t="shared" si="6"/>
        <v>4.1718940198222514</v>
      </c>
      <c r="O30" s="63">
        <f t="shared" si="7"/>
        <v>3.0029067141567567</v>
      </c>
      <c r="P30" s="63">
        <f t="shared" si="7"/>
        <v>2.0417096106701211</v>
      </c>
      <c r="Q30" s="641">
        <f t="shared" si="7"/>
        <v>9.9375225599519368</v>
      </c>
      <c r="R30" s="641">
        <f t="shared" si="7"/>
        <v>7.6187939540716885</v>
      </c>
      <c r="S30" s="641">
        <f t="shared" si="7"/>
        <v>9.2395358301815396</v>
      </c>
      <c r="T30" s="641">
        <f t="shared" si="7"/>
        <v>7.3803984747355225</v>
      </c>
      <c r="U30" s="641">
        <f t="shared" si="7"/>
        <v>6.241302758668442</v>
      </c>
      <c r="V30" s="641">
        <f t="shared" si="7"/>
        <v>5.8058035175681564</v>
      </c>
      <c r="W30" s="641">
        <f t="shared" si="7"/>
        <v>6.7690985341547618</v>
      </c>
      <c r="X30" s="641">
        <f t="shared" si="7"/>
        <v>5.8825032450608639</v>
      </c>
      <c r="Y30" s="641">
        <f t="shared" si="7"/>
        <v>5.6832674494137336</v>
      </c>
      <c r="Z30" s="641">
        <f t="shared" si="7"/>
        <v>5.3153569933690212</v>
      </c>
      <c r="AA30" s="641">
        <f t="shared" si="7"/>
        <v>7.7878664318322137</v>
      </c>
    </row>
    <row r="31" spans="1:27">
      <c r="A31" s="51" t="s">
        <v>71</v>
      </c>
      <c r="B31" s="62">
        <f t="shared" si="6"/>
        <v>3.102246064260465</v>
      </c>
      <c r="C31" s="62">
        <f t="shared" si="6"/>
        <v>3.7631476138555282</v>
      </c>
      <c r="D31" s="62">
        <f t="shared" si="6"/>
        <v>4.5622049028618914</v>
      </c>
      <c r="E31" s="62">
        <f t="shared" si="6"/>
        <v>3.4970397784675948</v>
      </c>
      <c r="F31" s="62">
        <f t="shared" si="6"/>
        <v>2.0620635504741038</v>
      </c>
      <c r="G31" s="62">
        <f t="shared" si="6"/>
        <v>2.6579282723466231</v>
      </c>
      <c r="H31" s="62">
        <f t="shared" si="6"/>
        <v>4.5627255395358031</v>
      </c>
      <c r="I31" s="62">
        <f t="shared" si="6"/>
        <v>6.3667926929156531</v>
      </c>
      <c r="J31" s="62">
        <f t="shared" si="6"/>
        <v>5.666763505324659</v>
      </c>
      <c r="K31" s="62">
        <f t="shared" si="6"/>
        <v>4.1879528917560576</v>
      </c>
      <c r="L31" s="62">
        <f t="shared" si="6"/>
        <v>3.2614149207862155</v>
      </c>
      <c r="M31" s="62">
        <f t="shared" si="6"/>
        <v>4.6318832677670807</v>
      </c>
      <c r="N31" s="62">
        <f t="shared" si="6"/>
        <v>5.1569620627591037</v>
      </c>
      <c r="O31" s="63">
        <f t="shared" si="7"/>
        <v>6.2286475553750282</v>
      </c>
      <c r="P31" s="63">
        <f t="shared" si="7"/>
        <v>6.9297467556858061</v>
      </c>
      <c r="Q31" s="642"/>
      <c r="R31" s="642"/>
      <c r="S31" s="642"/>
      <c r="T31" s="642"/>
      <c r="U31" s="642"/>
      <c r="V31" s="642"/>
      <c r="W31" s="642"/>
      <c r="X31" s="642"/>
      <c r="Y31" s="642"/>
      <c r="Z31" s="642"/>
      <c r="AA31" s="642"/>
    </row>
    <row r="32" spans="1:27">
      <c r="A32" s="51" t="s">
        <v>72</v>
      </c>
      <c r="B32" s="62">
        <f t="shared" si="6"/>
        <v>26.326164035304444</v>
      </c>
      <c r="C32" s="62">
        <f t="shared" si="6"/>
        <v>25.665797368891962</v>
      </c>
      <c r="D32" s="62">
        <f t="shared" si="6"/>
        <v>24.545736121778326</v>
      </c>
      <c r="E32" s="62">
        <f t="shared" si="6"/>
        <v>26.512435024315174</v>
      </c>
      <c r="F32" s="62">
        <f t="shared" si="6"/>
        <v>27.143630404272074</v>
      </c>
      <c r="G32" s="62">
        <f t="shared" si="6"/>
        <v>28.23727919739094</v>
      </c>
      <c r="H32" s="62">
        <f t="shared" si="6"/>
        <v>26.979973261942497</v>
      </c>
      <c r="I32" s="62">
        <f t="shared" si="6"/>
        <v>25.239673365040165</v>
      </c>
      <c r="J32" s="62">
        <f t="shared" si="6"/>
        <v>24.864117755808117</v>
      </c>
      <c r="K32" s="62">
        <f t="shared" si="6"/>
        <v>24.881494261495764</v>
      </c>
      <c r="L32" s="62">
        <f t="shared" si="6"/>
        <v>24.391734454318311</v>
      </c>
      <c r="M32" s="62">
        <f t="shared" si="6"/>
        <v>26.153358460899582</v>
      </c>
      <c r="N32" s="62">
        <f t="shared" si="6"/>
        <v>25.125633310848482</v>
      </c>
      <c r="O32" s="63">
        <f t="shared" si="7"/>
        <v>26.306510884175903</v>
      </c>
      <c r="P32" s="63">
        <f t="shared" si="7"/>
        <v>25.551017476104061</v>
      </c>
      <c r="Q32" s="63">
        <f t="shared" si="7"/>
        <v>23.313787431351127</v>
      </c>
      <c r="R32" s="63">
        <f t="shared" si="7"/>
        <v>29.155723164828395</v>
      </c>
      <c r="S32" s="63">
        <f t="shared" si="7"/>
        <v>24.748264375813807</v>
      </c>
      <c r="T32" s="63">
        <f t="shared" si="7"/>
        <v>24.545107783650323</v>
      </c>
      <c r="U32" s="63">
        <f t="shared" si="7"/>
        <v>22.950851816471125</v>
      </c>
      <c r="V32" s="63">
        <f t="shared" si="7"/>
        <v>21.476812218145614</v>
      </c>
      <c r="W32" s="63">
        <f t="shared" si="7"/>
        <v>20.357501676882887</v>
      </c>
      <c r="X32" s="63">
        <f t="shared" si="7"/>
        <v>21.827647804998811</v>
      </c>
      <c r="Y32" s="63">
        <f t="shared" si="7"/>
        <v>18.922647706003922</v>
      </c>
      <c r="Z32" s="63">
        <f t="shared" si="7"/>
        <v>13.675676866477209</v>
      </c>
      <c r="AA32" s="63">
        <f t="shared" si="7"/>
        <v>14.755692148600502</v>
      </c>
    </row>
    <row r="33" spans="1:27">
      <c r="A33" s="51" t="s">
        <v>73</v>
      </c>
      <c r="B33" s="64">
        <f>SUM(B26:B32)</f>
        <v>100</v>
      </c>
      <c r="C33" s="64">
        <f t="shared" ref="C33:AA33" si="8">SUM(C26:C32)</f>
        <v>99.999999999999986</v>
      </c>
      <c r="D33" s="64">
        <f t="shared" si="8"/>
        <v>100</v>
      </c>
      <c r="E33" s="64">
        <f t="shared" si="8"/>
        <v>100</v>
      </c>
      <c r="F33" s="64">
        <f t="shared" si="8"/>
        <v>100</v>
      </c>
      <c r="G33" s="64">
        <f t="shared" si="8"/>
        <v>100</v>
      </c>
      <c r="H33" s="64">
        <f t="shared" si="8"/>
        <v>100</v>
      </c>
      <c r="I33" s="64">
        <f t="shared" si="8"/>
        <v>100</v>
      </c>
      <c r="J33" s="64">
        <f t="shared" si="8"/>
        <v>99.999999999999972</v>
      </c>
      <c r="K33" s="64">
        <f t="shared" si="8"/>
        <v>100</v>
      </c>
      <c r="L33" s="64">
        <f t="shared" si="8"/>
        <v>100</v>
      </c>
      <c r="M33" s="64">
        <f t="shared" si="8"/>
        <v>99.999999999999986</v>
      </c>
      <c r="N33" s="64">
        <f t="shared" si="8"/>
        <v>100</v>
      </c>
      <c r="O33" s="64">
        <f t="shared" si="8"/>
        <v>100</v>
      </c>
      <c r="P33" s="64">
        <f t="shared" si="8"/>
        <v>100.00000000000001</v>
      </c>
      <c r="Q33" s="64">
        <f t="shared" si="8"/>
        <v>100</v>
      </c>
      <c r="R33" s="64">
        <f t="shared" si="8"/>
        <v>100</v>
      </c>
      <c r="S33" s="64">
        <f t="shared" si="8"/>
        <v>100</v>
      </c>
      <c r="T33" s="64">
        <f t="shared" si="8"/>
        <v>100.00000000000001</v>
      </c>
      <c r="U33" s="64">
        <f t="shared" si="8"/>
        <v>100</v>
      </c>
      <c r="V33" s="64">
        <f t="shared" si="8"/>
        <v>99.999999999999986</v>
      </c>
      <c r="W33" s="64">
        <f t="shared" si="8"/>
        <v>100.00000000000001</v>
      </c>
      <c r="X33" s="64">
        <f t="shared" si="8"/>
        <v>100</v>
      </c>
      <c r="Y33" s="64">
        <f t="shared" si="8"/>
        <v>100</v>
      </c>
      <c r="Z33" s="64">
        <f t="shared" si="8"/>
        <v>100</v>
      </c>
      <c r="AA33" s="64">
        <f t="shared" si="8"/>
        <v>100</v>
      </c>
    </row>
    <row r="35" spans="1:27">
      <c r="A35" s="637" t="s">
        <v>78</v>
      </c>
      <c r="B35" s="637"/>
      <c r="C35" s="637"/>
      <c r="D35" s="637"/>
      <c r="E35" s="65" t="s">
        <v>79</v>
      </c>
    </row>
    <row r="36" spans="1:27">
      <c r="A36" s="47"/>
      <c r="B36" s="48" t="s">
        <v>47</v>
      </c>
      <c r="C36" s="48" t="s">
        <v>61</v>
      </c>
      <c r="D36" s="48" t="s">
        <v>48</v>
      </c>
      <c r="E36" s="48" t="s">
        <v>62</v>
      </c>
      <c r="F36" s="48" t="s">
        <v>49</v>
      </c>
      <c r="G36" s="48" t="s">
        <v>63</v>
      </c>
      <c r="H36" s="48" t="s">
        <v>50</v>
      </c>
      <c r="I36" s="48" t="s">
        <v>64</v>
      </c>
      <c r="J36" s="48" t="s">
        <v>51</v>
      </c>
      <c r="K36" s="48" t="s">
        <v>52</v>
      </c>
      <c r="L36" s="48" t="s">
        <v>65</v>
      </c>
      <c r="M36" s="61" t="s">
        <v>158</v>
      </c>
      <c r="N36" s="61" t="s">
        <v>104</v>
      </c>
      <c r="O36" s="61" t="s">
        <v>106</v>
      </c>
      <c r="P36" s="61" t="s">
        <v>112</v>
      </c>
      <c r="Q36" s="61" t="s">
        <v>133</v>
      </c>
      <c r="R36" s="49" t="s">
        <v>141</v>
      </c>
      <c r="S36" s="49" t="s">
        <v>159</v>
      </c>
      <c r="T36" s="49" t="s">
        <v>164</v>
      </c>
      <c r="U36" s="49" t="s">
        <v>169</v>
      </c>
      <c r="V36" s="49" t="s">
        <v>193</v>
      </c>
      <c r="W36" s="49" t="s">
        <v>197</v>
      </c>
      <c r="X36" s="49" t="s">
        <v>216</v>
      </c>
      <c r="Y36" s="49" t="s">
        <v>225</v>
      </c>
      <c r="Z36" s="49" t="s">
        <v>279</v>
      </c>
      <c r="AA36" s="49" t="s">
        <v>380</v>
      </c>
    </row>
    <row r="37" spans="1:27">
      <c r="A37" s="51" t="s">
        <v>66</v>
      </c>
      <c r="B37" s="64">
        <f>ROUND(B26,1)</f>
        <v>41.9</v>
      </c>
      <c r="C37" s="64">
        <f t="shared" ref="C37:Z40" si="9">ROUND(C26,1)</f>
        <v>41.7</v>
      </c>
      <c r="D37" s="64">
        <f t="shared" si="9"/>
        <v>37.200000000000003</v>
      </c>
      <c r="E37" s="64">
        <f t="shared" si="9"/>
        <v>37.299999999999997</v>
      </c>
      <c r="F37" s="64">
        <f t="shared" si="9"/>
        <v>36.700000000000003</v>
      </c>
      <c r="G37" s="64">
        <f t="shared" si="9"/>
        <v>35.700000000000003</v>
      </c>
      <c r="H37" s="64">
        <f t="shared" si="9"/>
        <v>35.5</v>
      </c>
      <c r="I37" s="64">
        <f t="shared" si="9"/>
        <v>35.6</v>
      </c>
      <c r="J37" s="64">
        <f t="shared" si="9"/>
        <v>36.299999999999997</v>
      </c>
      <c r="K37" s="64">
        <f t="shared" si="9"/>
        <v>37.700000000000003</v>
      </c>
      <c r="L37" s="64">
        <f t="shared" si="9"/>
        <v>41</v>
      </c>
      <c r="M37" s="64">
        <f t="shared" si="9"/>
        <v>43</v>
      </c>
      <c r="N37" s="64">
        <f t="shared" si="9"/>
        <v>43.1</v>
      </c>
      <c r="O37" s="64">
        <f t="shared" si="9"/>
        <v>37.299999999999997</v>
      </c>
      <c r="P37" s="64">
        <f t="shared" si="9"/>
        <v>38.1</v>
      </c>
      <c r="Q37" s="64">
        <f t="shared" si="9"/>
        <v>38.5</v>
      </c>
      <c r="R37" s="64">
        <f t="shared" si="9"/>
        <v>36.9</v>
      </c>
      <c r="S37" s="64">
        <f t="shared" si="9"/>
        <v>38.299999999999997</v>
      </c>
      <c r="T37" s="64">
        <f t="shared" si="9"/>
        <v>40.200000000000003</v>
      </c>
      <c r="U37" s="64">
        <f t="shared" si="9"/>
        <v>40.4</v>
      </c>
      <c r="V37" s="64">
        <f t="shared" si="9"/>
        <v>41.9</v>
      </c>
      <c r="W37" s="64">
        <f t="shared" si="9"/>
        <v>38.799999999999997</v>
      </c>
      <c r="X37" s="64">
        <f t="shared" si="9"/>
        <v>41.9</v>
      </c>
      <c r="Y37" s="64">
        <f t="shared" si="9"/>
        <v>44</v>
      </c>
      <c r="Z37" s="64">
        <f t="shared" si="9"/>
        <v>36.5</v>
      </c>
      <c r="AA37" s="64">
        <f>ROUND(AA26,1)</f>
        <v>37.4</v>
      </c>
    </row>
    <row r="38" spans="1:27">
      <c r="A38" s="51" t="s">
        <v>67</v>
      </c>
      <c r="B38" s="64">
        <f>ROUND(B27,1)</f>
        <v>0.7</v>
      </c>
      <c r="C38" s="64">
        <f t="shared" si="9"/>
        <v>0.2</v>
      </c>
      <c r="D38" s="64">
        <f t="shared" si="9"/>
        <v>0.8</v>
      </c>
      <c r="E38" s="64">
        <f t="shared" si="9"/>
        <v>3.1</v>
      </c>
      <c r="F38" s="64">
        <f t="shared" si="9"/>
        <v>4.0999999999999996</v>
      </c>
      <c r="G38" s="64">
        <f t="shared" si="9"/>
        <v>4.3</v>
      </c>
      <c r="H38" s="64">
        <f t="shared" si="9"/>
        <v>4.7</v>
      </c>
      <c r="I38" s="64">
        <f t="shared" si="9"/>
        <v>4.7</v>
      </c>
      <c r="J38" s="64">
        <f t="shared" si="9"/>
        <v>4.3</v>
      </c>
      <c r="K38" s="64">
        <f>ROUND(K27,1)+0.1</f>
        <v>3.7</v>
      </c>
      <c r="L38" s="64">
        <f>ROUND(L27,1)</f>
        <v>3</v>
      </c>
      <c r="M38" s="64">
        <f t="shared" si="9"/>
        <v>0.7</v>
      </c>
      <c r="N38" s="64">
        <f t="shared" si="9"/>
        <v>1.1000000000000001</v>
      </c>
      <c r="O38" s="64">
        <f t="shared" si="9"/>
        <v>2.2999999999999998</v>
      </c>
      <c r="P38" s="64">
        <f t="shared" si="9"/>
        <v>2.9</v>
      </c>
      <c r="Q38" s="64">
        <f t="shared" si="9"/>
        <v>3.3</v>
      </c>
      <c r="R38" s="64">
        <f t="shared" si="9"/>
        <v>2.9</v>
      </c>
      <c r="S38" s="64">
        <f t="shared" si="9"/>
        <v>2.9</v>
      </c>
      <c r="T38" s="64">
        <f t="shared" si="9"/>
        <v>2.2000000000000002</v>
      </c>
      <c r="U38" s="64">
        <f t="shared" si="9"/>
        <v>2.6</v>
      </c>
      <c r="V38" s="64">
        <f t="shared" si="9"/>
        <v>2.1</v>
      </c>
      <c r="W38" s="64">
        <f t="shared" si="9"/>
        <v>3</v>
      </c>
      <c r="X38" s="64">
        <f t="shared" si="9"/>
        <v>2.5</v>
      </c>
      <c r="Y38" s="64">
        <f t="shared" si="9"/>
        <v>2.5</v>
      </c>
      <c r="Z38" s="64">
        <f t="shared" si="9"/>
        <v>1.7</v>
      </c>
      <c r="AA38" s="64">
        <f t="shared" ref="AA38:AA40" si="10">ROUND(AA27,1)</f>
        <v>3.6</v>
      </c>
    </row>
    <row r="39" spans="1:27">
      <c r="A39" s="51" t="s">
        <v>68</v>
      </c>
      <c r="B39" s="64">
        <f>ROUND(B28,1)</f>
        <v>3.9</v>
      </c>
      <c r="C39" s="64">
        <f>ROUND(C28,1)</f>
        <v>3.5</v>
      </c>
      <c r="D39" s="64">
        <f>ROUND(D28,1)+0.1</f>
        <v>4.3999999999999995</v>
      </c>
      <c r="E39" s="64">
        <f t="shared" si="9"/>
        <v>4.7</v>
      </c>
      <c r="F39" s="64">
        <f t="shared" si="9"/>
        <v>5.7</v>
      </c>
      <c r="G39" s="64">
        <f t="shared" si="9"/>
        <v>5.6</v>
      </c>
      <c r="H39" s="64">
        <f t="shared" si="9"/>
        <v>4.8</v>
      </c>
      <c r="I39" s="64">
        <f t="shared" si="9"/>
        <v>5.0999999999999996</v>
      </c>
      <c r="J39" s="64">
        <f t="shared" si="9"/>
        <v>5.7</v>
      </c>
      <c r="K39" s="64">
        <f>ROUND(K28,1)</f>
        <v>6.1</v>
      </c>
      <c r="L39" s="64">
        <f>ROUND(L28,1)</f>
        <v>6.8</v>
      </c>
      <c r="M39" s="64">
        <f t="shared" si="9"/>
        <v>4.9000000000000004</v>
      </c>
      <c r="N39" s="64">
        <f t="shared" si="9"/>
        <v>4.7</v>
      </c>
      <c r="O39" s="66">
        <f>ROUND(O28,1)+0.1</f>
        <v>4.3</v>
      </c>
      <c r="P39" s="66">
        <f t="shared" si="9"/>
        <v>4.0999999999999996</v>
      </c>
      <c r="Q39" s="66">
        <f t="shared" si="9"/>
        <v>4.0999999999999996</v>
      </c>
      <c r="R39" s="66">
        <f t="shared" si="9"/>
        <v>3.8</v>
      </c>
      <c r="S39" s="66">
        <f t="shared" si="9"/>
        <v>4</v>
      </c>
      <c r="T39" s="66">
        <f t="shared" si="9"/>
        <v>4.4000000000000004</v>
      </c>
      <c r="U39" s="66">
        <f t="shared" si="9"/>
        <v>5.9</v>
      </c>
      <c r="V39" s="66">
        <f t="shared" si="9"/>
        <v>5.5</v>
      </c>
      <c r="W39" s="66">
        <f t="shared" si="9"/>
        <v>7.9</v>
      </c>
      <c r="X39" s="66">
        <f t="shared" si="9"/>
        <v>5.4</v>
      </c>
      <c r="Y39" s="66">
        <f t="shared" si="9"/>
        <v>5</v>
      </c>
      <c r="Z39" s="66">
        <f t="shared" si="9"/>
        <v>5.2</v>
      </c>
      <c r="AA39" s="66">
        <f t="shared" si="10"/>
        <v>6.6</v>
      </c>
    </row>
    <row r="40" spans="1:27">
      <c r="A40" s="51" t="s">
        <v>69</v>
      </c>
      <c r="B40" s="64">
        <f>ROUND(B29,1)</f>
        <v>11.8</v>
      </c>
      <c r="C40" s="64">
        <f>ROUND(C29,1)</f>
        <v>12.3</v>
      </c>
      <c r="D40" s="64">
        <f>ROUND(D29,1)</f>
        <v>12.6</v>
      </c>
      <c r="E40" s="64">
        <f t="shared" si="9"/>
        <v>14.6</v>
      </c>
      <c r="F40" s="64">
        <f t="shared" si="9"/>
        <v>13.3</v>
      </c>
      <c r="G40" s="64">
        <f t="shared" si="9"/>
        <v>13.7</v>
      </c>
      <c r="H40" s="64">
        <f t="shared" si="9"/>
        <v>14</v>
      </c>
      <c r="I40" s="64">
        <f t="shared" si="9"/>
        <v>15.3</v>
      </c>
      <c r="J40" s="64">
        <f t="shared" si="9"/>
        <v>16.100000000000001</v>
      </c>
      <c r="K40" s="64">
        <f>ROUND(K29,1)</f>
        <v>16.399999999999999</v>
      </c>
      <c r="L40" s="64">
        <f>ROUND(L29,1)</f>
        <v>15.9</v>
      </c>
      <c r="M40" s="64">
        <f t="shared" si="9"/>
        <v>16.3</v>
      </c>
      <c r="N40" s="64">
        <f t="shared" si="9"/>
        <v>16.600000000000001</v>
      </c>
      <c r="O40" s="64">
        <f>ROUND(O29,1)</f>
        <v>20.6</v>
      </c>
      <c r="P40" s="64">
        <f t="shared" si="9"/>
        <v>20.3</v>
      </c>
      <c r="Q40" s="64">
        <f t="shared" si="9"/>
        <v>20.9</v>
      </c>
      <c r="R40" s="64">
        <f t="shared" si="9"/>
        <v>19.600000000000001</v>
      </c>
      <c r="S40" s="64">
        <f t="shared" si="9"/>
        <v>20.8</v>
      </c>
      <c r="T40" s="64">
        <f t="shared" si="9"/>
        <v>21.3</v>
      </c>
      <c r="U40" s="64">
        <f t="shared" si="9"/>
        <v>21.9</v>
      </c>
      <c r="V40" s="64">
        <f t="shared" si="9"/>
        <v>23.3</v>
      </c>
      <c r="W40" s="64">
        <f t="shared" si="9"/>
        <v>23.2</v>
      </c>
      <c r="X40" s="64">
        <f t="shared" si="9"/>
        <v>22.5</v>
      </c>
      <c r="Y40" s="64">
        <f t="shared" si="9"/>
        <v>23.9</v>
      </c>
      <c r="Z40" s="64">
        <f t="shared" si="9"/>
        <v>37.700000000000003</v>
      </c>
      <c r="AA40" s="64">
        <f t="shared" si="10"/>
        <v>29.8</v>
      </c>
    </row>
    <row r="41" spans="1:27">
      <c r="A41" s="51" t="s">
        <v>116</v>
      </c>
      <c r="B41" s="64">
        <f>SUM(B42:B43)</f>
        <v>15.4</v>
      </c>
      <c r="C41" s="64">
        <f t="shared" ref="C41:AA41" si="11">SUM(C42:C43)</f>
        <v>16.600000000000001</v>
      </c>
      <c r="D41" s="64">
        <f t="shared" si="11"/>
        <v>20.5</v>
      </c>
      <c r="E41" s="64">
        <f t="shared" si="11"/>
        <v>13.8</v>
      </c>
      <c r="F41" s="64">
        <f t="shared" si="11"/>
        <v>13.1</v>
      </c>
      <c r="G41" s="64">
        <f t="shared" si="11"/>
        <v>12.5</v>
      </c>
      <c r="H41" s="64">
        <f t="shared" si="11"/>
        <v>14</v>
      </c>
      <c r="I41" s="64">
        <f t="shared" si="11"/>
        <v>14.100000000000001</v>
      </c>
      <c r="J41" s="64">
        <f t="shared" si="11"/>
        <v>12.8</v>
      </c>
      <c r="K41" s="64">
        <f t="shared" si="11"/>
        <v>11.2</v>
      </c>
      <c r="L41" s="64">
        <f t="shared" si="11"/>
        <v>8.9</v>
      </c>
      <c r="M41" s="64">
        <f t="shared" si="11"/>
        <v>8.8999999999999986</v>
      </c>
      <c r="N41" s="64">
        <f t="shared" si="11"/>
        <v>9.3000000000000007</v>
      </c>
      <c r="O41" s="64">
        <f t="shared" si="11"/>
        <v>9.1999999999999993</v>
      </c>
      <c r="P41" s="64">
        <f t="shared" si="11"/>
        <v>9</v>
      </c>
      <c r="Q41" s="64">
        <f t="shared" si="11"/>
        <v>9.9</v>
      </c>
      <c r="R41" s="64">
        <f t="shared" si="11"/>
        <v>7.6</v>
      </c>
      <c r="S41" s="64">
        <f t="shared" si="11"/>
        <v>9.1999999999999993</v>
      </c>
      <c r="T41" s="64">
        <f t="shared" si="11"/>
        <v>7.4</v>
      </c>
      <c r="U41" s="64">
        <f t="shared" si="11"/>
        <v>6.2</v>
      </c>
      <c r="V41" s="64">
        <f t="shared" si="11"/>
        <v>5.8</v>
      </c>
      <c r="W41" s="64">
        <f t="shared" si="11"/>
        <v>6.8</v>
      </c>
      <c r="X41" s="64">
        <f t="shared" si="11"/>
        <v>5.9</v>
      </c>
      <c r="Y41" s="64">
        <f t="shared" si="11"/>
        <v>5.7</v>
      </c>
      <c r="Z41" s="64">
        <f t="shared" si="11"/>
        <v>5.3</v>
      </c>
      <c r="AA41" s="64">
        <f t="shared" si="11"/>
        <v>7.8</v>
      </c>
    </row>
    <row r="42" spans="1:27">
      <c r="A42" s="51" t="s">
        <v>117</v>
      </c>
      <c r="B42" s="64">
        <f t="shared" ref="B42:M44" si="12">ROUND(B30,1)</f>
        <v>12.3</v>
      </c>
      <c r="C42" s="64">
        <f t="shared" si="12"/>
        <v>12.8</v>
      </c>
      <c r="D42" s="64">
        <f t="shared" si="12"/>
        <v>15.9</v>
      </c>
      <c r="E42" s="64">
        <f t="shared" si="12"/>
        <v>10.3</v>
      </c>
      <c r="F42" s="64">
        <f t="shared" si="12"/>
        <v>11</v>
      </c>
      <c r="G42" s="64">
        <f t="shared" si="12"/>
        <v>9.8000000000000007</v>
      </c>
      <c r="H42" s="64">
        <f>ROUND(H30,1)-0.1</f>
        <v>9.4</v>
      </c>
      <c r="I42" s="64">
        <f>ROUND(I30,1)</f>
        <v>7.7</v>
      </c>
      <c r="J42" s="64">
        <f>ROUND(J30,1)</f>
        <v>7.1</v>
      </c>
      <c r="K42" s="64">
        <f>ROUND(K30,1)</f>
        <v>7</v>
      </c>
      <c r="L42" s="64">
        <f>ROUND(L30,1)-0.1</f>
        <v>5.6000000000000005</v>
      </c>
      <c r="M42" s="64">
        <f>ROUND(M30,1)</f>
        <v>4.3</v>
      </c>
      <c r="N42" s="64">
        <f>ROUND(N30,1)</f>
        <v>4.2</v>
      </c>
      <c r="O42" s="64">
        <f>ROUND(O30,1)</f>
        <v>3</v>
      </c>
      <c r="P42" s="64">
        <f>ROUND(P30,1)+0.1</f>
        <v>2.1</v>
      </c>
      <c r="Q42" s="67">
        <f t="shared" ref="Q42:AA42" si="13">ROUND(Q30,1)</f>
        <v>9.9</v>
      </c>
      <c r="R42" s="67">
        <f t="shared" si="13"/>
        <v>7.6</v>
      </c>
      <c r="S42" s="67">
        <f t="shared" si="13"/>
        <v>9.1999999999999993</v>
      </c>
      <c r="T42" s="67">
        <f t="shared" si="13"/>
        <v>7.4</v>
      </c>
      <c r="U42" s="67">
        <f t="shared" si="13"/>
        <v>6.2</v>
      </c>
      <c r="V42" s="67">
        <f t="shared" si="13"/>
        <v>5.8</v>
      </c>
      <c r="W42" s="67">
        <f t="shared" si="13"/>
        <v>6.8</v>
      </c>
      <c r="X42" s="67">
        <f t="shared" si="13"/>
        <v>5.9</v>
      </c>
      <c r="Y42" s="67">
        <f t="shared" si="13"/>
        <v>5.7</v>
      </c>
      <c r="Z42" s="67">
        <f t="shared" si="13"/>
        <v>5.3</v>
      </c>
      <c r="AA42" s="67">
        <f t="shared" si="13"/>
        <v>7.8</v>
      </c>
    </row>
    <row r="43" spans="1:27">
      <c r="A43" s="51" t="s">
        <v>118</v>
      </c>
      <c r="B43" s="64">
        <f>ROUND(B31,1)</f>
        <v>3.1</v>
      </c>
      <c r="C43" s="64">
        <f t="shared" si="12"/>
        <v>3.8</v>
      </c>
      <c r="D43" s="64">
        <f t="shared" si="12"/>
        <v>4.5999999999999996</v>
      </c>
      <c r="E43" s="64">
        <f t="shared" si="12"/>
        <v>3.5</v>
      </c>
      <c r="F43" s="64">
        <f t="shared" si="12"/>
        <v>2.1</v>
      </c>
      <c r="G43" s="64">
        <f t="shared" si="12"/>
        <v>2.7</v>
      </c>
      <c r="H43" s="64">
        <f t="shared" si="12"/>
        <v>4.5999999999999996</v>
      </c>
      <c r="I43" s="64">
        <f t="shared" si="12"/>
        <v>6.4</v>
      </c>
      <c r="J43" s="64">
        <f t="shared" si="12"/>
        <v>5.7</v>
      </c>
      <c r="K43" s="64">
        <f t="shared" si="12"/>
        <v>4.2</v>
      </c>
      <c r="L43" s="64">
        <f t="shared" si="12"/>
        <v>3.3</v>
      </c>
      <c r="M43" s="64">
        <f t="shared" si="12"/>
        <v>4.5999999999999996</v>
      </c>
      <c r="N43" s="64">
        <f>ROUND(N31,1)-0.1</f>
        <v>5.1000000000000005</v>
      </c>
      <c r="O43" s="64">
        <f>ROUND(O31,1)</f>
        <v>6.2</v>
      </c>
      <c r="P43" s="64">
        <f>ROUND(P31,1)</f>
        <v>6.9</v>
      </c>
      <c r="Q43" s="68"/>
      <c r="R43" s="68"/>
      <c r="S43" s="68"/>
      <c r="T43" s="68"/>
      <c r="U43" s="68"/>
      <c r="V43" s="68"/>
      <c r="W43" s="68"/>
      <c r="X43" s="68"/>
      <c r="Y43" s="68"/>
      <c r="Z43" s="68"/>
      <c r="AA43" s="68"/>
    </row>
    <row r="44" spans="1:27">
      <c r="A44" s="51" t="s">
        <v>72</v>
      </c>
      <c r="B44" s="64">
        <f t="shared" ref="B44:I44" si="14">ROUND(B32,1)</f>
        <v>26.3</v>
      </c>
      <c r="C44" s="64">
        <f t="shared" si="14"/>
        <v>25.7</v>
      </c>
      <c r="D44" s="64">
        <f t="shared" si="14"/>
        <v>24.5</v>
      </c>
      <c r="E44" s="64">
        <f t="shared" si="14"/>
        <v>26.5</v>
      </c>
      <c r="F44" s="64">
        <f t="shared" si="14"/>
        <v>27.1</v>
      </c>
      <c r="G44" s="64">
        <f t="shared" si="14"/>
        <v>28.2</v>
      </c>
      <c r="H44" s="64">
        <f t="shared" si="14"/>
        <v>27</v>
      </c>
      <c r="I44" s="64">
        <f t="shared" si="14"/>
        <v>25.2</v>
      </c>
      <c r="J44" s="64">
        <f>ROUND(J32,1)-0.1</f>
        <v>24.799999999999997</v>
      </c>
      <c r="K44" s="64">
        <f t="shared" si="12"/>
        <v>24.9</v>
      </c>
      <c r="L44" s="64">
        <f t="shared" si="12"/>
        <v>24.4</v>
      </c>
      <c r="M44" s="64">
        <f t="shared" si="12"/>
        <v>26.2</v>
      </c>
      <c r="N44" s="64">
        <f>ROUND(N32,1)+0.1</f>
        <v>25.200000000000003</v>
      </c>
      <c r="O44" s="64">
        <f>ROUND(O32,1)</f>
        <v>26.3</v>
      </c>
      <c r="P44" s="64">
        <f>ROUND(P32,1)</f>
        <v>25.6</v>
      </c>
      <c r="Q44" s="64">
        <f>ROUND(Q32,1)</f>
        <v>23.3</v>
      </c>
      <c r="R44" s="64">
        <f>ROUND(R32,1)</f>
        <v>29.2</v>
      </c>
      <c r="S44" s="97">
        <f>ROUND(S32,1)+0.1</f>
        <v>24.8</v>
      </c>
      <c r="T44" s="69">
        <f t="shared" ref="T44:AA44" si="15">ROUND(T32,1)</f>
        <v>24.5</v>
      </c>
      <c r="U44" s="69">
        <f t="shared" si="15"/>
        <v>23</v>
      </c>
      <c r="V44" s="69">
        <f t="shared" si="15"/>
        <v>21.5</v>
      </c>
      <c r="W44" s="69">
        <f t="shared" si="15"/>
        <v>20.399999999999999</v>
      </c>
      <c r="X44" s="69">
        <f t="shared" si="15"/>
        <v>21.8</v>
      </c>
      <c r="Y44" s="69">
        <f t="shared" si="15"/>
        <v>18.899999999999999</v>
      </c>
      <c r="Z44" s="69">
        <f t="shared" si="15"/>
        <v>13.7</v>
      </c>
      <c r="AA44" s="69">
        <f t="shared" si="15"/>
        <v>14.8</v>
      </c>
    </row>
    <row r="45" spans="1:27">
      <c r="A45" s="51" t="s">
        <v>73</v>
      </c>
      <c r="B45" s="64">
        <f t="shared" ref="B45:Q45" si="16">SUM(B37:B44)-B41</f>
        <v>99.999999999999986</v>
      </c>
      <c r="C45" s="64">
        <f t="shared" si="16"/>
        <v>100</v>
      </c>
      <c r="D45" s="64">
        <f t="shared" si="16"/>
        <v>100</v>
      </c>
      <c r="E45" s="64">
        <f t="shared" si="16"/>
        <v>100</v>
      </c>
      <c r="F45" s="64">
        <f t="shared" si="16"/>
        <v>100</v>
      </c>
      <c r="G45" s="64">
        <f t="shared" si="16"/>
        <v>100</v>
      </c>
      <c r="H45" s="64">
        <f t="shared" si="16"/>
        <v>100</v>
      </c>
      <c r="I45" s="64">
        <f t="shared" si="16"/>
        <v>100.00000000000003</v>
      </c>
      <c r="J45" s="64">
        <f t="shared" si="16"/>
        <v>100</v>
      </c>
      <c r="K45" s="64">
        <f t="shared" si="16"/>
        <v>100.00000000000001</v>
      </c>
      <c r="L45" s="64">
        <f t="shared" si="16"/>
        <v>100</v>
      </c>
      <c r="M45" s="64">
        <f t="shared" si="16"/>
        <v>100</v>
      </c>
      <c r="N45" s="64">
        <f t="shared" si="16"/>
        <v>100</v>
      </c>
      <c r="O45" s="64">
        <f t="shared" si="16"/>
        <v>100</v>
      </c>
      <c r="P45" s="64">
        <f t="shared" si="16"/>
        <v>100</v>
      </c>
      <c r="Q45" s="64">
        <f t="shared" si="16"/>
        <v>100</v>
      </c>
      <c r="R45" s="64">
        <f t="shared" ref="R45:Y45" si="17">SUM(R37:R44)-R41</f>
        <v>100</v>
      </c>
      <c r="S45" s="64">
        <f t="shared" si="17"/>
        <v>100</v>
      </c>
      <c r="T45" s="64">
        <f t="shared" si="17"/>
        <v>100.00000000000001</v>
      </c>
      <c r="U45" s="64">
        <f t="shared" si="17"/>
        <v>100</v>
      </c>
      <c r="V45" s="64">
        <f t="shared" si="17"/>
        <v>100.1</v>
      </c>
      <c r="W45" s="64">
        <f>SUM(W37:W44)-W41</f>
        <v>100.09999999999998</v>
      </c>
      <c r="X45" s="64">
        <f t="shared" ref="X45" si="18">SUM(X37:X44)-X41</f>
        <v>100</v>
      </c>
      <c r="Y45" s="64">
        <f t="shared" si="17"/>
        <v>100.00000000000001</v>
      </c>
      <c r="Z45" s="64">
        <f t="shared" ref="Z45:AA45" si="19">SUM(Z37:Z44)-Z41</f>
        <v>100.10000000000001</v>
      </c>
      <c r="AA45" s="64">
        <f t="shared" si="19"/>
        <v>100</v>
      </c>
    </row>
    <row r="47" spans="1:27">
      <c r="A47" s="46" t="s">
        <v>60</v>
      </c>
      <c r="I47" s="70"/>
    </row>
    <row r="48" spans="1:27" s="50" customFormat="1">
      <c r="A48" s="47"/>
      <c r="B48" s="48" t="s">
        <v>287</v>
      </c>
      <c r="C48" s="48" t="s">
        <v>264</v>
      </c>
      <c r="D48" s="48" t="s">
        <v>265</v>
      </c>
      <c r="E48" s="49" t="s">
        <v>285</v>
      </c>
      <c r="F48" s="49" t="s">
        <v>270</v>
      </c>
      <c r="G48" s="49" t="s">
        <v>271</v>
      </c>
      <c r="H48" s="49" t="s">
        <v>272</v>
      </c>
      <c r="I48" s="49" t="s">
        <v>280</v>
      </c>
      <c r="J48" s="49" t="s">
        <v>381</v>
      </c>
    </row>
    <row r="49" spans="1:10" s="50" customFormat="1">
      <c r="A49" s="51" t="s">
        <v>66</v>
      </c>
      <c r="B49" s="52">
        <v>777637</v>
      </c>
      <c r="C49" s="52">
        <v>738656</v>
      </c>
      <c r="D49" s="52">
        <v>613049</v>
      </c>
      <c r="E49" s="53">
        <f t="shared" ref="E49:J53" si="20">V5</f>
        <v>659473</v>
      </c>
      <c r="F49" s="53">
        <f t="shared" si="20"/>
        <v>675404</v>
      </c>
      <c r="G49" s="53">
        <f t="shared" si="20"/>
        <v>737441</v>
      </c>
      <c r="H49" s="53">
        <f t="shared" si="20"/>
        <v>776114</v>
      </c>
      <c r="I49" s="53">
        <f t="shared" si="20"/>
        <v>744663</v>
      </c>
      <c r="J49" s="53">
        <f t="shared" si="20"/>
        <v>750030</v>
      </c>
    </row>
    <row r="50" spans="1:10" s="50" customFormat="1">
      <c r="A50" s="51" t="s">
        <v>67</v>
      </c>
      <c r="B50" s="52">
        <v>12844</v>
      </c>
      <c r="C50" s="52">
        <v>15155</v>
      </c>
      <c r="D50" s="52">
        <v>80475</v>
      </c>
      <c r="E50" s="53">
        <f t="shared" si="20"/>
        <v>32905</v>
      </c>
      <c r="F50" s="53">
        <f t="shared" si="20"/>
        <v>52770</v>
      </c>
      <c r="G50" s="53">
        <f t="shared" si="20"/>
        <v>43642</v>
      </c>
      <c r="H50" s="53">
        <f t="shared" si="20"/>
        <v>44514</v>
      </c>
      <c r="I50" s="53">
        <f t="shared" si="20"/>
        <v>33867</v>
      </c>
      <c r="J50" s="53">
        <f t="shared" si="20"/>
        <v>72485</v>
      </c>
    </row>
    <row r="51" spans="1:10" s="50" customFormat="1">
      <c r="A51" s="51" t="s">
        <v>68</v>
      </c>
      <c r="B51" s="52">
        <v>72801</v>
      </c>
      <c r="C51" s="52">
        <v>86341</v>
      </c>
      <c r="D51" s="52">
        <v>87878</v>
      </c>
      <c r="E51" s="53">
        <f t="shared" si="20"/>
        <v>86249</v>
      </c>
      <c r="F51" s="53">
        <f t="shared" si="20"/>
        <v>137989</v>
      </c>
      <c r="G51" s="53">
        <f t="shared" si="20"/>
        <v>95356</v>
      </c>
      <c r="H51" s="53">
        <f t="shared" si="20"/>
        <v>88300</v>
      </c>
      <c r="I51" s="53">
        <f t="shared" si="20"/>
        <v>106086</v>
      </c>
      <c r="J51" s="53">
        <f t="shared" si="20"/>
        <v>131888</v>
      </c>
    </row>
    <row r="52" spans="1:10" s="50" customFormat="1">
      <c r="A52" s="51" t="s">
        <v>69</v>
      </c>
      <c r="B52" s="52">
        <v>219549</v>
      </c>
      <c r="C52" s="52">
        <v>250785</v>
      </c>
      <c r="D52" s="52">
        <v>263563</v>
      </c>
      <c r="E52" s="53">
        <f t="shared" si="20"/>
        <v>366554</v>
      </c>
      <c r="F52" s="53">
        <f t="shared" si="20"/>
        <v>403887</v>
      </c>
      <c r="G52" s="53">
        <f t="shared" si="20"/>
        <v>396685</v>
      </c>
      <c r="H52" s="53">
        <f t="shared" si="20"/>
        <v>421185</v>
      </c>
      <c r="I52" s="53">
        <f t="shared" si="20"/>
        <v>770142</v>
      </c>
      <c r="J52" s="53">
        <f t="shared" si="20"/>
        <v>597577</v>
      </c>
    </row>
    <row r="53" spans="1:10" s="50" customFormat="1">
      <c r="A53" s="51" t="s">
        <v>116</v>
      </c>
      <c r="B53" s="52">
        <f>SUM(B54:B55)</f>
        <v>285869</v>
      </c>
      <c r="C53" s="52">
        <f>SUM(C54:C55)</f>
        <v>407264</v>
      </c>
      <c r="D53" s="52">
        <f>SUM(D54:D55)</f>
        <v>242899</v>
      </c>
      <c r="E53" s="53">
        <f t="shared" si="20"/>
        <v>91432</v>
      </c>
      <c r="F53" s="53">
        <f t="shared" si="20"/>
        <v>117973</v>
      </c>
      <c r="G53" s="53">
        <f t="shared" si="20"/>
        <v>103599</v>
      </c>
      <c r="H53" s="53">
        <f t="shared" si="20"/>
        <v>100265</v>
      </c>
      <c r="I53" s="53">
        <f t="shared" si="20"/>
        <v>108576</v>
      </c>
      <c r="J53" s="53">
        <f t="shared" si="20"/>
        <v>156044</v>
      </c>
    </row>
    <row r="54" spans="1:10" s="50" customFormat="1">
      <c r="A54" s="95" t="s">
        <v>117</v>
      </c>
      <c r="B54" s="96">
        <v>228236</v>
      </c>
      <c r="C54" s="96">
        <v>316678</v>
      </c>
      <c r="D54" s="96">
        <v>133221</v>
      </c>
      <c r="E54" s="53">
        <f t="shared" ref="E54:J57" si="21">V9</f>
        <v>91432</v>
      </c>
      <c r="F54" s="53">
        <f t="shared" si="21"/>
        <v>117973</v>
      </c>
      <c r="G54" s="53">
        <f t="shared" si="21"/>
        <v>103599</v>
      </c>
      <c r="H54" s="53">
        <f t="shared" si="21"/>
        <v>100265</v>
      </c>
      <c r="I54" s="53">
        <f t="shared" si="21"/>
        <v>108576</v>
      </c>
      <c r="J54" s="53">
        <f t="shared" si="21"/>
        <v>156044</v>
      </c>
    </row>
    <row r="55" spans="1:10" s="50" customFormat="1">
      <c r="A55" s="95" t="s">
        <v>118</v>
      </c>
      <c r="B55" s="96">
        <v>57633</v>
      </c>
      <c r="C55" s="96">
        <v>90586</v>
      </c>
      <c r="D55" s="96">
        <v>109678</v>
      </c>
      <c r="E55" s="53">
        <f t="shared" si="21"/>
        <v>0</v>
      </c>
      <c r="F55" s="429"/>
      <c r="G55" s="429"/>
      <c r="H55" s="429"/>
      <c r="I55" s="429"/>
      <c r="J55" s="429"/>
    </row>
    <row r="56" spans="1:10" s="50" customFormat="1">
      <c r="A56" s="51" t="s">
        <v>72</v>
      </c>
      <c r="B56" s="52">
        <v>489083</v>
      </c>
      <c r="C56" s="52">
        <v>487374</v>
      </c>
      <c r="D56" s="52">
        <v>434793</v>
      </c>
      <c r="E56" s="53">
        <f t="shared" si="21"/>
        <v>338225</v>
      </c>
      <c r="F56" s="52">
        <f t="shared" si="21"/>
        <v>354794</v>
      </c>
      <c r="G56" s="52">
        <f t="shared" si="21"/>
        <v>384415</v>
      </c>
      <c r="H56" s="52">
        <f t="shared" si="21"/>
        <v>333836</v>
      </c>
      <c r="I56" s="52">
        <f t="shared" si="21"/>
        <v>279351</v>
      </c>
      <c r="J56" s="52">
        <f t="shared" si="21"/>
        <v>295657</v>
      </c>
    </row>
    <row r="57" spans="1:10" s="50" customFormat="1">
      <c r="A57" s="51" t="s">
        <v>73</v>
      </c>
      <c r="B57" s="52">
        <v>1857783</v>
      </c>
      <c r="C57" s="52">
        <v>1985575</v>
      </c>
      <c r="D57" s="52">
        <v>1722657</v>
      </c>
      <c r="E57" s="53">
        <f t="shared" si="21"/>
        <v>1574838</v>
      </c>
      <c r="F57" s="52">
        <f>W12</f>
        <v>1742817</v>
      </c>
      <c r="G57" s="52">
        <f>X12</f>
        <v>1761138</v>
      </c>
      <c r="H57" s="52">
        <f>Y12</f>
        <v>1764214</v>
      </c>
      <c r="I57" s="52">
        <f>Z12</f>
        <v>2042685</v>
      </c>
      <c r="J57" s="52">
        <f>AA12</f>
        <v>2003681</v>
      </c>
    </row>
    <row r="58" spans="1:10">
      <c r="B58" s="56">
        <f t="shared" ref="B58:J58" si="22">SUM(B49:B56)-B53-B57</f>
        <v>0</v>
      </c>
      <c r="C58" s="56">
        <f t="shared" si="22"/>
        <v>0</v>
      </c>
      <c r="D58" s="56">
        <f t="shared" si="22"/>
        <v>0</v>
      </c>
      <c r="E58" s="56">
        <f t="shared" si="22"/>
        <v>0</v>
      </c>
      <c r="F58" s="56">
        <f t="shared" si="22"/>
        <v>0</v>
      </c>
      <c r="G58" s="56">
        <f t="shared" si="22"/>
        <v>0</v>
      </c>
      <c r="H58" s="56">
        <f t="shared" si="22"/>
        <v>0</v>
      </c>
      <c r="I58" s="56">
        <f t="shared" si="22"/>
        <v>0</v>
      </c>
      <c r="J58" s="56">
        <f t="shared" si="22"/>
        <v>0</v>
      </c>
    </row>
    <row r="59" spans="1:10">
      <c r="B59" s="56"/>
      <c r="C59" s="56"/>
      <c r="D59" s="56"/>
      <c r="E59" s="56"/>
      <c r="F59" s="56"/>
      <c r="G59" s="56"/>
      <c r="H59" s="56"/>
      <c r="I59" s="56"/>
      <c r="J59" s="56"/>
    </row>
    <row r="60" spans="1:10">
      <c r="A60" s="46" t="s">
        <v>113</v>
      </c>
      <c r="F60" s="70"/>
    </row>
    <row r="61" spans="1:10" s="50" customFormat="1">
      <c r="A61" s="47"/>
      <c r="B61" s="48" t="s">
        <v>287</v>
      </c>
      <c r="C61" s="48" t="s">
        <v>264</v>
      </c>
      <c r="D61" s="48" t="s">
        <v>265</v>
      </c>
      <c r="E61" s="49" t="s">
        <v>285</v>
      </c>
      <c r="F61" s="49" t="s">
        <v>270</v>
      </c>
      <c r="G61" s="49" t="s">
        <v>271</v>
      </c>
      <c r="H61" s="49" t="s">
        <v>272</v>
      </c>
      <c r="I61" s="49" t="s">
        <v>280</v>
      </c>
      <c r="J61" s="49" t="s">
        <v>381</v>
      </c>
    </row>
    <row r="62" spans="1:10" s="50" customFormat="1">
      <c r="A62" s="51" t="s">
        <v>66</v>
      </c>
      <c r="B62" s="58">
        <f>ROUND(B49/100,0)</f>
        <v>7776</v>
      </c>
      <c r="C62" s="58">
        <f t="shared" ref="C62:J67" si="23">ROUND(C49/100,0)</f>
        <v>7387</v>
      </c>
      <c r="D62" s="58">
        <f t="shared" si="23"/>
        <v>6130</v>
      </c>
      <c r="E62" s="58">
        <f>ROUND(E49/100,0)</f>
        <v>6595</v>
      </c>
      <c r="F62" s="58">
        <f>ROUND(F49/100,0)</f>
        <v>6754</v>
      </c>
      <c r="G62" s="58">
        <f t="shared" si="23"/>
        <v>7374</v>
      </c>
      <c r="H62" s="58">
        <f t="shared" si="23"/>
        <v>7761</v>
      </c>
      <c r="I62" s="58">
        <f>ROUND(I49/100,0)</f>
        <v>7447</v>
      </c>
      <c r="J62" s="58">
        <f>ROUND(J49/100,0)</f>
        <v>7500</v>
      </c>
    </row>
    <row r="63" spans="1:10" s="50" customFormat="1">
      <c r="A63" s="51" t="s">
        <v>67</v>
      </c>
      <c r="B63" s="58">
        <f>ROUND(B50/100,0)</f>
        <v>128</v>
      </c>
      <c r="C63" s="58">
        <f>ROUND(C50/100,0)-1</f>
        <v>151</v>
      </c>
      <c r="D63" s="58">
        <f>ROUND(D50/100,0)</f>
        <v>805</v>
      </c>
      <c r="E63" s="58">
        <f>ROUND(E50/100,0)</f>
        <v>329</v>
      </c>
      <c r="F63" s="58">
        <f t="shared" si="23"/>
        <v>528</v>
      </c>
      <c r="G63" s="58">
        <f t="shared" si="23"/>
        <v>436</v>
      </c>
      <c r="H63" s="58">
        <f t="shared" si="23"/>
        <v>445</v>
      </c>
      <c r="I63" s="58">
        <f t="shared" si="23"/>
        <v>339</v>
      </c>
      <c r="J63" s="58">
        <f t="shared" si="23"/>
        <v>725</v>
      </c>
    </row>
    <row r="64" spans="1:10" s="50" customFormat="1">
      <c r="A64" s="51" t="s">
        <v>68</v>
      </c>
      <c r="B64" s="58">
        <f>ROUND(B51/100,0)</f>
        <v>728</v>
      </c>
      <c r="C64" s="58">
        <f>ROUND(C51/100,0)</f>
        <v>863</v>
      </c>
      <c r="D64" s="58">
        <f>ROUND(D51/100,0)</f>
        <v>879</v>
      </c>
      <c r="E64" s="58">
        <f>ROUND(E51/100,0)</f>
        <v>862</v>
      </c>
      <c r="F64" s="58">
        <f>ROUND(F51/100,0)</f>
        <v>1380</v>
      </c>
      <c r="G64" s="58">
        <f t="shared" si="23"/>
        <v>954</v>
      </c>
      <c r="H64" s="58">
        <f t="shared" si="23"/>
        <v>883</v>
      </c>
      <c r="I64" s="58">
        <f t="shared" si="23"/>
        <v>1061</v>
      </c>
      <c r="J64" s="58">
        <f t="shared" si="23"/>
        <v>1319</v>
      </c>
    </row>
    <row r="65" spans="1:13" s="50" customFormat="1">
      <c r="A65" s="51" t="s">
        <v>69</v>
      </c>
      <c r="B65" s="58">
        <f>ROUND(B52/100,0)+1</f>
        <v>2196</v>
      </c>
      <c r="C65" s="58">
        <f>ROUND(C52/100,0)</f>
        <v>2508</v>
      </c>
      <c r="D65" s="58">
        <f>ROUND(D52/100,0)</f>
        <v>2636</v>
      </c>
      <c r="E65" s="58">
        <f>ROUND(E52/100,0)-1</f>
        <v>3665</v>
      </c>
      <c r="F65" s="58">
        <f>ROUND(F52/100,0)</f>
        <v>4039</v>
      </c>
      <c r="G65" s="58">
        <f t="shared" si="23"/>
        <v>3967</v>
      </c>
      <c r="H65" s="58">
        <f t="shared" si="23"/>
        <v>4212</v>
      </c>
      <c r="I65" s="58">
        <f t="shared" si="23"/>
        <v>7701</v>
      </c>
      <c r="J65" s="58">
        <f t="shared" si="23"/>
        <v>5976</v>
      </c>
    </row>
    <row r="66" spans="1:13" s="50" customFormat="1">
      <c r="A66" s="51" t="s">
        <v>116</v>
      </c>
      <c r="B66" s="58">
        <f>ROUND(B53/100,0)</f>
        <v>2859</v>
      </c>
      <c r="C66" s="58">
        <f>ROUND(C53/100,0)</f>
        <v>4073</v>
      </c>
      <c r="D66" s="58">
        <f>ROUND(D53/100,0)</f>
        <v>2429</v>
      </c>
      <c r="E66" s="58">
        <f>ROUND(E53/100,0)</f>
        <v>914</v>
      </c>
      <c r="F66" s="58">
        <f t="shared" ref="F66:G67" si="24">ROUND(F53/100,0)</f>
        <v>1180</v>
      </c>
      <c r="G66" s="58">
        <f t="shared" si="24"/>
        <v>1036</v>
      </c>
      <c r="H66" s="58">
        <f t="shared" si="23"/>
        <v>1003</v>
      </c>
      <c r="I66" s="58">
        <f t="shared" si="23"/>
        <v>1086</v>
      </c>
      <c r="J66" s="58">
        <f t="shared" si="23"/>
        <v>1560</v>
      </c>
    </row>
    <row r="67" spans="1:13" s="50" customFormat="1">
      <c r="A67" s="95" t="s">
        <v>117</v>
      </c>
      <c r="B67" s="55">
        <f>ROUND(B54/100,0)+1</f>
        <v>2283</v>
      </c>
      <c r="C67" s="55">
        <f>ROUND(C54/100,0)</f>
        <v>3167</v>
      </c>
      <c r="D67" s="55">
        <f>ROUND(D54/100,0)</f>
        <v>1332</v>
      </c>
      <c r="E67" s="55">
        <f>ROUND(E54/100,0)</f>
        <v>914</v>
      </c>
      <c r="F67" s="639">
        <f>ROUND(F54/100,0)</f>
        <v>1180</v>
      </c>
      <c r="G67" s="639">
        <f t="shared" si="24"/>
        <v>1036</v>
      </c>
      <c r="H67" s="639">
        <f t="shared" si="23"/>
        <v>1003</v>
      </c>
      <c r="I67" s="639">
        <f t="shared" si="23"/>
        <v>1086</v>
      </c>
      <c r="J67" s="639">
        <f t="shared" si="23"/>
        <v>1560</v>
      </c>
    </row>
    <row r="68" spans="1:13" s="50" customFormat="1">
      <c r="A68" s="95" t="s">
        <v>118</v>
      </c>
      <c r="B68" s="55">
        <f>ROUND(B55/100,0)</f>
        <v>576</v>
      </c>
      <c r="C68" s="55">
        <f t="shared" ref="C68:E69" si="25">ROUND(C55/100,0)</f>
        <v>906</v>
      </c>
      <c r="D68" s="55">
        <f t="shared" si="25"/>
        <v>1097</v>
      </c>
      <c r="E68" s="55">
        <f t="shared" si="25"/>
        <v>0</v>
      </c>
      <c r="F68" s="640"/>
      <c r="G68" s="640"/>
      <c r="H68" s="640"/>
      <c r="I68" s="640"/>
      <c r="J68" s="640"/>
    </row>
    <row r="69" spans="1:13" s="50" customFormat="1">
      <c r="A69" s="51" t="s">
        <v>72</v>
      </c>
      <c r="B69" s="58">
        <f>ROUND(B56/100,0)</f>
        <v>4891</v>
      </c>
      <c r="C69" s="58">
        <f t="shared" si="25"/>
        <v>4874</v>
      </c>
      <c r="D69" s="58">
        <f t="shared" si="25"/>
        <v>4348</v>
      </c>
      <c r="E69" s="58">
        <f t="shared" si="25"/>
        <v>3382</v>
      </c>
      <c r="F69" s="58">
        <f>ROUND(F56/100,0)</f>
        <v>3548</v>
      </c>
      <c r="G69" s="58">
        <f>ROUND(G56/100,0)</f>
        <v>3844</v>
      </c>
      <c r="H69" s="58">
        <f t="shared" ref="H69:J70" si="26">ROUND(H56/100,0)</f>
        <v>3338</v>
      </c>
      <c r="I69" s="58">
        <f t="shared" si="26"/>
        <v>2794</v>
      </c>
      <c r="J69" s="58">
        <f t="shared" si="26"/>
        <v>2957</v>
      </c>
    </row>
    <row r="70" spans="1:13" s="50" customFormat="1">
      <c r="A70" s="51" t="s">
        <v>73</v>
      </c>
      <c r="B70" s="58">
        <f>ROUND(B57/100,0)</f>
        <v>18578</v>
      </c>
      <c r="C70" s="58">
        <f>ROUND(C57/100,0)</f>
        <v>19856</v>
      </c>
      <c r="D70" s="58">
        <f>ROUND(D57/100,0)</f>
        <v>17227</v>
      </c>
      <c r="E70" s="58">
        <f>ROUND(E57/100,0)</f>
        <v>15748</v>
      </c>
      <c r="F70" s="58">
        <f>ROUND(F57/100,0)</f>
        <v>17428</v>
      </c>
      <c r="G70" s="58">
        <f>ROUND(G57/100,0)</f>
        <v>17611</v>
      </c>
      <c r="H70" s="58">
        <f t="shared" si="26"/>
        <v>17642</v>
      </c>
      <c r="I70" s="58">
        <f t="shared" si="26"/>
        <v>20427</v>
      </c>
      <c r="J70" s="58">
        <f t="shared" si="26"/>
        <v>20037</v>
      </c>
    </row>
    <row r="71" spans="1:13">
      <c r="B71" s="56">
        <f t="shared" ref="B71:E71" si="27">SUM(B62:B66,B69)-B70</f>
        <v>0</v>
      </c>
      <c r="C71" s="56">
        <f t="shared" si="27"/>
        <v>0</v>
      </c>
      <c r="D71" s="56">
        <f t="shared" si="27"/>
        <v>0</v>
      </c>
      <c r="E71" s="56">
        <f t="shared" si="27"/>
        <v>-1</v>
      </c>
      <c r="F71" s="56">
        <f>SUM(F62:F66,F69)-F70</f>
        <v>1</v>
      </c>
      <c r="G71" s="56">
        <f>SUM(I62:I66,I69)-I70</f>
        <v>1</v>
      </c>
      <c r="H71" s="56">
        <f>SUM(I62:I66,I69)-I70</f>
        <v>1</v>
      </c>
      <c r="I71" s="56">
        <f>SUM(J62:J66,J69)-J70</f>
        <v>0</v>
      </c>
      <c r="J71" s="56">
        <f>SUM(K62:K66,K69)-K70</f>
        <v>0</v>
      </c>
      <c r="K71" s="56"/>
    </row>
    <row r="72" spans="1:13">
      <c r="B72" s="56"/>
      <c r="C72" s="56"/>
      <c r="D72" s="56"/>
      <c r="E72" s="56"/>
      <c r="F72" s="56"/>
      <c r="G72" s="56"/>
      <c r="H72" s="56"/>
      <c r="I72" s="56"/>
      <c r="J72" s="56"/>
      <c r="K72" s="56"/>
      <c r="L72" s="56"/>
      <c r="M72" s="56"/>
    </row>
    <row r="73" spans="1:13" ht="13.5" hidden="1" customHeight="1">
      <c r="A73" s="638" t="s">
        <v>46</v>
      </c>
      <c r="B73" s="638"/>
      <c r="C73" s="638"/>
      <c r="D73" s="638"/>
      <c r="E73" s="65"/>
      <c r="F73" s="65"/>
    </row>
    <row r="74" spans="1:13" ht="13.5" hidden="1" customHeight="1">
      <c r="A74" s="71"/>
      <c r="B74" s="72" t="s">
        <v>47</v>
      </c>
      <c r="C74" s="72" t="s">
        <v>48</v>
      </c>
      <c r="D74" s="72" t="s">
        <v>49</v>
      </c>
      <c r="E74" s="72" t="s">
        <v>50</v>
      </c>
      <c r="F74" s="72" t="s">
        <v>51</v>
      </c>
      <c r="G74" s="72" t="s">
        <v>52</v>
      </c>
      <c r="H74" s="72" t="s">
        <v>53</v>
      </c>
    </row>
    <row r="75" spans="1:13" ht="21" hidden="1" customHeight="1">
      <c r="A75" s="73" t="s">
        <v>54</v>
      </c>
      <c r="B75" s="74">
        <v>777637</v>
      </c>
      <c r="C75" s="74">
        <v>738656</v>
      </c>
      <c r="D75" s="74">
        <v>686522</v>
      </c>
      <c r="E75" s="74">
        <v>635039</v>
      </c>
      <c r="F75" s="74">
        <v>618500</v>
      </c>
      <c r="G75" s="74">
        <v>628573</v>
      </c>
      <c r="H75" s="74">
        <v>652624</v>
      </c>
    </row>
    <row r="76" spans="1:13" ht="13.5" hidden="1" customHeight="1">
      <c r="A76" s="75" t="s">
        <v>55</v>
      </c>
      <c r="B76" s="74">
        <v>12844</v>
      </c>
      <c r="C76" s="74">
        <v>15155</v>
      </c>
      <c r="D76" s="74">
        <v>76659</v>
      </c>
      <c r="E76" s="74">
        <v>84384</v>
      </c>
      <c r="F76" s="74">
        <v>72843</v>
      </c>
      <c r="G76" s="74">
        <v>60716</v>
      </c>
      <c r="H76" s="74">
        <v>47208</v>
      </c>
    </row>
    <row r="77" spans="1:13" ht="13.5" hidden="1" customHeight="1">
      <c r="A77" s="75" t="s">
        <v>56</v>
      </c>
      <c r="B77" s="74">
        <f t="shared" ref="B77:H77" si="28">SUM(B75:B76)</f>
        <v>790481</v>
      </c>
      <c r="C77" s="74">
        <f t="shared" si="28"/>
        <v>753811</v>
      </c>
      <c r="D77" s="74">
        <f t="shared" si="28"/>
        <v>763181</v>
      </c>
      <c r="E77" s="74">
        <f t="shared" si="28"/>
        <v>719423</v>
      </c>
      <c r="F77" s="74">
        <f t="shared" si="28"/>
        <v>691343</v>
      </c>
      <c r="G77" s="74">
        <f t="shared" si="28"/>
        <v>689289</v>
      </c>
      <c r="H77" s="74">
        <f t="shared" si="28"/>
        <v>699832</v>
      </c>
      <c r="I77" s="76"/>
      <c r="J77" s="76"/>
      <c r="K77" s="76"/>
      <c r="L77" s="76"/>
      <c r="M77" s="76"/>
    </row>
    <row r="78" spans="1:13" ht="6.75" hidden="1" customHeight="1">
      <c r="A78" s="77"/>
      <c r="B78" s="78"/>
      <c r="C78" s="78"/>
      <c r="D78" s="78"/>
      <c r="E78" s="78"/>
      <c r="F78" s="78"/>
      <c r="G78" s="78"/>
      <c r="H78" s="78"/>
      <c r="I78" s="76"/>
      <c r="J78" s="76"/>
      <c r="K78" s="76"/>
      <c r="L78" s="76"/>
      <c r="M78" s="76"/>
    </row>
    <row r="79" spans="1:13" ht="13.5" hidden="1" customHeight="1">
      <c r="A79" s="75" t="s">
        <v>57</v>
      </c>
      <c r="B79" s="74" t="s">
        <v>58</v>
      </c>
      <c r="C79" s="74">
        <f>C77-B77</f>
        <v>-36670</v>
      </c>
      <c r="D79" s="74">
        <f>D77-B77</f>
        <v>-27300</v>
      </c>
      <c r="E79" s="74">
        <f>E77-B77</f>
        <v>-71058</v>
      </c>
      <c r="F79" s="74">
        <f>F77-B77</f>
        <v>-99138</v>
      </c>
      <c r="G79" s="74">
        <f>G77-B77</f>
        <v>-101192</v>
      </c>
      <c r="H79" s="74">
        <f>H77-B77</f>
        <v>-90649</v>
      </c>
      <c r="I79" s="76"/>
      <c r="J79" s="76"/>
      <c r="K79" s="76"/>
      <c r="L79" s="76"/>
      <c r="M79" s="76"/>
    </row>
    <row r="80" spans="1:13">
      <c r="B80" s="60"/>
      <c r="C80" s="60"/>
      <c r="D80" s="60"/>
      <c r="E80" s="60"/>
      <c r="F80" s="60"/>
      <c r="G80" s="79"/>
      <c r="H80" s="79"/>
      <c r="I80" s="79"/>
      <c r="J80" s="79"/>
      <c r="K80" s="79"/>
      <c r="L80" s="79"/>
      <c r="M80" s="79"/>
    </row>
    <row r="81" spans="1:10">
      <c r="A81" s="637" t="s">
        <v>77</v>
      </c>
      <c r="B81" s="637"/>
      <c r="C81" s="637"/>
      <c r="D81" s="637"/>
    </row>
    <row r="82" spans="1:10">
      <c r="A82" s="47"/>
      <c r="B82" s="48" t="s">
        <v>47</v>
      </c>
      <c r="C82" s="48" t="s">
        <v>48</v>
      </c>
      <c r="D82" s="48" t="s">
        <v>64</v>
      </c>
      <c r="E82" s="49" t="s">
        <v>286</v>
      </c>
      <c r="F82" s="49" t="s">
        <v>197</v>
      </c>
      <c r="G82" s="49" t="s">
        <v>216</v>
      </c>
      <c r="H82" s="49" t="s">
        <v>225</v>
      </c>
      <c r="I82" s="49" t="s">
        <v>279</v>
      </c>
      <c r="J82" s="49" t="s">
        <v>381</v>
      </c>
    </row>
    <row r="83" spans="1:10">
      <c r="A83" s="51" t="s">
        <v>66</v>
      </c>
      <c r="B83" s="62">
        <f>B49/B$57*100</f>
        <v>41.858333292962634</v>
      </c>
      <c r="C83" s="62">
        <f t="shared" ref="C83:E86" si="29">C49/C$57*100</f>
        <v>37.201113027712374</v>
      </c>
      <c r="D83" s="62">
        <f t="shared" si="29"/>
        <v>35.587409449472531</v>
      </c>
      <c r="E83" s="62">
        <f>E49/E$57*100</f>
        <v>41.875608792777413</v>
      </c>
      <c r="F83" s="62">
        <f>G49/G$57*100</f>
        <v>41.872982128600938</v>
      </c>
      <c r="G83" s="62">
        <f t="shared" ref="F83:J86" si="30">G49/G$57*100</f>
        <v>41.872982128600938</v>
      </c>
      <c r="H83" s="62">
        <f t="shared" si="30"/>
        <v>43.992055385571135</v>
      </c>
      <c r="I83" s="62">
        <f>I49/I$57*100</f>
        <v>36.455106881384062</v>
      </c>
      <c r="J83" s="62">
        <f>J49/J$57*100</f>
        <v>37.432605289963824</v>
      </c>
    </row>
    <row r="84" spans="1:10">
      <c r="A84" s="51" t="s">
        <v>67</v>
      </c>
      <c r="B84" s="62">
        <f>B50/B$57*100</f>
        <v>0.69136169294260952</v>
      </c>
      <c r="C84" s="62">
        <f t="shared" si="29"/>
        <v>0.76325497651813701</v>
      </c>
      <c r="D84" s="62">
        <f t="shared" si="29"/>
        <v>4.6715625919727488</v>
      </c>
      <c r="E84" s="62">
        <f t="shared" si="29"/>
        <v>2.0894212611074918</v>
      </c>
      <c r="F84" s="62">
        <f t="shared" si="30"/>
        <v>3.0278566252222694</v>
      </c>
      <c r="G84" s="62">
        <f t="shared" si="30"/>
        <v>2.4780568019087656</v>
      </c>
      <c r="H84" s="62">
        <f t="shared" si="30"/>
        <v>2.5231632897142866</v>
      </c>
      <c r="I84" s="62">
        <f t="shared" si="30"/>
        <v>1.6579648844535499</v>
      </c>
      <c r="J84" s="62">
        <f t="shared" si="30"/>
        <v>3.6175918222511467</v>
      </c>
    </row>
    <row r="85" spans="1:10">
      <c r="A85" s="51" t="s">
        <v>68</v>
      </c>
      <c r="B85" s="62">
        <f>B51/B$57*100</f>
        <v>3.9187030993393739</v>
      </c>
      <c r="C85" s="62">
        <f t="shared" si="29"/>
        <v>4.3484129282449668</v>
      </c>
      <c r="D85" s="62">
        <f t="shared" si="29"/>
        <v>5.1013057155312982</v>
      </c>
      <c r="E85" s="62">
        <f t="shared" si="29"/>
        <v>5.4766903008436421</v>
      </c>
      <c r="F85" s="62">
        <f t="shared" si="30"/>
        <v>7.9175840033692575</v>
      </c>
      <c r="G85" s="62">
        <f t="shared" si="30"/>
        <v>5.4144536089732886</v>
      </c>
      <c r="H85" s="62">
        <f t="shared" si="30"/>
        <v>5.0050617442101695</v>
      </c>
      <c r="I85" s="62">
        <f t="shared" si="30"/>
        <v>5.1934586096240976</v>
      </c>
      <c r="J85" s="62">
        <f t="shared" si="30"/>
        <v>6.5822853038981748</v>
      </c>
    </row>
    <row r="86" spans="1:10">
      <c r="A86" s="51" t="s">
        <v>69</v>
      </c>
      <c r="B86" s="62">
        <f>B52/B$57*100</f>
        <v>11.817795727488086</v>
      </c>
      <c r="C86" s="62">
        <f t="shared" si="29"/>
        <v>12.630346373216828</v>
      </c>
      <c r="D86" s="62">
        <f t="shared" si="29"/>
        <v>15.299795606438193</v>
      </c>
      <c r="E86" s="62">
        <f t="shared" si="29"/>
        <v>23.275663909557682</v>
      </c>
      <c r="F86" s="62">
        <f t="shared" si="30"/>
        <v>23.17437803280551</v>
      </c>
      <c r="G86" s="62">
        <f t="shared" si="30"/>
        <v>22.52435641045733</v>
      </c>
      <c r="H86" s="62">
        <f t="shared" si="30"/>
        <v>23.873804425086753</v>
      </c>
      <c r="I86" s="62">
        <f t="shared" si="30"/>
        <v>37.702435764692062</v>
      </c>
      <c r="J86" s="62">
        <f t="shared" si="30"/>
        <v>29.823959003454142</v>
      </c>
    </row>
    <row r="87" spans="1:10">
      <c r="A87" s="51" t="s">
        <v>70</v>
      </c>
      <c r="B87" s="62">
        <f t="shared" ref="B87:E89" si="31">B54/B$57*100</f>
        <v>12.285396087702386</v>
      </c>
      <c r="C87" s="62">
        <f t="shared" si="31"/>
        <v>15.948931669667477</v>
      </c>
      <c r="D87" s="62">
        <f t="shared" si="31"/>
        <v>7.7334605786294084</v>
      </c>
      <c r="E87" s="62">
        <f t="shared" si="31"/>
        <v>5.8058035175681564</v>
      </c>
      <c r="F87" s="62">
        <f>F54/F$57*100</f>
        <v>6.7690985341547618</v>
      </c>
      <c r="G87" s="62">
        <f>G54/G$57*100</f>
        <v>5.8825032450608639</v>
      </c>
      <c r="H87" s="62">
        <f>H54/H$57*100</f>
        <v>5.6832674494137336</v>
      </c>
      <c r="I87" s="62">
        <f>I54/I$57*100</f>
        <v>5.3153569933690212</v>
      </c>
      <c r="J87" s="62">
        <f>J54/J$57*100</f>
        <v>7.7878664318322137</v>
      </c>
    </row>
    <row r="88" spans="1:10">
      <c r="A88" s="51" t="s">
        <v>71</v>
      </c>
      <c r="B88" s="62">
        <f t="shared" si="31"/>
        <v>3.102246064260465</v>
      </c>
      <c r="C88" s="62">
        <f t="shared" si="31"/>
        <v>4.5622049028618914</v>
      </c>
      <c r="D88" s="62">
        <f t="shared" si="31"/>
        <v>6.3667926929156531</v>
      </c>
      <c r="E88" s="62">
        <f t="shared" si="31"/>
        <v>0</v>
      </c>
      <c r="F88" s="80"/>
      <c r="G88" s="80"/>
      <c r="H88" s="80"/>
      <c r="I88" s="80"/>
      <c r="J88" s="80"/>
    </row>
    <row r="89" spans="1:10">
      <c r="A89" s="51" t="s">
        <v>72</v>
      </c>
      <c r="B89" s="62">
        <f t="shared" si="31"/>
        <v>26.326164035304444</v>
      </c>
      <c r="C89" s="62">
        <f t="shared" si="31"/>
        <v>24.545736121778326</v>
      </c>
      <c r="D89" s="62">
        <f t="shared" si="31"/>
        <v>25.239673365040165</v>
      </c>
      <c r="E89" s="62">
        <f t="shared" si="31"/>
        <v>21.476812218145614</v>
      </c>
      <c r="F89" s="62">
        <f>F56/F$57*100</f>
        <v>20.357501676882887</v>
      </c>
      <c r="G89" s="62">
        <f>G56/G$57*100</f>
        <v>21.827647804998811</v>
      </c>
      <c r="H89" s="62">
        <f>H56/H$57*100</f>
        <v>18.922647706003922</v>
      </c>
      <c r="I89" s="62">
        <f>I56/I$57*100</f>
        <v>13.675676866477209</v>
      </c>
      <c r="J89" s="62">
        <f>J56/J$57*100</f>
        <v>14.755692148600502</v>
      </c>
    </row>
    <row r="90" spans="1:10">
      <c r="A90" s="51" t="s">
        <v>73</v>
      </c>
      <c r="B90" s="64">
        <f t="shared" ref="B90:I90" si="32">SUM(B83:B89)</f>
        <v>100</v>
      </c>
      <c r="C90" s="64">
        <f t="shared" si="32"/>
        <v>100</v>
      </c>
      <c r="D90" s="64">
        <f t="shared" si="32"/>
        <v>100</v>
      </c>
      <c r="E90" s="64">
        <f t="shared" si="32"/>
        <v>99.999999999999986</v>
      </c>
      <c r="F90" s="64">
        <f t="shared" si="32"/>
        <v>103.11940100103563</v>
      </c>
      <c r="G90" s="64">
        <f t="shared" si="32"/>
        <v>100</v>
      </c>
      <c r="H90" s="64">
        <f t="shared" ref="H90" si="33">SUM(H83:H89)</f>
        <v>100</v>
      </c>
      <c r="I90" s="64">
        <f t="shared" si="32"/>
        <v>100</v>
      </c>
      <c r="J90" s="64">
        <f t="shared" ref="J90" si="34">SUM(J83:J89)</f>
        <v>100</v>
      </c>
    </row>
    <row r="92" spans="1:10">
      <c r="A92" s="637" t="s">
        <v>78</v>
      </c>
      <c r="B92" s="637"/>
      <c r="C92" s="637"/>
      <c r="D92" s="637"/>
      <c r="E92" s="65" t="s">
        <v>79</v>
      </c>
    </row>
    <row r="93" spans="1:10">
      <c r="A93" s="47"/>
      <c r="B93" s="48" t="s">
        <v>47</v>
      </c>
      <c r="C93" s="48" t="s">
        <v>48</v>
      </c>
      <c r="D93" s="48" t="s">
        <v>64</v>
      </c>
      <c r="E93" s="49" t="s">
        <v>286</v>
      </c>
      <c r="F93" s="49" t="s">
        <v>197</v>
      </c>
      <c r="G93" s="49" t="s">
        <v>216</v>
      </c>
      <c r="H93" s="49" t="s">
        <v>225</v>
      </c>
      <c r="I93" s="49" t="s">
        <v>279</v>
      </c>
      <c r="J93" s="49" t="s">
        <v>381</v>
      </c>
    </row>
    <row r="94" spans="1:10">
      <c r="A94" s="51" t="s">
        <v>66</v>
      </c>
      <c r="B94" s="64">
        <f t="shared" ref="B94:J100" si="35">ROUND(B83,1)</f>
        <v>41.9</v>
      </c>
      <c r="C94" s="64">
        <f t="shared" si="35"/>
        <v>37.200000000000003</v>
      </c>
      <c r="D94" s="64">
        <f t="shared" si="35"/>
        <v>35.6</v>
      </c>
      <c r="E94" s="64">
        <f>ROUND(E83,1)</f>
        <v>41.9</v>
      </c>
      <c r="F94" s="64">
        <f t="shared" si="35"/>
        <v>41.9</v>
      </c>
      <c r="G94" s="64">
        <f t="shared" si="35"/>
        <v>41.9</v>
      </c>
      <c r="H94" s="64">
        <f t="shared" si="35"/>
        <v>44</v>
      </c>
      <c r="I94" s="64">
        <f>ROUND(I83,1)</f>
        <v>36.5</v>
      </c>
      <c r="J94" s="64">
        <f>ROUND(J83,1)</f>
        <v>37.4</v>
      </c>
    </row>
    <row r="95" spans="1:10">
      <c r="A95" s="51" t="s">
        <v>67</v>
      </c>
      <c r="B95" s="64">
        <f t="shared" si="35"/>
        <v>0.7</v>
      </c>
      <c r="C95" s="64">
        <f t="shared" si="35"/>
        <v>0.8</v>
      </c>
      <c r="D95" s="64">
        <f t="shared" si="35"/>
        <v>4.7</v>
      </c>
      <c r="E95" s="64">
        <f t="shared" si="35"/>
        <v>2.1</v>
      </c>
      <c r="F95" s="64">
        <f t="shared" si="35"/>
        <v>3</v>
      </c>
      <c r="G95" s="64">
        <f t="shared" si="35"/>
        <v>2.5</v>
      </c>
      <c r="H95" s="64">
        <f t="shared" si="35"/>
        <v>2.5</v>
      </c>
      <c r="I95" s="64">
        <f t="shared" si="35"/>
        <v>1.7</v>
      </c>
      <c r="J95" s="64">
        <f t="shared" si="35"/>
        <v>3.6</v>
      </c>
    </row>
    <row r="96" spans="1:10">
      <c r="A96" s="51" t="s">
        <v>68</v>
      </c>
      <c r="B96" s="64">
        <f t="shared" si="35"/>
        <v>3.9</v>
      </c>
      <c r="C96" s="97">
        <f>ROUND(C85,1)+0.1</f>
        <v>4.3999999999999995</v>
      </c>
      <c r="D96" s="97">
        <f t="shared" si="35"/>
        <v>5.0999999999999996</v>
      </c>
      <c r="E96" s="97">
        <f t="shared" si="35"/>
        <v>5.5</v>
      </c>
      <c r="F96" s="97">
        <f t="shared" si="35"/>
        <v>7.9</v>
      </c>
      <c r="G96" s="97">
        <f t="shared" si="35"/>
        <v>5.4</v>
      </c>
      <c r="H96" s="97">
        <f t="shared" si="35"/>
        <v>5</v>
      </c>
      <c r="I96" s="97">
        <f t="shared" si="35"/>
        <v>5.2</v>
      </c>
      <c r="J96" s="97">
        <f t="shared" si="35"/>
        <v>6.6</v>
      </c>
    </row>
    <row r="97" spans="1:10">
      <c r="A97" s="51" t="s">
        <v>69</v>
      </c>
      <c r="B97" s="64">
        <f t="shared" si="35"/>
        <v>11.8</v>
      </c>
      <c r="C97" s="97">
        <f t="shared" si="35"/>
        <v>12.6</v>
      </c>
      <c r="D97" s="97">
        <f t="shared" si="35"/>
        <v>15.3</v>
      </c>
      <c r="E97" s="97">
        <f t="shared" si="35"/>
        <v>23.3</v>
      </c>
      <c r="F97" s="97">
        <f t="shared" si="35"/>
        <v>23.2</v>
      </c>
      <c r="G97" s="97">
        <f t="shared" si="35"/>
        <v>22.5</v>
      </c>
      <c r="H97" s="97">
        <f t="shared" si="35"/>
        <v>23.9</v>
      </c>
      <c r="I97" s="97">
        <f t="shared" si="35"/>
        <v>37.700000000000003</v>
      </c>
      <c r="J97" s="97">
        <f t="shared" si="35"/>
        <v>29.8</v>
      </c>
    </row>
    <row r="98" spans="1:10">
      <c r="A98" s="51" t="s">
        <v>70</v>
      </c>
      <c r="B98" s="64">
        <f t="shared" si="35"/>
        <v>12.3</v>
      </c>
      <c r="C98" s="97">
        <f t="shared" si="35"/>
        <v>15.9</v>
      </c>
      <c r="D98" s="97">
        <f t="shared" si="35"/>
        <v>7.7</v>
      </c>
      <c r="E98" s="97">
        <f t="shared" si="35"/>
        <v>5.8</v>
      </c>
      <c r="F98" s="97">
        <f t="shared" si="35"/>
        <v>6.8</v>
      </c>
      <c r="G98" s="97">
        <f t="shared" si="35"/>
        <v>5.9</v>
      </c>
      <c r="H98" s="97">
        <f t="shared" si="35"/>
        <v>5.7</v>
      </c>
      <c r="I98" s="97">
        <f t="shared" si="35"/>
        <v>5.3</v>
      </c>
      <c r="J98" s="97">
        <f t="shared" si="35"/>
        <v>7.8</v>
      </c>
    </row>
    <row r="99" spans="1:10">
      <c r="A99" s="51" t="s">
        <v>71</v>
      </c>
      <c r="B99" s="64">
        <f t="shared" si="35"/>
        <v>3.1</v>
      </c>
      <c r="C99" s="97">
        <f t="shared" si="35"/>
        <v>4.5999999999999996</v>
      </c>
      <c r="D99" s="97">
        <f t="shared" si="35"/>
        <v>6.4</v>
      </c>
      <c r="E99" s="97">
        <f t="shared" si="35"/>
        <v>0</v>
      </c>
      <c r="F99" s="98"/>
      <c r="G99" s="98"/>
      <c r="H99" s="98"/>
      <c r="I99" s="98"/>
      <c r="J99" s="98"/>
    </row>
    <row r="100" spans="1:10">
      <c r="A100" s="51" t="s">
        <v>72</v>
      </c>
      <c r="B100" s="64">
        <f t="shared" si="35"/>
        <v>26.3</v>
      </c>
      <c r="C100" s="97">
        <f t="shared" si="35"/>
        <v>24.5</v>
      </c>
      <c r="D100" s="97">
        <f t="shared" si="35"/>
        <v>25.2</v>
      </c>
      <c r="E100" s="97">
        <f t="shared" si="35"/>
        <v>21.5</v>
      </c>
      <c r="F100" s="97">
        <f>ROUND(F89,1)</f>
        <v>20.399999999999999</v>
      </c>
      <c r="G100" s="97">
        <f>ROUND(G89,1)-0.1</f>
        <v>21.7</v>
      </c>
      <c r="H100" s="97">
        <f>ROUND(H89,1)-0.1</f>
        <v>18.799999999999997</v>
      </c>
      <c r="I100" s="97">
        <f>ROUND(I89,1)</f>
        <v>13.7</v>
      </c>
      <c r="J100" s="97">
        <f>ROUND(J89,1)</f>
        <v>14.8</v>
      </c>
    </row>
    <row r="101" spans="1:10">
      <c r="A101" s="51" t="s">
        <v>73</v>
      </c>
      <c r="B101" s="64">
        <f>SUM(B94:B100)</f>
        <v>99.999999999999986</v>
      </c>
      <c r="C101" s="97">
        <f t="shared" ref="C101:J101" si="36">SUM(C94:C100)</f>
        <v>100</v>
      </c>
      <c r="D101" s="97">
        <f t="shared" si="36"/>
        <v>100.00000000000001</v>
      </c>
      <c r="E101" s="97">
        <f t="shared" si="36"/>
        <v>100.1</v>
      </c>
      <c r="F101" s="97">
        <f t="shared" si="36"/>
        <v>103.19999999999999</v>
      </c>
      <c r="G101" s="97">
        <f t="shared" si="36"/>
        <v>99.9</v>
      </c>
      <c r="H101" s="97">
        <f t="shared" si="36"/>
        <v>99.9</v>
      </c>
      <c r="I101" s="97">
        <f t="shared" si="36"/>
        <v>100.10000000000001</v>
      </c>
      <c r="J101" s="97">
        <f t="shared" si="36"/>
        <v>100</v>
      </c>
    </row>
  </sheetData>
  <mergeCells count="33">
    <mergeCell ref="U9:U10"/>
    <mergeCell ref="V9:V10"/>
    <mergeCell ref="A17:D17"/>
    <mergeCell ref="Q9:Q10"/>
    <mergeCell ref="R9:R10"/>
    <mergeCell ref="S9:S10"/>
    <mergeCell ref="T9:T10"/>
    <mergeCell ref="W9:W10"/>
    <mergeCell ref="X9:X10"/>
    <mergeCell ref="Y9:Y10"/>
    <mergeCell ref="Z9:Z10"/>
    <mergeCell ref="AA9:AA10"/>
    <mergeCell ref="A24:D24"/>
    <mergeCell ref="Q30:Q31"/>
    <mergeCell ref="R30:R31"/>
    <mergeCell ref="S30:S31"/>
    <mergeCell ref="T30:T31"/>
    <mergeCell ref="W30:W31"/>
    <mergeCell ref="X30:X31"/>
    <mergeCell ref="Y30:Y31"/>
    <mergeCell ref="Z30:Z31"/>
    <mergeCell ref="AA30:AA31"/>
    <mergeCell ref="G67:G68"/>
    <mergeCell ref="H67:H68"/>
    <mergeCell ref="I67:I68"/>
    <mergeCell ref="J67:J68"/>
    <mergeCell ref="V30:V31"/>
    <mergeCell ref="U30:U31"/>
    <mergeCell ref="A73:D73"/>
    <mergeCell ref="A81:D81"/>
    <mergeCell ref="A92:D92"/>
    <mergeCell ref="A35:D35"/>
    <mergeCell ref="F67:F68"/>
  </mergeCells>
  <phoneticPr fontId="6"/>
  <pageMargins left="0.78740157480314965" right="0.78740157480314965" top="0.98425196850393704" bottom="0.98425196850393704" header="0.51181102362204722" footer="0.51181102362204722"/>
  <pageSetup paperSize="9" scale="3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2:R15"/>
  <sheetViews>
    <sheetView view="pageBreakPreview" zoomScaleNormal="100" zoomScaleSheetLayoutView="100" workbookViewId="0">
      <selection activeCell="R11" sqref="R11"/>
    </sheetView>
  </sheetViews>
  <sheetFormatPr defaultColWidth="10.28515625" defaultRowHeight="13.5"/>
  <cols>
    <col min="1" max="1" width="3.85546875" style="83" customWidth="1"/>
    <col min="2" max="2" width="17" style="83" customWidth="1"/>
    <col min="3" max="3" width="8.28515625" style="83" bestFit="1" customWidth="1"/>
    <col min="4" max="11" width="8.28515625" style="83" hidden="1" customWidth="1"/>
    <col min="12" max="12" width="8.28515625" style="83" customWidth="1"/>
    <col min="13" max="13" width="8.28515625" style="83" bestFit="1" customWidth="1"/>
    <col min="14" max="16" width="8.28515625" style="83" customWidth="1"/>
    <col min="17" max="17" width="5.28515625" style="83" customWidth="1"/>
    <col min="18" max="18" width="12" style="83" bestFit="1" customWidth="1"/>
    <col min="19" max="262" width="10.28515625" style="83"/>
    <col min="263" max="263" width="17" style="83" customWidth="1"/>
    <col min="264" max="272" width="8.28515625" style="83" bestFit="1" customWidth="1"/>
    <col min="273" max="274" width="12" style="83" bestFit="1" customWidth="1"/>
    <col min="275" max="518" width="10.28515625" style="83"/>
    <col min="519" max="519" width="17" style="83" customWidth="1"/>
    <col min="520" max="528" width="8.28515625" style="83" bestFit="1" customWidth="1"/>
    <col min="529" max="530" width="12" style="83" bestFit="1" customWidth="1"/>
    <col min="531" max="774" width="10.28515625" style="83"/>
    <col min="775" max="775" width="17" style="83" customWidth="1"/>
    <col min="776" max="784" width="8.28515625" style="83" bestFit="1" customWidth="1"/>
    <col min="785" max="786" width="12" style="83" bestFit="1" customWidth="1"/>
    <col min="787" max="1030" width="10.28515625" style="83"/>
    <col min="1031" max="1031" width="17" style="83" customWidth="1"/>
    <col min="1032" max="1040" width="8.28515625" style="83" bestFit="1" customWidth="1"/>
    <col min="1041" max="1042" width="12" style="83" bestFit="1" customWidth="1"/>
    <col min="1043" max="1286" width="10.28515625" style="83"/>
    <col min="1287" max="1287" width="17" style="83" customWidth="1"/>
    <col min="1288" max="1296" width="8.28515625" style="83" bestFit="1" customWidth="1"/>
    <col min="1297" max="1298" width="12" style="83" bestFit="1" customWidth="1"/>
    <col min="1299" max="1542" width="10.28515625" style="83"/>
    <col min="1543" max="1543" width="17" style="83" customWidth="1"/>
    <col min="1544" max="1552" width="8.28515625" style="83" bestFit="1" customWidth="1"/>
    <col min="1553" max="1554" width="12" style="83" bestFit="1" customWidth="1"/>
    <col min="1555" max="1798" width="10.28515625" style="83"/>
    <col min="1799" max="1799" width="17" style="83" customWidth="1"/>
    <col min="1800" max="1808" width="8.28515625" style="83" bestFit="1" customWidth="1"/>
    <col min="1809" max="1810" width="12" style="83" bestFit="1" customWidth="1"/>
    <col min="1811" max="2054" width="10.28515625" style="83"/>
    <col min="2055" max="2055" width="17" style="83" customWidth="1"/>
    <col min="2056" max="2064" width="8.28515625" style="83" bestFit="1" customWidth="1"/>
    <col min="2065" max="2066" width="12" style="83" bestFit="1" customWidth="1"/>
    <col min="2067" max="2310" width="10.28515625" style="83"/>
    <col min="2311" max="2311" width="17" style="83" customWidth="1"/>
    <col min="2312" max="2320" width="8.28515625" style="83" bestFit="1" customWidth="1"/>
    <col min="2321" max="2322" width="12" style="83" bestFit="1" customWidth="1"/>
    <col min="2323" max="2566" width="10.28515625" style="83"/>
    <col min="2567" max="2567" width="17" style="83" customWidth="1"/>
    <col min="2568" max="2576" width="8.28515625" style="83" bestFit="1" customWidth="1"/>
    <col min="2577" max="2578" width="12" style="83" bestFit="1" customWidth="1"/>
    <col min="2579" max="2822" width="10.28515625" style="83"/>
    <col min="2823" max="2823" width="17" style="83" customWidth="1"/>
    <col min="2824" max="2832" width="8.28515625" style="83" bestFit="1" customWidth="1"/>
    <col min="2833" max="2834" width="12" style="83" bestFit="1" customWidth="1"/>
    <col min="2835" max="3078" width="10.28515625" style="83"/>
    <col min="3079" max="3079" width="17" style="83" customWidth="1"/>
    <col min="3080" max="3088" width="8.28515625" style="83" bestFit="1" customWidth="1"/>
    <col min="3089" max="3090" width="12" style="83" bestFit="1" customWidth="1"/>
    <col min="3091" max="3334" width="10.28515625" style="83"/>
    <col min="3335" max="3335" width="17" style="83" customWidth="1"/>
    <col min="3336" max="3344" width="8.28515625" style="83" bestFit="1" customWidth="1"/>
    <col min="3345" max="3346" width="12" style="83" bestFit="1" customWidth="1"/>
    <col min="3347" max="3590" width="10.28515625" style="83"/>
    <col min="3591" max="3591" width="17" style="83" customWidth="1"/>
    <col min="3592" max="3600" width="8.28515625" style="83" bestFit="1" customWidth="1"/>
    <col min="3601" max="3602" width="12" style="83" bestFit="1" customWidth="1"/>
    <col min="3603" max="3846" width="10.28515625" style="83"/>
    <col min="3847" max="3847" width="17" style="83" customWidth="1"/>
    <col min="3848" max="3856" width="8.28515625" style="83" bestFit="1" customWidth="1"/>
    <col min="3857" max="3858" width="12" style="83" bestFit="1" customWidth="1"/>
    <col min="3859" max="4102" width="10.28515625" style="83"/>
    <col min="4103" max="4103" width="17" style="83" customWidth="1"/>
    <col min="4104" max="4112" width="8.28515625" style="83" bestFit="1" customWidth="1"/>
    <col min="4113" max="4114" width="12" style="83" bestFit="1" customWidth="1"/>
    <col min="4115" max="4358" width="10.28515625" style="83"/>
    <col min="4359" max="4359" width="17" style="83" customWidth="1"/>
    <col min="4360" max="4368" width="8.28515625" style="83" bestFit="1" customWidth="1"/>
    <col min="4369" max="4370" width="12" style="83" bestFit="1" customWidth="1"/>
    <col min="4371" max="4614" width="10.28515625" style="83"/>
    <col min="4615" max="4615" width="17" style="83" customWidth="1"/>
    <col min="4616" max="4624" width="8.28515625" style="83" bestFit="1" customWidth="1"/>
    <col min="4625" max="4626" width="12" style="83" bestFit="1" customWidth="1"/>
    <col min="4627" max="4870" width="10.28515625" style="83"/>
    <col min="4871" max="4871" width="17" style="83" customWidth="1"/>
    <col min="4872" max="4880" width="8.28515625" style="83" bestFit="1" customWidth="1"/>
    <col min="4881" max="4882" width="12" style="83" bestFit="1" customWidth="1"/>
    <col min="4883" max="5126" width="10.28515625" style="83"/>
    <col min="5127" max="5127" width="17" style="83" customWidth="1"/>
    <col min="5128" max="5136" width="8.28515625" style="83" bestFit="1" customWidth="1"/>
    <col min="5137" max="5138" width="12" style="83" bestFit="1" customWidth="1"/>
    <col min="5139" max="5382" width="10.28515625" style="83"/>
    <col min="5383" max="5383" width="17" style="83" customWidth="1"/>
    <col min="5384" max="5392" width="8.28515625" style="83" bestFit="1" customWidth="1"/>
    <col min="5393" max="5394" width="12" style="83" bestFit="1" customWidth="1"/>
    <col min="5395" max="5638" width="10.28515625" style="83"/>
    <col min="5639" max="5639" width="17" style="83" customWidth="1"/>
    <col min="5640" max="5648" width="8.28515625" style="83" bestFit="1" customWidth="1"/>
    <col min="5649" max="5650" width="12" style="83" bestFit="1" customWidth="1"/>
    <col min="5651" max="5894" width="10.28515625" style="83"/>
    <col min="5895" max="5895" width="17" style="83" customWidth="1"/>
    <col min="5896" max="5904" width="8.28515625" style="83" bestFit="1" customWidth="1"/>
    <col min="5905" max="5906" width="12" style="83" bestFit="1" customWidth="1"/>
    <col min="5907" max="6150" width="10.28515625" style="83"/>
    <col min="6151" max="6151" width="17" style="83" customWidth="1"/>
    <col min="6152" max="6160" width="8.28515625" style="83" bestFit="1" customWidth="1"/>
    <col min="6161" max="6162" width="12" style="83" bestFit="1" customWidth="1"/>
    <col min="6163" max="6406" width="10.28515625" style="83"/>
    <col min="6407" max="6407" width="17" style="83" customWidth="1"/>
    <col min="6408" max="6416" width="8.28515625" style="83" bestFit="1" customWidth="1"/>
    <col min="6417" max="6418" width="12" style="83" bestFit="1" customWidth="1"/>
    <col min="6419" max="6662" width="10.28515625" style="83"/>
    <col min="6663" max="6663" width="17" style="83" customWidth="1"/>
    <col min="6664" max="6672" width="8.28515625" style="83" bestFit="1" customWidth="1"/>
    <col min="6673" max="6674" width="12" style="83" bestFit="1" customWidth="1"/>
    <col min="6675" max="6918" width="10.28515625" style="83"/>
    <col min="6919" max="6919" width="17" style="83" customWidth="1"/>
    <col min="6920" max="6928" width="8.28515625" style="83" bestFit="1" customWidth="1"/>
    <col min="6929" max="6930" width="12" style="83" bestFit="1" customWidth="1"/>
    <col min="6931" max="7174" width="10.28515625" style="83"/>
    <col min="7175" max="7175" width="17" style="83" customWidth="1"/>
    <col min="7176" max="7184" width="8.28515625" style="83" bestFit="1" customWidth="1"/>
    <col min="7185" max="7186" width="12" style="83" bestFit="1" customWidth="1"/>
    <col min="7187" max="7430" width="10.28515625" style="83"/>
    <col min="7431" max="7431" width="17" style="83" customWidth="1"/>
    <col min="7432" max="7440" width="8.28515625" style="83" bestFit="1" customWidth="1"/>
    <col min="7441" max="7442" width="12" style="83" bestFit="1" customWidth="1"/>
    <col min="7443" max="7686" width="10.28515625" style="83"/>
    <col min="7687" max="7687" width="17" style="83" customWidth="1"/>
    <col min="7688" max="7696" width="8.28515625" style="83" bestFit="1" customWidth="1"/>
    <col min="7697" max="7698" width="12" style="83" bestFit="1" customWidth="1"/>
    <col min="7699" max="7942" width="10.28515625" style="83"/>
    <col min="7943" max="7943" width="17" style="83" customWidth="1"/>
    <col min="7944" max="7952" width="8.28515625" style="83" bestFit="1" customWidth="1"/>
    <col min="7953" max="7954" width="12" style="83" bestFit="1" customWidth="1"/>
    <col min="7955" max="8198" width="10.28515625" style="83"/>
    <col min="8199" max="8199" width="17" style="83" customWidth="1"/>
    <col min="8200" max="8208" width="8.28515625" style="83" bestFit="1" customWidth="1"/>
    <col min="8209" max="8210" width="12" style="83" bestFit="1" customWidth="1"/>
    <col min="8211" max="8454" width="10.28515625" style="83"/>
    <col min="8455" max="8455" width="17" style="83" customWidth="1"/>
    <col min="8456" max="8464" width="8.28515625" style="83" bestFit="1" customWidth="1"/>
    <col min="8465" max="8466" width="12" style="83" bestFit="1" customWidth="1"/>
    <col min="8467" max="8710" width="10.28515625" style="83"/>
    <col min="8711" max="8711" width="17" style="83" customWidth="1"/>
    <col min="8712" max="8720" width="8.28515625" style="83" bestFit="1" customWidth="1"/>
    <col min="8721" max="8722" width="12" style="83" bestFit="1" customWidth="1"/>
    <col min="8723" max="8966" width="10.28515625" style="83"/>
    <col min="8967" max="8967" width="17" style="83" customWidth="1"/>
    <col min="8968" max="8976" width="8.28515625" style="83" bestFit="1" customWidth="1"/>
    <col min="8977" max="8978" width="12" style="83" bestFit="1" customWidth="1"/>
    <col min="8979" max="9222" width="10.28515625" style="83"/>
    <col min="9223" max="9223" width="17" style="83" customWidth="1"/>
    <col min="9224" max="9232" width="8.28515625" style="83" bestFit="1" customWidth="1"/>
    <col min="9233" max="9234" width="12" style="83" bestFit="1" customWidth="1"/>
    <col min="9235" max="9478" width="10.28515625" style="83"/>
    <col min="9479" max="9479" width="17" style="83" customWidth="1"/>
    <col min="9480" max="9488" width="8.28515625" style="83" bestFit="1" customWidth="1"/>
    <col min="9489" max="9490" width="12" style="83" bestFit="1" customWidth="1"/>
    <col min="9491" max="9734" width="10.28515625" style="83"/>
    <col min="9735" max="9735" width="17" style="83" customWidth="1"/>
    <col min="9736" max="9744" width="8.28515625" style="83" bestFit="1" customWidth="1"/>
    <col min="9745" max="9746" width="12" style="83" bestFit="1" customWidth="1"/>
    <col min="9747" max="9990" width="10.28515625" style="83"/>
    <col min="9991" max="9991" width="17" style="83" customWidth="1"/>
    <col min="9992" max="10000" width="8.28515625" style="83" bestFit="1" customWidth="1"/>
    <col min="10001" max="10002" width="12" style="83" bestFit="1" customWidth="1"/>
    <col min="10003" max="10246" width="10.28515625" style="83"/>
    <col min="10247" max="10247" width="17" style="83" customWidth="1"/>
    <col min="10248" max="10256" width="8.28515625" style="83" bestFit="1" customWidth="1"/>
    <col min="10257" max="10258" width="12" style="83" bestFit="1" customWidth="1"/>
    <col min="10259" max="10502" width="10.28515625" style="83"/>
    <col min="10503" max="10503" width="17" style="83" customWidth="1"/>
    <col min="10504" max="10512" width="8.28515625" style="83" bestFit="1" customWidth="1"/>
    <col min="10513" max="10514" width="12" style="83" bestFit="1" customWidth="1"/>
    <col min="10515" max="10758" width="10.28515625" style="83"/>
    <col min="10759" max="10759" width="17" style="83" customWidth="1"/>
    <col min="10760" max="10768" width="8.28515625" style="83" bestFit="1" customWidth="1"/>
    <col min="10769" max="10770" width="12" style="83" bestFit="1" customWidth="1"/>
    <col min="10771" max="11014" width="10.28515625" style="83"/>
    <col min="11015" max="11015" width="17" style="83" customWidth="1"/>
    <col min="11016" max="11024" width="8.28515625" style="83" bestFit="1" customWidth="1"/>
    <col min="11025" max="11026" width="12" style="83" bestFit="1" customWidth="1"/>
    <col min="11027" max="11270" width="10.28515625" style="83"/>
    <col min="11271" max="11271" width="17" style="83" customWidth="1"/>
    <col min="11272" max="11280" width="8.28515625" style="83" bestFit="1" customWidth="1"/>
    <col min="11281" max="11282" width="12" style="83" bestFit="1" customWidth="1"/>
    <col min="11283" max="11526" width="10.28515625" style="83"/>
    <col min="11527" max="11527" width="17" style="83" customWidth="1"/>
    <col min="11528" max="11536" width="8.28515625" style="83" bestFit="1" customWidth="1"/>
    <col min="11537" max="11538" width="12" style="83" bestFit="1" customWidth="1"/>
    <col min="11539" max="11782" width="10.28515625" style="83"/>
    <col min="11783" max="11783" width="17" style="83" customWidth="1"/>
    <col min="11784" max="11792" width="8.28515625" style="83" bestFit="1" customWidth="1"/>
    <col min="11793" max="11794" width="12" style="83" bestFit="1" customWidth="1"/>
    <col min="11795" max="12038" width="10.28515625" style="83"/>
    <col min="12039" max="12039" width="17" style="83" customWidth="1"/>
    <col min="12040" max="12048" width="8.28515625" style="83" bestFit="1" customWidth="1"/>
    <col min="12049" max="12050" width="12" style="83" bestFit="1" customWidth="1"/>
    <col min="12051" max="12294" width="10.28515625" style="83"/>
    <col min="12295" max="12295" width="17" style="83" customWidth="1"/>
    <col min="12296" max="12304" width="8.28515625" style="83" bestFit="1" customWidth="1"/>
    <col min="12305" max="12306" width="12" style="83" bestFit="1" customWidth="1"/>
    <col min="12307" max="12550" width="10.28515625" style="83"/>
    <col min="12551" max="12551" width="17" style="83" customWidth="1"/>
    <col min="12552" max="12560" width="8.28515625" style="83" bestFit="1" customWidth="1"/>
    <col min="12561" max="12562" width="12" style="83" bestFit="1" customWidth="1"/>
    <col min="12563" max="12806" width="10.28515625" style="83"/>
    <col min="12807" max="12807" width="17" style="83" customWidth="1"/>
    <col min="12808" max="12816" width="8.28515625" style="83" bestFit="1" customWidth="1"/>
    <col min="12817" max="12818" width="12" style="83" bestFit="1" customWidth="1"/>
    <col min="12819" max="13062" width="10.28515625" style="83"/>
    <col min="13063" max="13063" width="17" style="83" customWidth="1"/>
    <col min="13064" max="13072" width="8.28515625" style="83" bestFit="1" customWidth="1"/>
    <col min="13073" max="13074" width="12" style="83" bestFit="1" customWidth="1"/>
    <col min="13075" max="13318" width="10.28515625" style="83"/>
    <col min="13319" max="13319" width="17" style="83" customWidth="1"/>
    <col min="13320" max="13328" width="8.28515625" style="83" bestFit="1" customWidth="1"/>
    <col min="13329" max="13330" width="12" style="83" bestFit="1" customWidth="1"/>
    <col min="13331" max="13574" width="10.28515625" style="83"/>
    <col min="13575" max="13575" width="17" style="83" customWidth="1"/>
    <col min="13576" max="13584" width="8.28515625" style="83" bestFit="1" customWidth="1"/>
    <col min="13585" max="13586" width="12" style="83" bestFit="1" customWidth="1"/>
    <col min="13587" max="13830" width="10.28515625" style="83"/>
    <col min="13831" max="13831" width="17" style="83" customWidth="1"/>
    <col min="13832" max="13840" width="8.28515625" style="83" bestFit="1" customWidth="1"/>
    <col min="13841" max="13842" width="12" style="83" bestFit="1" customWidth="1"/>
    <col min="13843" max="14086" width="10.28515625" style="83"/>
    <col min="14087" max="14087" width="17" style="83" customWidth="1"/>
    <col min="14088" max="14096" width="8.28515625" style="83" bestFit="1" customWidth="1"/>
    <col min="14097" max="14098" width="12" style="83" bestFit="1" customWidth="1"/>
    <col min="14099" max="14342" width="10.28515625" style="83"/>
    <col min="14343" max="14343" width="17" style="83" customWidth="1"/>
    <col min="14344" max="14352" width="8.28515625" style="83" bestFit="1" customWidth="1"/>
    <col min="14353" max="14354" width="12" style="83" bestFit="1" customWidth="1"/>
    <col min="14355" max="14598" width="10.28515625" style="83"/>
    <col min="14599" max="14599" width="17" style="83" customWidth="1"/>
    <col min="14600" max="14608" width="8.28515625" style="83" bestFit="1" customWidth="1"/>
    <col min="14609" max="14610" width="12" style="83" bestFit="1" customWidth="1"/>
    <col min="14611" max="14854" width="10.28515625" style="83"/>
    <col min="14855" max="14855" width="17" style="83" customWidth="1"/>
    <col min="14856" max="14864" width="8.28515625" style="83" bestFit="1" customWidth="1"/>
    <col min="14865" max="14866" width="12" style="83" bestFit="1" customWidth="1"/>
    <col min="14867" max="15110" width="10.28515625" style="83"/>
    <col min="15111" max="15111" width="17" style="83" customWidth="1"/>
    <col min="15112" max="15120" width="8.28515625" style="83" bestFit="1" customWidth="1"/>
    <col min="15121" max="15122" width="12" style="83" bestFit="1" customWidth="1"/>
    <col min="15123" max="15366" width="10.28515625" style="83"/>
    <col min="15367" max="15367" width="17" style="83" customWidth="1"/>
    <col min="15368" max="15376" width="8.28515625" style="83" bestFit="1" customWidth="1"/>
    <col min="15377" max="15378" width="12" style="83" bestFit="1" customWidth="1"/>
    <col min="15379" max="15622" width="10.28515625" style="83"/>
    <col min="15623" max="15623" width="17" style="83" customWidth="1"/>
    <col min="15624" max="15632" width="8.28515625" style="83" bestFit="1" customWidth="1"/>
    <col min="15633" max="15634" width="12" style="83" bestFit="1" customWidth="1"/>
    <col min="15635" max="15878" width="10.28515625" style="83"/>
    <col min="15879" max="15879" width="17" style="83" customWidth="1"/>
    <col min="15880" max="15888" width="8.28515625" style="83" bestFit="1" customWidth="1"/>
    <col min="15889" max="15890" width="12" style="83" bestFit="1" customWidth="1"/>
    <col min="15891" max="16134" width="10.28515625" style="83"/>
    <col min="16135" max="16135" width="17" style="83" customWidth="1"/>
    <col min="16136" max="16144" width="8.28515625" style="83" bestFit="1" customWidth="1"/>
    <col min="16145" max="16146" width="12" style="83" bestFit="1" customWidth="1"/>
    <col min="16147" max="16384" width="10.28515625" style="83"/>
  </cols>
  <sheetData>
    <row r="2" spans="2:18">
      <c r="B2" s="647" t="s">
        <v>46</v>
      </c>
      <c r="C2" s="647"/>
      <c r="D2" s="647"/>
      <c r="E2" s="647"/>
      <c r="F2" s="81"/>
      <c r="G2" s="81"/>
      <c r="H2" s="81"/>
      <c r="I2" s="82"/>
      <c r="J2" s="82"/>
      <c r="K2" s="82"/>
      <c r="L2" s="82"/>
      <c r="M2" s="82"/>
      <c r="N2" s="82"/>
      <c r="O2" s="82"/>
      <c r="P2" s="82"/>
    </row>
    <row r="3" spans="2:18">
      <c r="B3" s="84"/>
      <c r="C3" s="85" t="s">
        <v>47</v>
      </c>
      <c r="D3" s="85" t="s">
        <v>48</v>
      </c>
      <c r="E3" s="85" t="s">
        <v>49</v>
      </c>
      <c r="F3" s="85" t="s">
        <v>50</v>
      </c>
      <c r="G3" s="85" t="s">
        <v>64</v>
      </c>
      <c r="H3" s="85" t="s">
        <v>51</v>
      </c>
      <c r="I3" s="85" t="s">
        <v>53</v>
      </c>
      <c r="J3" s="85" t="s">
        <v>103</v>
      </c>
      <c r="K3" s="85" t="s">
        <v>286</v>
      </c>
      <c r="L3" s="85" t="s">
        <v>270</v>
      </c>
      <c r="M3" s="85" t="s">
        <v>271</v>
      </c>
      <c r="N3" s="85" t="s">
        <v>272</v>
      </c>
      <c r="O3" s="85" t="s">
        <v>280</v>
      </c>
      <c r="P3" s="85" t="s">
        <v>381</v>
      </c>
    </row>
    <row r="4" spans="2:18">
      <c r="B4" s="86" t="s">
        <v>66</v>
      </c>
      <c r="C4" s="87">
        <v>777637</v>
      </c>
      <c r="D4" s="87">
        <v>738656</v>
      </c>
      <c r="E4" s="87">
        <v>686522</v>
      </c>
      <c r="F4" s="87">
        <v>635039</v>
      </c>
      <c r="G4" s="87">
        <v>613049</v>
      </c>
      <c r="H4" s="87">
        <v>618500</v>
      </c>
      <c r="I4" s="87">
        <v>652624</v>
      </c>
      <c r="J4" s="87">
        <v>670787</v>
      </c>
      <c r="K4" s="87">
        <v>659473</v>
      </c>
      <c r="L4" s="87">
        <v>675404</v>
      </c>
      <c r="M4" s="87">
        <v>737441</v>
      </c>
      <c r="N4" s="87">
        <v>776114</v>
      </c>
      <c r="O4" s="87">
        <v>744663</v>
      </c>
      <c r="P4" s="87">
        <v>750030</v>
      </c>
    </row>
    <row r="5" spans="2:18" ht="19.5">
      <c r="B5" s="86" t="s">
        <v>136</v>
      </c>
      <c r="C5" s="87">
        <v>12844</v>
      </c>
      <c r="D5" s="87">
        <v>15155</v>
      </c>
      <c r="E5" s="87">
        <v>76659</v>
      </c>
      <c r="F5" s="87">
        <v>121116</v>
      </c>
      <c r="G5" s="87">
        <f>80475+61138</f>
        <v>141613</v>
      </c>
      <c r="H5" s="87">
        <v>116929</v>
      </c>
      <c r="I5" s="87">
        <v>77358</v>
      </c>
      <c r="J5" s="87">
        <v>42503</v>
      </c>
      <c r="K5" s="87">
        <v>88364</v>
      </c>
      <c r="L5" s="87">
        <f>52770+74600</f>
        <v>127370</v>
      </c>
      <c r="M5" s="87">
        <f>43642+64076</f>
        <v>107718</v>
      </c>
      <c r="N5" s="87">
        <f>44514+52754</f>
        <v>97268</v>
      </c>
      <c r="O5" s="87">
        <f>33867+39144</f>
        <v>73011</v>
      </c>
      <c r="P5" s="87">
        <f>72485+67246</f>
        <v>139731</v>
      </c>
    </row>
    <row r="6" spans="2:18">
      <c r="B6" s="88" t="s">
        <v>55</v>
      </c>
      <c r="C6" s="87">
        <v>96734</v>
      </c>
      <c r="D6" s="87">
        <v>131726</v>
      </c>
      <c r="E6" s="87">
        <v>112505</v>
      </c>
      <c r="F6" s="87">
        <v>104463</v>
      </c>
      <c r="G6" s="87">
        <v>98386</v>
      </c>
      <c r="H6" s="87">
        <v>110305</v>
      </c>
      <c r="I6" s="87">
        <v>113420</v>
      </c>
      <c r="J6" s="87">
        <v>102339</v>
      </c>
      <c r="K6" s="89">
        <f>86249-850</f>
        <v>85399</v>
      </c>
      <c r="L6" s="89">
        <v>137161</v>
      </c>
      <c r="M6" s="89">
        <f>6018+86045+2527</f>
        <v>94590</v>
      </c>
      <c r="N6" s="89">
        <f>5917+75642+6000</f>
        <v>87559</v>
      </c>
      <c r="O6" s="89">
        <f>5891+96055+3311</f>
        <v>105257</v>
      </c>
      <c r="P6" s="89">
        <f>5977+111634+13476</f>
        <v>131087</v>
      </c>
    </row>
    <row r="7" spans="2:18">
      <c r="B7" s="88" t="s">
        <v>56</v>
      </c>
      <c r="C7" s="87">
        <f t="shared" ref="C7:J7" si="0">SUM(C4:C6)</f>
        <v>887215</v>
      </c>
      <c r="D7" s="87">
        <f t="shared" si="0"/>
        <v>885537</v>
      </c>
      <c r="E7" s="87">
        <f t="shared" si="0"/>
        <v>875686</v>
      </c>
      <c r="F7" s="87">
        <f>SUM(F4:F6)</f>
        <v>860618</v>
      </c>
      <c r="G7" s="87">
        <f>SUM(G4:G6)</f>
        <v>853048</v>
      </c>
      <c r="H7" s="87">
        <f t="shared" si="0"/>
        <v>845734</v>
      </c>
      <c r="I7" s="87">
        <f t="shared" si="0"/>
        <v>843402</v>
      </c>
      <c r="J7" s="87">
        <f t="shared" si="0"/>
        <v>815629</v>
      </c>
      <c r="K7" s="87">
        <f t="shared" ref="K7:P7" si="1">SUM(K4:K6)</f>
        <v>833236</v>
      </c>
      <c r="L7" s="87">
        <f t="shared" si="1"/>
        <v>939935</v>
      </c>
      <c r="M7" s="87">
        <f t="shared" si="1"/>
        <v>939749</v>
      </c>
      <c r="N7" s="87">
        <f t="shared" si="1"/>
        <v>960941</v>
      </c>
      <c r="O7" s="87">
        <f t="shared" si="1"/>
        <v>922931</v>
      </c>
      <c r="P7" s="87">
        <f t="shared" si="1"/>
        <v>1020848</v>
      </c>
      <c r="Q7" s="90"/>
      <c r="R7" s="90"/>
    </row>
    <row r="8" spans="2:18">
      <c r="B8" s="82"/>
      <c r="C8" s="91"/>
      <c r="D8" s="91"/>
      <c r="E8" s="91"/>
      <c r="F8" s="91"/>
      <c r="G8" s="91"/>
      <c r="H8" s="91"/>
      <c r="I8" s="91"/>
      <c r="J8" s="91"/>
      <c r="K8" s="91"/>
      <c r="L8" s="91"/>
      <c r="M8" s="91"/>
      <c r="N8" s="91"/>
      <c r="O8" s="91"/>
      <c r="P8" s="91"/>
      <c r="Q8" s="92"/>
      <c r="R8" s="92"/>
    </row>
    <row r="9" spans="2:18">
      <c r="B9" s="647" t="s">
        <v>46</v>
      </c>
      <c r="C9" s="647"/>
      <c r="D9" s="647"/>
      <c r="E9" s="647"/>
      <c r="F9" s="81"/>
      <c r="G9" s="81"/>
      <c r="H9" s="81"/>
      <c r="I9" s="82"/>
      <c r="J9" s="82"/>
      <c r="K9" s="82"/>
      <c r="L9" s="82"/>
      <c r="M9" s="82"/>
      <c r="N9" s="82"/>
      <c r="O9" s="82"/>
      <c r="P9" s="82"/>
    </row>
    <row r="10" spans="2:18">
      <c r="B10" s="84"/>
      <c r="C10" s="85" t="s">
        <v>287</v>
      </c>
      <c r="D10" s="85" t="s">
        <v>264</v>
      </c>
      <c r="E10" s="85" t="s">
        <v>49</v>
      </c>
      <c r="F10" s="85" t="s">
        <v>50</v>
      </c>
      <c r="G10" s="85" t="s">
        <v>265</v>
      </c>
      <c r="H10" s="85" t="s">
        <v>51</v>
      </c>
      <c r="I10" s="85" t="s">
        <v>53</v>
      </c>
      <c r="J10" s="85" t="s">
        <v>266</v>
      </c>
      <c r="K10" s="85" t="s">
        <v>285</v>
      </c>
      <c r="L10" s="85" t="str">
        <f>L3</f>
        <v>H29決算</v>
      </c>
      <c r="M10" s="85" t="str">
        <f>M3</f>
        <v>H30決算</v>
      </c>
      <c r="N10" s="85" t="str">
        <f>N3</f>
        <v>R元決算</v>
      </c>
      <c r="O10" s="85" t="str">
        <f>O3</f>
        <v>R２決算</v>
      </c>
      <c r="P10" s="85" t="str">
        <f>P3</f>
        <v>R３決算</v>
      </c>
    </row>
    <row r="11" spans="2:18">
      <c r="B11" s="86" t="s">
        <v>66</v>
      </c>
      <c r="C11" s="93">
        <v>7776</v>
      </c>
      <c r="D11" s="93">
        <v>7387</v>
      </c>
      <c r="E11" s="93">
        <v>6865</v>
      </c>
      <c r="F11" s="93">
        <v>6350</v>
      </c>
      <c r="G11" s="93">
        <v>6130</v>
      </c>
      <c r="H11" s="93">
        <v>6185</v>
      </c>
      <c r="I11" s="93">
        <v>6526</v>
      </c>
      <c r="J11" s="93">
        <v>6708</v>
      </c>
      <c r="K11" s="93">
        <v>6595</v>
      </c>
      <c r="L11" s="93">
        <v>6754</v>
      </c>
      <c r="M11" s="93">
        <v>7374</v>
      </c>
      <c r="N11" s="93">
        <v>7761</v>
      </c>
      <c r="O11" s="93">
        <v>7447</v>
      </c>
      <c r="P11" s="93">
        <v>7500</v>
      </c>
    </row>
    <row r="12" spans="2:18" ht="19.5">
      <c r="B12" s="86" t="s">
        <v>136</v>
      </c>
      <c r="C12" s="93">
        <v>128</v>
      </c>
      <c r="D12" s="93">
        <v>151</v>
      </c>
      <c r="E12" s="93">
        <v>767</v>
      </c>
      <c r="F12" s="93">
        <v>1211</v>
      </c>
      <c r="G12" s="93">
        <v>1416</v>
      </c>
      <c r="H12" s="93">
        <v>1169</v>
      </c>
      <c r="I12" s="93">
        <v>774</v>
      </c>
      <c r="J12" s="93">
        <v>425</v>
      </c>
      <c r="K12" s="93">
        <v>883</v>
      </c>
      <c r="L12" s="93">
        <v>1274</v>
      </c>
      <c r="M12" s="93">
        <v>1077</v>
      </c>
      <c r="N12" s="93">
        <v>973</v>
      </c>
      <c r="O12" s="93">
        <v>730</v>
      </c>
      <c r="P12" s="93">
        <v>1397</v>
      </c>
    </row>
    <row r="13" spans="2:18">
      <c r="B13" s="88" t="s">
        <v>55</v>
      </c>
      <c r="C13" s="93">
        <v>968</v>
      </c>
      <c r="D13" s="93">
        <v>1317</v>
      </c>
      <c r="E13" s="93">
        <v>1125</v>
      </c>
      <c r="F13" s="93">
        <v>1045</v>
      </c>
      <c r="G13" s="93">
        <v>984</v>
      </c>
      <c r="H13" s="93">
        <v>1103</v>
      </c>
      <c r="I13" s="93">
        <v>1134</v>
      </c>
      <c r="J13" s="93">
        <v>1023</v>
      </c>
      <c r="K13" s="93">
        <v>854</v>
      </c>
      <c r="L13" s="93">
        <v>1372</v>
      </c>
      <c r="M13" s="93">
        <v>946</v>
      </c>
      <c r="N13" s="93">
        <v>876</v>
      </c>
      <c r="O13" s="93">
        <v>1053</v>
      </c>
      <c r="P13" s="93">
        <v>1311</v>
      </c>
    </row>
    <row r="14" spans="2:18">
      <c r="B14" s="88" t="s">
        <v>56</v>
      </c>
      <c r="C14" s="93">
        <f t="shared" ref="C14:J14" si="2">SUM(C11:C13)</f>
        <v>8872</v>
      </c>
      <c r="D14" s="93">
        <f t="shared" si="2"/>
        <v>8855</v>
      </c>
      <c r="E14" s="93">
        <f t="shared" si="2"/>
        <v>8757</v>
      </c>
      <c r="F14" s="93">
        <f t="shared" si="2"/>
        <v>8606</v>
      </c>
      <c r="G14" s="93">
        <f t="shared" si="2"/>
        <v>8530</v>
      </c>
      <c r="H14" s="93">
        <f t="shared" si="2"/>
        <v>8457</v>
      </c>
      <c r="I14" s="93">
        <f t="shared" si="2"/>
        <v>8434</v>
      </c>
      <c r="J14" s="93">
        <f t="shared" si="2"/>
        <v>8156</v>
      </c>
      <c r="K14" s="93">
        <f>SUM(K11:K13)</f>
        <v>8332</v>
      </c>
      <c r="L14" s="93">
        <v>9399</v>
      </c>
      <c r="M14" s="93">
        <v>9397</v>
      </c>
      <c r="N14" s="93">
        <v>9610</v>
      </c>
      <c r="O14" s="93">
        <v>9229</v>
      </c>
      <c r="P14" s="93">
        <v>10208</v>
      </c>
    </row>
    <row r="15" spans="2:18">
      <c r="B15" s="82"/>
      <c r="C15" s="82"/>
      <c r="D15" s="82"/>
      <c r="E15" s="82"/>
      <c r="F15" s="82"/>
      <c r="G15" s="82"/>
      <c r="H15" s="82"/>
      <c r="I15" s="82"/>
      <c r="J15" s="82"/>
      <c r="K15" s="82"/>
      <c r="L15" s="82"/>
      <c r="M15" s="82"/>
      <c r="N15" s="82"/>
      <c r="O15" s="82"/>
      <c r="P15" s="82"/>
    </row>
  </sheetData>
  <mergeCells count="2">
    <mergeCell ref="B2:E2"/>
    <mergeCell ref="B9:E9"/>
  </mergeCells>
  <phoneticPr fontId="6"/>
  <pageMargins left="0.78740157480314965" right="0.78740157480314965" top="0.98425196850393704" bottom="0.98425196850393704" header="0.51181102362204722" footer="0.51181102362204722"/>
  <pageSetup paperSize="9" scale="8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P112"/>
  <sheetViews>
    <sheetView showGridLines="0" showOutlineSymbols="0" view="pageBreakPreview" zoomScaleNormal="100" zoomScaleSheetLayoutView="100" workbookViewId="0"/>
  </sheetViews>
  <sheetFormatPr defaultRowHeight="18.75"/>
  <cols>
    <col min="1" max="3" width="3.140625" style="291" customWidth="1"/>
    <col min="4" max="7" width="19" style="291" customWidth="1"/>
    <col min="8" max="8" width="16.7109375" style="291" customWidth="1"/>
    <col min="9" max="9" width="3.140625" style="291" customWidth="1"/>
    <col min="10" max="10" width="9.140625" style="291"/>
    <col min="11" max="11" width="13.85546875" style="291" hidden="1" customWidth="1"/>
    <col min="12" max="13" width="16.42578125" style="291" hidden="1" customWidth="1"/>
    <col min="14" max="14" width="21" style="291" hidden="1" customWidth="1"/>
    <col min="15" max="16" width="14.5703125" style="291" bestFit="1" customWidth="1"/>
    <col min="17" max="17" width="13.28515625" style="291" bestFit="1" customWidth="1"/>
    <col min="18" max="16384" width="9.140625" style="291"/>
  </cols>
  <sheetData>
    <row r="1" spans="1:14" ht="17.25" customHeight="1">
      <c r="A1" s="298"/>
      <c r="B1" s="354"/>
      <c r="C1" s="354"/>
      <c r="D1" s="354"/>
      <c r="E1" s="354"/>
      <c r="F1" s="354"/>
      <c r="G1" s="354"/>
      <c r="H1" s="354"/>
      <c r="I1" s="354"/>
    </row>
    <row r="2" spans="1:14" ht="12" customHeight="1">
      <c r="A2" s="298"/>
      <c r="B2" s="354"/>
      <c r="C2" s="354"/>
      <c r="D2" s="354"/>
      <c r="E2" s="354"/>
      <c r="F2" s="354"/>
      <c r="G2" s="354"/>
      <c r="H2" s="354"/>
      <c r="I2" s="354"/>
    </row>
    <row r="3" spans="1:14" ht="3.75" customHeight="1">
      <c r="B3" s="354"/>
      <c r="C3" s="354"/>
      <c r="D3" s="354"/>
      <c r="E3" s="354"/>
      <c r="F3" s="354"/>
      <c r="G3" s="354"/>
      <c r="H3" s="354"/>
      <c r="I3" s="354"/>
    </row>
    <row r="4" spans="1:14" ht="15" customHeight="1" thickBot="1">
      <c r="G4" s="353"/>
      <c r="H4" s="352" t="s">
        <v>172</v>
      </c>
      <c r="I4" s="351"/>
      <c r="K4" s="291" t="s">
        <v>215</v>
      </c>
    </row>
    <row r="5" spans="1:14" ht="18.95" customHeight="1" thickBot="1">
      <c r="B5" s="657" t="s">
        <v>173</v>
      </c>
      <c r="C5" s="658"/>
      <c r="D5" s="659"/>
      <c r="E5" s="346" t="s">
        <v>413</v>
      </c>
      <c r="F5" s="350" t="s">
        <v>414</v>
      </c>
      <c r="G5" s="349" t="s">
        <v>174</v>
      </c>
      <c r="H5" s="348" t="s">
        <v>175</v>
      </c>
      <c r="I5" s="347"/>
      <c r="K5" s="346" t="s">
        <v>415</v>
      </c>
      <c r="L5" s="345" t="s">
        <v>416</v>
      </c>
      <c r="M5" s="344" t="s">
        <v>226</v>
      </c>
      <c r="N5" s="291" t="s">
        <v>227</v>
      </c>
    </row>
    <row r="6" spans="1:14" ht="18.95" customHeight="1" thickBot="1">
      <c r="B6" s="660" t="s">
        <v>176</v>
      </c>
      <c r="C6" s="661"/>
      <c r="D6" s="662"/>
      <c r="E6" s="476">
        <v>740859</v>
      </c>
      <c r="F6" s="477">
        <v>754768</v>
      </c>
      <c r="G6" s="478">
        <v>-13909</v>
      </c>
      <c r="H6" s="479">
        <v>-1.8</v>
      </c>
      <c r="I6" s="347"/>
      <c r="K6" s="480"/>
      <c r="L6" s="481"/>
      <c r="M6" s="482"/>
    </row>
    <row r="7" spans="1:14" ht="21" customHeight="1" thickBot="1">
      <c r="B7" s="663"/>
      <c r="C7" s="664"/>
      <c r="D7" s="665"/>
      <c r="E7" s="483">
        <f t="shared" ref="E7:G22" si="0">ROUND(K7/1000,0)</f>
        <v>750030</v>
      </c>
      <c r="F7" s="484">
        <f t="shared" si="0"/>
        <v>744663</v>
      </c>
      <c r="G7" s="485">
        <f t="shared" si="0"/>
        <v>5367</v>
      </c>
      <c r="H7" s="486">
        <f t="shared" ref="H7:H22" si="1">K7/L7*100-100</f>
        <v>0.72076421678882241</v>
      </c>
      <c r="I7" s="304"/>
      <c r="K7" s="343">
        <v>750030203</v>
      </c>
      <c r="L7" s="343">
        <v>744662939</v>
      </c>
      <c r="M7" s="342">
        <f t="shared" ref="M7:M22" si="2">K7-L7</f>
        <v>5367264</v>
      </c>
      <c r="N7" s="341">
        <v>6349584</v>
      </c>
    </row>
    <row r="8" spans="1:14" ht="18.95" customHeight="1" thickTop="1">
      <c r="B8" s="474"/>
      <c r="C8" s="666" t="s">
        <v>177</v>
      </c>
      <c r="D8" s="652"/>
      <c r="E8" s="487">
        <f t="shared" si="0"/>
        <v>327673</v>
      </c>
      <c r="F8" s="340">
        <f t="shared" si="0"/>
        <v>329386</v>
      </c>
      <c r="G8" s="322">
        <f t="shared" si="0"/>
        <v>-1713</v>
      </c>
      <c r="H8" s="337">
        <f t="shared" si="1"/>
        <v>-0.51992820189758504</v>
      </c>
      <c r="I8" s="304"/>
      <c r="K8" s="339">
        <v>327673294</v>
      </c>
      <c r="L8" s="339">
        <v>329385864</v>
      </c>
      <c r="M8" s="319">
        <f t="shared" si="2"/>
        <v>-1712570</v>
      </c>
    </row>
    <row r="9" spans="1:14" ht="18.95" customHeight="1">
      <c r="B9" s="653"/>
      <c r="C9" s="667"/>
      <c r="D9" s="338" t="s">
        <v>178</v>
      </c>
      <c r="E9" s="327">
        <f t="shared" si="0"/>
        <v>219398</v>
      </c>
      <c r="F9" s="316">
        <f t="shared" si="0"/>
        <v>219942</v>
      </c>
      <c r="G9" s="315">
        <f t="shared" si="0"/>
        <v>-544</v>
      </c>
      <c r="H9" s="314">
        <f t="shared" si="1"/>
        <v>-0.2473373370623051</v>
      </c>
      <c r="I9" s="304"/>
      <c r="K9" s="308">
        <v>219398128</v>
      </c>
      <c r="L9" s="308">
        <v>219942127</v>
      </c>
      <c r="M9" s="307">
        <f t="shared" si="2"/>
        <v>-543999</v>
      </c>
    </row>
    <row r="10" spans="1:14" ht="18.95" customHeight="1">
      <c r="B10" s="653"/>
      <c r="C10" s="668"/>
      <c r="D10" s="317" t="s">
        <v>179</v>
      </c>
      <c r="E10" s="488">
        <f t="shared" si="0"/>
        <v>108275</v>
      </c>
      <c r="F10" s="323">
        <f t="shared" si="0"/>
        <v>109444</v>
      </c>
      <c r="G10" s="322">
        <f t="shared" si="0"/>
        <v>-1169</v>
      </c>
      <c r="H10" s="337">
        <f t="shared" si="1"/>
        <v>-1.067736749522723</v>
      </c>
      <c r="I10" s="304"/>
      <c r="K10" s="308">
        <v>108275166</v>
      </c>
      <c r="L10" s="308">
        <v>109443737</v>
      </c>
      <c r="M10" s="307">
        <f t="shared" si="2"/>
        <v>-1168571</v>
      </c>
    </row>
    <row r="11" spans="1:14" ht="18.95" customHeight="1">
      <c r="B11" s="474"/>
      <c r="C11" s="669" t="s">
        <v>180</v>
      </c>
      <c r="D11" s="650"/>
      <c r="E11" s="327">
        <f t="shared" si="0"/>
        <v>302707</v>
      </c>
      <c r="F11" s="316">
        <f t="shared" si="0"/>
        <v>298790</v>
      </c>
      <c r="G11" s="315">
        <f t="shared" si="0"/>
        <v>3918</v>
      </c>
      <c r="H11" s="314">
        <f t="shared" si="1"/>
        <v>1.3111457160289319</v>
      </c>
      <c r="I11" s="304"/>
      <c r="K11" s="308">
        <v>302707473</v>
      </c>
      <c r="L11" s="308">
        <v>298789902</v>
      </c>
      <c r="M11" s="307">
        <f t="shared" si="2"/>
        <v>3917571</v>
      </c>
    </row>
    <row r="12" spans="1:14" ht="18.95" customHeight="1">
      <c r="B12" s="653"/>
      <c r="C12" s="670"/>
      <c r="D12" s="336" t="s">
        <v>181</v>
      </c>
      <c r="E12" s="334">
        <f t="shared" si="0"/>
        <v>118592</v>
      </c>
      <c r="F12" s="316">
        <f t="shared" si="0"/>
        <v>114814</v>
      </c>
      <c r="G12" s="315">
        <f t="shared" si="0"/>
        <v>3778</v>
      </c>
      <c r="H12" s="314">
        <f t="shared" si="1"/>
        <v>3.2906620338387853</v>
      </c>
      <c r="I12" s="304"/>
      <c r="K12" s="308">
        <v>118592401</v>
      </c>
      <c r="L12" s="308">
        <v>114814252</v>
      </c>
      <c r="M12" s="307">
        <f t="shared" si="2"/>
        <v>3778149</v>
      </c>
    </row>
    <row r="13" spans="1:14" ht="18.95" customHeight="1">
      <c r="B13" s="653"/>
      <c r="C13" s="671"/>
      <c r="D13" s="335" t="s">
        <v>182</v>
      </c>
      <c r="E13" s="334">
        <f t="shared" si="0"/>
        <v>142774</v>
      </c>
      <c r="F13" s="316">
        <f t="shared" si="0"/>
        <v>144063</v>
      </c>
      <c r="G13" s="315">
        <f t="shared" si="0"/>
        <v>-1289</v>
      </c>
      <c r="H13" s="314">
        <f t="shared" si="1"/>
        <v>-0.89454537851817406</v>
      </c>
      <c r="I13" s="304"/>
      <c r="K13" s="308">
        <v>142774412</v>
      </c>
      <c r="L13" s="308">
        <v>144063122</v>
      </c>
      <c r="M13" s="307">
        <f t="shared" si="2"/>
        <v>-1288710</v>
      </c>
    </row>
    <row r="14" spans="1:14" ht="18.95" customHeight="1">
      <c r="B14" s="653"/>
      <c r="C14" s="671"/>
      <c r="D14" s="317" t="s">
        <v>183</v>
      </c>
      <c r="E14" s="327">
        <f t="shared" si="0"/>
        <v>41081</v>
      </c>
      <c r="F14" s="316">
        <f t="shared" si="0"/>
        <v>39661</v>
      </c>
      <c r="G14" s="315">
        <f t="shared" si="0"/>
        <v>1420</v>
      </c>
      <c r="H14" s="314">
        <f t="shared" si="1"/>
        <v>3.580799165969978</v>
      </c>
      <c r="I14" s="304"/>
      <c r="K14" s="308">
        <v>41081101</v>
      </c>
      <c r="L14" s="308">
        <v>39660923</v>
      </c>
      <c r="M14" s="307">
        <f t="shared" si="2"/>
        <v>1420178</v>
      </c>
    </row>
    <row r="15" spans="1:14" ht="18.95" customHeight="1">
      <c r="B15" s="653"/>
      <c r="C15" s="672"/>
      <c r="D15" s="317" t="s">
        <v>184</v>
      </c>
      <c r="E15" s="327">
        <f t="shared" si="0"/>
        <v>260</v>
      </c>
      <c r="F15" s="316">
        <f t="shared" si="0"/>
        <v>252</v>
      </c>
      <c r="G15" s="315">
        <f t="shared" si="0"/>
        <v>8</v>
      </c>
      <c r="H15" s="314">
        <f t="shared" si="1"/>
        <v>3.1613044255877298</v>
      </c>
      <c r="I15" s="304"/>
      <c r="K15" s="308">
        <v>259559</v>
      </c>
      <c r="L15" s="308">
        <v>251605</v>
      </c>
      <c r="M15" s="307">
        <f t="shared" si="2"/>
        <v>7954</v>
      </c>
    </row>
    <row r="16" spans="1:14" ht="18.95" customHeight="1">
      <c r="B16" s="474"/>
      <c r="C16" s="649" t="s">
        <v>186</v>
      </c>
      <c r="D16" s="650"/>
      <c r="E16" s="332">
        <f t="shared" si="0"/>
        <v>2050</v>
      </c>
      <c r="F16" s="331">
        <f t="shared" si="0"/>
        <v>1986</v>
      </c>
      <c r="G16" s="330">
        <f t="shared" si="0"/>
        <v>64</v>
      </c>
      <c r="H16" s="333">
        <f t="shared" si="1"/>
        <v>3.2450473881375075</v>
      </c>
      <c r="I16" s="304"/>
      <c r="K16" s="326">
        <v>2049949</v>
      </c>
      <c r="L16" s="326">
        <v>1985518</v>
      </c>
      <c r="M16" s="328">
        <f t="shared" si="2"/>
        <v>64431</v>
      </c>
    </row>
    <row r="17" spans="2:13" ht="18.95" customHeight="1">
      <c r="B17" s="474"/>
      <c r="C17" s="649" t="s">
        <v>187</v>
      </c>
      <c r="D17" s="650"/>
      <c r="E17" s="332">
        <f t="shared" si="0"/>
        <v>27758</v>
      </c>
      <c r="F17" s="331">
        <f t="shared" si="0"/>
        <v>26282</v>
      </c>
      <c r="G17" s="330">
        <f t="shared" si="0"/>
        <v>1476</v>
      </c>
      <c r="H17" s="333">
        <f t="shared" si="1"/>
        <v>5.6177642375969867</v>
      </c>
      <c r="I17" s="304"/>
      <c r="K17" s="326">
        <v>27758051</v>
      </c>
      <c r="L17" s="326">
        <v>26281612</v>
      </c>
      <c r="M17" s="328">
        <f t="shared" si="2"/>
        <v>1476439</v>
      </c>
    </row>
    <row r="18" spans="2:13" ht="18.95" customHeight="1">
      <c r="B18" s="474"/>
      <c r="C18" s="649" t="s">
        <v>217</v>
      </c>
      <c r="D18" s="650"/>
      <c r="E18" s="332">
        <f t="shared" si="0"/>
        <v>129</v>
      </c>
      <c r="F18" s="331">
        <f t="shared" si="0"/>
        <v>91</v>
      </c>
      <c r="G18" s="330">
        <f t="shared" si="0"/>
        <v>38</v>
      </c>
      <c r="H18" s="329">
        <f t="shared" si="1"/>
        <v>41.3452698857418</v>
      </c>
      <c r="I18" s="304"/>
      <c r="K18" s="326">
        <v>129150</v>
      </c>
      <c r="L18" s="326">
        <v>91372</v>
      </c>
      <c r="M18" s="328">
        <f t="shared" si="2"/>
        <v>37778</v>
      </c>
    </row>
    <row r="19" spans="2:13" ht="18.95" customHeight="1">
      <c r="B19" s="474"/>
      <c r="C19" s="649" t="s">
        <v>188</v>
      </c>
      <c r="D19" s="650"/>
      <c r="E19" s="327">
        <f t="shared" si="0"/>
        <v>28749</v>
      </c>
      <c r="F19" s="316">
        <f t="shared" si="0"/>
        <v>27792</v>
      </c>
      <c r="G19" s="315">
        <f t="shared" si="0"/>
        <v>957</v>
      </c>
      <c r="H19" s="314">
        <f t="shared" si="1"/>
        <v>3.443250032410063</v>
      </c>
      <c r="I19" s="304"/>
      <c r="K19" s="326">
        <v>28749247</v>
      </c>
      <c r="L19" s="325">
        <v>27792289</v>
      </c>
      <c r="M19" s="307">
        <f t="shared" si="2"/>
        <v>956958</v>
      </c>
    </row>
    <row r="20" spans="2:13" ht="18.95" customHeight="1">
      <c r="B20" s="474"/>
      <c r="C20" s="651" t="s">
        <v>185</v>
      </c>
      <c r="D20" s="652"/>
      <c r="E20" s="324">
        <f t="shared" si="0"/>
        <v>60963</v>
      </c>
      <c r="F20" s="323">
        <f t="shared" si="0"/>
        <v>60336</v>
      </c>
      <c r="G20" s="322">
        <f t="shared" si="0"/>
        <v>627</v>
      </c>
      <c r="H20" s="314">
        <f t="shared" si="1"/>
        <v>1.038605529910626</v>
      </c>
      <c r="I20" s="304"/>
      <c r="K20" s="321">
        <v>60963039</v>
      </c>
      <c r="L20" s="320">
        <v>60336382</v>
      </c>
      <c r="M20" s="319">
        <f t="shared" si="2"/>
        <v>626657</v>
      </c>
    </row>
    <row r="21" spans="2:13" ht="18.95" customHeight="1">
      <c r="B21" s="653"/>
      <c r="C21" s="318"/>
      <c r="D21" s="317" t="s">
        <v>181</v>
      </c>
      <c r="E21" s="327">
        <f t="shared" si="0"/>
        <v>29639</v>
      </c>
      <c r="F21" s="316">
        <f t="shared" si="0"/>
        <v>28693</v>
      </c>
      <c r="G21" s="315">
        <f t="shared" si="0"/>
        <v>946</v>
      </c>
      <c r="H21" s="314">
        <f t="shared" si="1"/>
        <v>3.2972661754163255</v>
      </c>
      <c r="I21" s="304"/>
      <c r="K21" s="308">
        <v>29638847</v>
      </c>
      <c r="L21" s="308">
        <v>28692770</v>
      </c>
      <c r="M21" s="307">
        <f t="shared" si="2"/>
        <v>946077</v>
      </c>
    </row>
    <row r="22" spans="2:13" ht="18.95" customHeight="1" thickBot="1">
      <c r="B22" s="654"/>
      <c r="C22" s="313"/>
      <c r="D22" s="312" t="s">
        <v>182</v>
      </c>
      <c r="E22" s="489">
        <f t="shared" si="0"/>
        <v>31324</v>
      </c>
      <c r="F22" s="311">
        <f t="shared" si="0"/>
        <v>31644</v>
      </c>
      <c r="G22" s="310">
        <f t="shared" si="0"/>
        <v>-319</v>
      </c>
      <c r="H22" s="309">
        <f t="shared" si="1"/>
        <v>-1.0094296441253192</v>
      </c>
      <c r="I22" s="304"/>
      <c r="K22" s="308">
        <v>31324192</v>
      </c>
      <c r="L22" s="308">
        <v>31643612</v>
      </c>
      <c r="M22" s="307">
        <f t="shared" si="2"/>
        <v>-319420</v>
      </c>
    </row>
    <row r="23" spans="2:13" ht="15" hidden="1" customHeight="1">
      <c r="B23" s="301" t="s">
        <v>273</v>
      </c>
      <c r="C23" s="306"/>
      <c r="D23" s="306"/>
      <c r="E23" s="306"/>
      <c r="F23" s="306"/>
      <c r="G23" s="306"/>
      <c r="H23" s="305"/>
      <c r="I23" s="304"/>
    </row>
    <row r="24" spans="2:13" ht="16.5" hidden="1" customHeight="1">
      <c r="B24" s="301" t="s">
        <v>274</v>
      </c>
      <c r="C24" s="306"/>
      <c r="D24" s="306"/>
      <c r="E24" s="306"/>
      <c r="F24" s="306"/>
      <c r="G24" s="306"/>
      <c r="H24" s="305"/>
      <c r="I24" s="304"/>
    </row>
    <row r="25" spans="2:13" ht="16.5" customHeight="1">
      <c r="B25" s="490" t="s">
        <v>417</v>
      </c>
      <c r="C25" s="306"/>
      <c r="D25" s="306"/>
      <c r="E25" s="306"/>
      <c r="F25" s="306"/>
      <c r="G25" s="306"/>
      <c r="H25" s="305"/>
      <c r="I25" s="304"/>
    </row>
    <row r="26" spans="2:13" ht="15" customHeight="1">
      <c r="D26" s="306"/>
      <c r="E26" s="306"/>
      <c r="F26" s="306"/>
      <c r="G26" s="306"/>
      <c r="H26" s="305"/>
      <c r="I26" s="304"/>
    </row>
    <row r="27" spans="2:13" s="296" customFormat="1" ht="20.100000000000001" customHeight="1">
      <c r="B27" s="303" t="s">
        <v>222</v>
      </c>
      <c r="C27" s="302" t="s">
        <v>418</v>
      </c>
    </row>
    <row r="28" spans="2:13" s="296" customFormat="1" ht="4.5" customHeight="1">
      <c r="B28" s="303"/>
      <c r="C28" s="302"/>
    </row>
    <row r="29" spans="2:13" s="296" customFormat="1" ht="42" customHeight="1">
      <c r="B29" s="303"/>
      <c r="C29" s="655" t="s">
        <v>419</v>
      </c>
      <c r="D29" s="655"/>
      <c r="E29" s="655"/>
      <c r="F29" s="655"/>
      <c r="G29" s="655"/>
      <c r="H29" s="655"/>
      <c r="I29" s="655"/>
    </row>
    <row r="30" spans="2:13" s="296" customFormat="1" ht="1.5" customHeight="1">
      <c r="B30" s="303"/>
      <c r="C30" s="302"/>
      <c r="K30" s="301"/>
    </row>
    <row r="31" spans="2:13" ht="18.75" customHeight="1">
      <c r="B31" s="298" t="s">
        <v>189</v>
      </c>
      <c r="K31" s="301"/>
    </row>
    <row r="32" spans="2:13" ht="2.25" customHeight="1">
      <c r="B32" s="297"/>
      <c r="C32" s="296"/>
      <c r="D32" s="296"/>
      <c r="E32" s="296"/>
      <c r="F32" s="296"/>
      <c r="G32" s="296"/>
      <c r="H32" s="296"/>
      <c r="I32" s="300"/>
    </row>
    <row r="33" spans="2:16" ht="21" customHeight="1">
      <c r="B33" s="362" t="s">
        <v>223</v>
      </c>
      <c r="C33" s="363" t="s">
        <v>178</v>
      </c>
      <c r="D33" s="363"/>
      <c r="E33" s="296"/>
      <c r="F33" s="296"/>
      <c r="G33" s="296"/>
      <c r="H33" s="296"/>
      <c r="I33" s="300"/>
    </row>
    <row r="34" spans="2:16" ht="43.5" customHeight="1">
      <c r="B34" s="656" t="s">
        <v>420</v>
      </c>
      <c r="C34" s="656"/>
      <c r="D34" s="656"/>
      <c r="E34" s="656"/>
      <c r="F34" s="656"/>
      <c r="G34" s="656"/>
      <c r="H34" s="656"/>
      <c r="I34" s="300"/>
    </row>
    <row r="35" spans="2:16" ht="2.25" customHeight="1">
      <c r="B35" s="297"/>
      <c r="C35" s="296"/>
      <c r="D35" s="296"/>
      <c r="E35" s="296"/>
      <c r="F35" s="296"/>
      <c r="G35" s="296"/>
      <c r="H35" s="296"/>
      <c r="I35" s="300"/>
    </row>
    <row r="36" spans="2:16" ht="21" customHeight="1">
      <c r="B36" s="362" t="s">
        <v>223</v>
      </c>
      <c r="C36" s="363" t="s">
        <v>190</v>
      </c>
      <c r="D36" s="363"/>
      <c r="E36" s="363"/>
      <c r="F36" s="363"/>
      <c r="G36" s="363"/>
      <c r="H36" s="363"/>
      <c r="I36" s="300"/>
    </row>
    <row r="37" spans="2:16" ht="6" hidden="1" customHeight="1">
      <c r="B37" s="364"/>
      <c r="C37" s="298"/>
      <c r="D37" s="298"/>
      <c r="E37" s="298"/>
      <c r="F37" s="298"/>
      <c r="G37" s="298"/>
      <c r="H37" s="298"/>
      <c r="I37" s="296"/>
    </row>
    <row r="38" spans="2:16" ht="60.75" customHeight="1">
      <c r="B38" s="648" t="s">
        <v>421</v>
      </c>
      <c r="C38" s="648"/>
      <c r="D38" s="648"/>
      <c r="E38" s="648"/>
      <c r="F38" s="648"/>
      <c r="G38" s="648"/>
      <c r="H38" s="648"/>
    </row>
    <row r="39" spans="2:16" ht="2.25" customHeight="1">
      <c r="B39" s="364"/>
      <c r="C39" s="365"/>
      <c r="D39" s="366"/>
      <c r="E39" s="366"/>
      <c r="F39" s="366"/>
      <c r="G39" s="366"/>
      <c r="H39" s="366"/>
      <c r="I39" s="296"/>
    </row>
    <row r="40" spans="2:16" ht="19.5">
      <c r="B40" s="362" t="s">
        <v>223</v>
      </c>
      <c r="C40" s="363" t="s">
        <v>180</v>
      </c>
      <c r="D40" s="363"/>
      <c r="E40" s="363"/>
      <c r="F40" s="363"/>
      <c r="G40" s="363"/>
      <c r="H40" s="363"/>
      <c r="I40" s="300"/>
    </row>
    <row r="41" spans="2:16" ht="43.5" customHeight="1">
      <c r="B41" s="648" t="s">
        <v>422</v>
      </c>
      <c r="C41" s="648"/>
      <c r="D41" s="648"/>
      <c r="E41" s="648"/>
      <c r="F41" s="648"/>
      <c r="G41" s="648"/>
      <c r="H41" s="648"/>
      <c r="I41" s="648"/>
    </row>
    <row r="42" spans="2:16" ht="21" customHeight="1">
      <c r="B42" s="364"/>
      <c r="C42" s="365"/>
      <c r="D42" s="475"/>
      <c r="E42" s="475"/>
      <c r="F42" s="475"/>
      <c r="G42" s="475"/>
      <c r="H42" s="475"/>
    </row>
    <row r="43" spans="2:16" ht="16.5" customHeight="1">
      <c r="B43" s="303" t="s">
        <v>222</v>
      </c>
      <c r="C43" s="296" t="s">
        <v>423</v>
      </c>
      <c r="D43" s="296"/>
      <c r="E43" s="296"/>
      <c r="F43" s="296"/>
      <c r="G43" s="296"/>
      <c r="H43" s="296"/>
      <c r="I43" s="296"/>
    </row>
    <row r="44" spans="2:16" ht="11.25" customHeight="1">
      <c r="B44" s="298"/>
      <c r="C44" s="296"/>
      <c r="D44" s="296"/>
      <c r="E44" s="296"/>
      <c r="F44" s="296"/>
      <c r="G44" s="296"/>
      <c r="H44" s="296"/>
      <c r="I44" s="296"/>
    </row>
    <row r="45" spans="2:16" s="298" customFormat="1" ht="16.5" customHeight="1">
      <c r="K45" s="291"/>
      <c r="L45" s="291"/>
      <c r="N45" s="291"/>
      <c r="O45" s="291"/>
      <c r="P45" s="291"/>
    </row>
    <row r="46" spans="2:16" s="298" customFormat="1" ht="16.5" customHeight="1">
      <c r="K46" s="291"/>
      <c r="L46" s="291"/>
      <c r="N46" s="291"/>
      <c r="O46" s="291"/>
      <c r="P46" s="291"/>
    </row>
    <row r="47" spans="2:16" ht="7.5" customHeight="1">
      <c r="B47" s="298"/>
      <c r="C47" s="296"/>
      <c r="D47" s="296"/>
      <c r="E47" s="296"/>
      <c r="F47" s="296"/>
      <c r="G47" s="296"/>
      <c r="H47" s="296"/>
      <c r="I47" s="296"/>
    </row>
    <row r="48" spans="2:16" ht="14.25" customHeight="1">
      <c r="B48" s="298"/>
      <c r="C48" s="296"/>
      <c r="D48" s="296"/>
      <c r="E48" s="296"/>
      <c r="F48" s="296"/>
      <c r="G48" s="296"/>
      <c r="H48" s="296"/>
      <c r="I48" s="296"/>
    </row>
    <row r="49" spans="2:16" ht="11.25" customHeight="1">
      <c r="B49" s="297"/>
      <c r="C49" s="296"/>
      <c r="D49" s="296"/>
      <c r="E49" s="296"/>
      <c r="F49" s="296"/>
      <c r="G49" s="296"/>
      <c r="H49" s="296"/>
      <c r="I49" s="296"/>
    </row>
    <row r="50" spans="2:16" s="298" customFormat="1" ht="16.5" customHeight="1">
      <c r="B50" s="298" t="s">
        <v>191</v>
      </c>
      <c r="F50" s="299"/>
      <c r="K50" s="291"/>
      <c r="L50" s="291"/>
      <c r="N50" s="291"/>
      <c r="O50" s="291"/>
      <c r="P50" s="291"/>
    </row>
    <row r="51" spans="2:16" ht="6" customHeight="1">
      <c r="B51" s="297"/>
      <c r="C51" s="296"/>
      <c r="D51" s="296"/>
      <c r="E51" s="296"/>
      <c r="F51" s="296"/>
      <c r="G51" s="296"/>
      <c r="H51" s="296"/>
      <c r="I51" s="296"/>
    </row>
    <row r="52" spans="2:16" ht="76.5" customHeight="1">
      <c r="B52" s="297"/>
      <c r="C52" s="296"/>
      <c r="D52" s="296"/>
      <c r="E52" s="296"/>
      <c r="F52" s="296"/>
      <c r="G52" s="296"/>
      <c r="H52" s="296"/>
      <c r="I52" s="296"/>
    </row>
    <row r="53" spans="2:16" ht="21.75" customHeight="1"/>
    <row r="54" spans="2:16" ht="21.75" customHeight="1">
      <c r="K54" s="294" t="s">
        <v>228</v>
      </c>
      <c r="L54" s="295">
        <v>777637</v>
      </c>
    </row>
    <row r="55" spans="2:16">
      <c r="K55" s="294" t="s">
        <v>229</v>
      </c>
      <c r="L55" s="293">
        <f>L54-E7</f>
        <v>27607</v>
      </c>
    </row>
    <row r="60" spans="2:16" ht="9" customHeight="1"/>
    <row r="62" spans="2:16" ht="18" customHeight="1"/>
    <row r="63" spans="2:16" ht="18" customHeight="1">
      <c r="K63" s="491"/>
      <c r="L63" s="491" t="s">
        <v>424</v>
      </c>
      <c r="M63" s="491" t="s">
        <v>280</v>
      </c>
    </row>
    <row r="64" spans="2:16" ht="18" customHeight="1">
      <c r="K64" s="491" t="s">
        <v>425</v>
      </c>
      <c r="L64" s="492" t="s">
        <v>426</v>
      </c>
      <c r="M64" s="493" t="s">
        <v>427</v>
      </c>
    </row>
    <row r="65" spans="11:13" ht="18" customHeight="1">
      <c r="K65" s="494" t="s">
        <v>428</v>
      </c>
      <c r="L65" s="492" t="s">
        <v>429</v>
      </c>
      <c r="M65" s="493" t="s">
        <v>430</v>
      </c>
    </row>
    <row r="66" spans="11:13">
      <c r="K66" s="495" t="s">
        <v>431</v>
      </c>
      <c r="L66" s="496"/>
      <c r="M66" s="496"/>
    </row>
    <row r="67" spans="11:13" ht="5.25" customHeight="1"/>
    <row r="95" spans="4:4">
      <c r="D95" s="292"/>
    </row>
    <row r="96" spans="4:4">
      <c r="D96" s="292"/>
    </row>
    <row r="97" spans="4:4">
      <c r="D97" s="292"/>
    </row>
    <row r="98" spans="4:4">
      <c r="D98" s="292"/>
    </row>
    <row r="99" spans="4:4">
      <c r="D99" s="292"/>
    </row>
    <row r="100" spans="4:4">
      <c r="D100" s="292"/>
    </row>
    <row r="101" spans="4:4">
      <c r="D101" s="292"/>
    </row>
    <row r="102" spans="4:4">
      <c r="D102" s="292"/>
    </row>
    <row r="103" spans="4:4">
      <c r="D103" s="292"/>
    </row>
    <row r="104" spans="4:4">
      <c r="D104" s="292"/>
    </row>
    <row r="105" spans="4:4">
      <c r="D105" s="292"/>
    </row>
    <row r="106" spans="4:4">
      <c r="D106" s="292"/>
    </row>
    <row r="107" spans="4:4">
      <c r="D107" s="292"/>
    </row>
    <row r="108" spans="4:4">
      <c r="D108" s="292"/>
    </row>
    <row r="109" spans="4:4">
      <c r="D109" s="292"/>
    </row>
    <row r="110" spans="4:4">
      <c r="D110" s="292"/>
    </row>
    <row r="111" spans="4:4">
      <c r="D111" s="292"/>
    </row>
    <row r="112" spans="4:4">
      <c r="D112" s="292"/>
    </row>
  </sheetData>
  <mergeCells count="19">
    <mergeCell ref="C18:D18"/>
    <mergeCell ref="B5:D5"/>
    <mergeCell ref="B6:D7"/>
    <mergeCell ref="C8:D8"/>
    <mergeCell ref="B9:B10"/>
    <mergeCell ref="C9:C10"/>
    <mergeCell ref="C11:D11"/>
    <mergeCell ref="B12:B13"/>
    <mergeCell ref="C12:C15"/>
    <mergeCell ref="B14:B15"/>
    <mergeCell ref="C16:D16"/>
    <mergeCell ref="C17:D17"/>
    <mergeCell ref="B41:I41"/>
    <mergeCell ref="C19:D19"/>
    <mergeCell ref="C20:D20"/>
    <mergeCell ref="B21:B22"/>
    <mergeCell ref="C29:I29"/>
    <mergeCell ref="B34:H34"/>
    <mergeCell ref="B38:H38"/>
  </mergeCells>
  <phoneticPr fontId="6"/>
  <printOptions horizontalCentered="1"/>
  <pageMargins left="0" right="0" top="0.39370078740157483" bottom="0.39370078740157483" header="0.39370078740157483" footer="0.19685039370078741"/>
  <pageSetup paperSize="9" scale="8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41"/>
  <sheetViews>
    <sheetView showGridLines="0" showOutlineSymbols="0" workbookViewId="0">
      <selection activeCell="D19" sqref="D19"/>
    </sheetView>
  </sheetViews>
  <sheetFormatPr defaultRowHeight="15" customHeight="1"/>
  <cols>
    <col min="1" max="1" width="18.7109375" style="497" customWidth="1"/>
    <col min="2" max="2" width="9.140625" style="497"/>
    <col min="3" max="3" width="9.140625" style="497" collapsed="1"/>
    <col min="4" max="6" width="9.140625" style="497"/>
    <col min="7" max="10" width="9.140625" style="497" collapsed="1"/>
    <col min="11" max="11" width="10.28515625" style="497" customWidth="1"/>
    <col min="12" max="17" width="9.140625" style="512"/>
    <col min="18" max="18" width="10.28515625" style="497" customWidth="1"/>
    <col min="19" max="16384" width="9.140625" style="497"/>
  </cols>
  <sheetData>
    <row r="1" spans="1:10" ht="15" customHeight="1">
      <c r="A1" s="497" t="s">
        <v>432</v>
      </c>
    </row>
    <row r="2" spans="1:10" ht="35.25" customHeight="1">
      <c r="A2" s="498" t="s">
        <v>173</v>
      </c>
      <c r="B2" s="499" t="s">
        <v>433</v>
      </c>
      <c r="C2" s="500" t="s">
        <v>434</v>
      </c>
      <c r="D2" s="500" t="s">
        <v>435</v>
      </c>
      <c r="E2" s="500" t="s">
        <v>436</v>
      </c>
      <c r="F2" s="500"/>
      <c r="G2" s="501" t="s">
        <v>437</v>
      </c>
      <c r="H2" s="501" t="s">
        <v>438</v>
      </c>
      <c r="I2" s="501" t="s">
        <v>439</v>
      </c>
      <c r="J2" s="501" t="s">
        <v>440</v>
      </c>
    </row>
    <row r="3" spans="1:10" ht="17.25">
      <c r="A3" s="498" t="s">
        <v>178</v>
      </c>
      <c r="B3" s="502">
        <v>1294</v>
      </c>
      <c r="C3" s="502">
        <v>1400</v>
      </c>
      <c r="D3" s="503">
        <v>1389</v>
      </c>
      <c r="E3" s="503">
        <v>1306</v>
      </c>
      <c r="F3" s="504"/>
      <c r="G3" s="505">
        <v>1993</v>
      </c>
      <c r="H3" s="505">
        <v>2120</v>
      </c>
      <c r="I3" s="505">
        <v>2199</v>
      </c>
      <c r="J3" s="505">
        <v>2194</v>
      </c>
    </row>
    <row r="4" spans="1:10" ht="17.25">
      <c r="A4" s="498" t="s">
        <v>179</v>
      </c>
      <c r="B4" s="502">
        <v>1643</v>
      </c>
      <c r="C4" s="502">
        <v>1544</v>
      </c>
      <c r="D4" s="503">
        <v>1034</v>
      </c>
      <c r="E4" s="503">
        <v>1081</v>
      </c>
      <c r="F4" s="504"/>
      <c r="G4" s="505">
        <v>1388</v>
      </c>
      <c r="H4" s="505">
        <v>1499</v>
      </c>
      <c r="I4" s="505">
        <v>1094</v>
      </c>
      <c r="J4" s="505">
        <v>1083</v>
      </c>
    </row>
    <row r="5" spans="1:10" ht="28.5">
      <c r="A5" s="506" t="s">
        <v>441</v>
      </c>
      <c r="B5" s="502">
        <v>4296</v>
      </c>
      <c r="C5" s="502">
        <v>3242</v>
      </c>
      <c r="D5" s="503">
        <v>3302</v>
      </c>
      <c r="E5" s="503">
        <v>3363</v>
      </c>
      <c r="F5" s="504"/>
      <c r="G5" s="505">
        <v>3408</v>
      </c>
      <c r="H5" s="505">
        <v>3552</v>
      </c>
      <c r="I5" s="505">
        <v>3591</v>
      </c>
      <c r="J5" s="505">
        <v>3637</v>
      </c>
    </row>
    <row r="6" spans="1:10" ht="17.25">
      <c r="A6" s="498" t="s">
        <v>442</v>
      </c>
      <c r="B6" s="502">
        <v>543</v>
      </c>
      <c r="C6" s="502">
        <v>522</v>
      </c>
      <c r="D6" s="503">
        <v>511</v>
      </c>
      <c r="E6" s="503">
        <v>510</v>
      </c>
      <c r="F6" s="504"/>
      <c r="G6" s="505">
        <v>585</v>
      </c>
      <c r="H6" s="505">
        <v>590</v>
      </c>
      <c r="I6" s="505">
        <v>562</v>
      </c>
      <c r="J6" s="505">
        <v>587</v>
      </c>
    </row>
    <row r="7" spans="1:10" ht="17.25">
      <c r="A7" s="498" t="s">
        <v>176</v>
      </c>
      <c r="B7" s="507">
        <f>SUM(B3:B6)</f>
        <v>7776</v>
      </c>
      <c r="C7" s="507">
        <f>SUM(C3:C6)</f>
        <v>6708</v>
      </c>
      <c r="D7" s="507">
        <f>SUM(D3:D6)</f>
        <v>6236</v>
      </c>
      <c r="E7" s="507">
        <f>SUM(E3:E6)</f>
        <v>6260</v>
      </c>
      <c r="F7" s="507"/>
      <c r="G7" s="505">
        <v>7374</v>
      </c>
      <c r="H7" s="505">
        <v>7761</v>
      </c>
      <c r="I7" s="505">
        <v>7447</v>
      </c>
      <c r="J7" s="505">
        <v>7500</v>
      </c>
    </row>
    <row r="8" spans="1:10" ht="21.75" customHeight="1">
      <c r="A8" s="508"/>
      <c r="B8" s="509"/>
      <c r="C8" s="509"/>
      <c r="D8" s="509"/>
      <c r="E8" s="509"/>
      <c r="F8" s="509"/>
      <c r="G8" s="510"/>
      <c r="H8" s="509"/>
      <c r="I8" s="509"/>
      <c r="J8" s="510"/>
    </row>
    <row r="9" spans="1:10" ht="17.25">
      <c r="A9" s="508"/>
      <c r="B9" s="509"/>
      <c r="C9" s="673" t="s">
        <v>443</v>
      </c>
      <c r="D9" s="673"/>
      <c r="E9" s="509"/>
      <c r="F9" s="509"/>
      <c r="G9" s="510"/>
      <c r="H9" s="673" t="s">
        <v>444</v>
      </c>
      <c r="I9" s="673"/>
      <c r="J9" s="510"/>
    </row>
    <row r="10" spans="1:10" ht="15" customHeight="1">
      <c r="A10" s="511"/>
      <c r="B10" s="511"/>
      <c r="C10" s="511"/>
      <c r="D10" s="511"/>
      <c r="E10" s="511"/>
      <c r="F10" s="511"/>
      <c r="G10" s="511"/>
      <c r="H10" s="511"/>
      <c r="I10" s="511"/>
      <c r="J10" s="511"/>
    </row>
    <row r="11" spans="1:10" ht="15" customHeight="1">
      <c r="A11" s="511"/>
      <c r="B11" s="511"/>
      <c r="C11" s="511"/>
      <c r="D11" s="511"/>
      <c r="E11" s="511"/>
      <c r="F11" s="511"/>
      <c r="G11" s="511"/>
      <c r="H11" s="511"/>
      <c r="I11" s="511"/>
      <c r="J11" s="511"/>
    </row>
    <row r="12" spans="1:10" ht="15" customHeight="1">
      <c r="A12" s="511"/>
      <c r="B12" s="511"/>
      <c r="C12" s="511"/>
      <c r="D12" s="511"/>
      <c r="E12" s="511"/>
      <c r="F12" s="511"/>
      <c r="G12" s="511"/>
      <c r="H12" s="511"/>
      <c r="I12" s="511"/>
      <c r="J12" s="511"/>
    </row>
    <row r="13" spans="1:10" ht="15" customHeight="1">
      <c r="A13" s="511"/>
      <c r="B13" s="511"/>
      <c r="C13" s="511"/>
      <c r="D13" s="511"/>
      <c r="E13" s="511"/>
      <c r="F13" s="511"/>
      <c r="G13" s="511"/>
      <c r="H13" s="511"/>
      <c r="I13" s="511"/>
      <c r="J13" s="511"/>
    </row>
    <row r="14" spans="1:10" ht="15" customHeight="1">
      <c r="A14" s="512"/>
      <c r="B14" s="512"/>
      <c r="C14" s="512"/>
      <c r="D14" s="512"/>
      <c r="E14" s="512"/>
      <c r="F14" s="512"/>
      <c r="G14" s="512"/>
      <c r="H14" s="512"/>
      <c r="I14" s="512"/>
      <c r="J14" s="512"/>
    </row>
    <row r="15" spans="1:10" ht="15" customHeight="1">
      <c r="A15" s="512"/>
      <c r="B15" s="512"/>
      <c r="C15" s="512"/>
      <c r="D15" s="512"/>
      <c r="E15" s="512"/>
      <c r="F15" s="512"/>
      <c r="G15" s="512"/>
      <c r="H15" s="512"/>
      <c r="I15" s="512"/>
      <c r="J15" s="512"/>
    </row>
    <row r="16" spans="1:10" ht="15" customHeight="1">
      <c r="A16" s="512"/>
      <c r="B16" s="512"/>
      <c r="C16" s="512"/>
      <c r="D16" s="512"/>
      <c r="E16" s="512"/>
      <c r="F16" s="512"/>
      <c r="G16" s="512"/>
      <c r="H16" s="512"/>
      <c r="I16" s="512"/>
      <c r="J16" s="512"/>
    </row>
    <row r="17" spans="1:10" ht="15" customHeight="1">
      <c r="A17" s="512"/>
      <c r="B17" s="512"/>
      <c r="C17" s="512"/>
      <c r="D17" s="512"/>
      <c r="E17" s="512"/>
      <c r="F17" s="512"/>
      <c r="G17" s="512"/>
      <c r="H17" s="512"/>
      <c r="I17" s="512"/>
      <c r="J17" s="512"/>
    </row>
    <row r="18" spans="1:10" ht="15" customHeight="1">
      <c r="A18" s="512"/>
      <c r="B18" s="512"/>
      <c r="C18" s="512"/>
      <c r="D18" s="512"/>
      <c r="E18" s="512"/>
      <c r="F18" s="512"/>
      <c r="G18" s="512"/>
      <c r="H18" s="512"/>
      <c r="I18" s="512"/>
      <c r="J18" s="512"/>
    </row>
    <row r="19" spans="1:10" ht="15" customHeight="1">
      <c r="A19" s="512"/>
      <c r="B19" s="512"/>
      <c r="C19" s="512"/>
      <c r="D19" s="512"/>
      <c r="E19" s="512"/>
      <c r="F19" s="512"/>
      <c r="G19" s="512"/>
      <c r="H19" s="512"/>
      <c r="I19" s="512"/>
      <c r="J19" s="512"/>
    </row>
    <row r="20" spans="1:10" ht="15" customHeight="1">
      <c r="A20" s="512"/>
      <c r="B20" s="512"/>
      <c r="C20" s="512"/>
      <c r="D20" s="512"/>
      <c r="E20" s="512"/>
      <c r="F20" s="512"/>
      <c r="G20" s="512"/>
      <c r="H20" s="512"/>
      <c r="I20" s="512"/>
      <c r="J20" s="512"/>
    </row>
    <row r="21" spans="1:10" ht="15" customHeight="1">
      <c r="A21" s="512"/>
      <c r="B21" s="512"/>
      <c r="C21" s="512"/>
      <c r="D21" s="512"/>
      <c r="E21" s="512"/>
      <c r="F21" s="512"/>
      <c r="G21" s="512"/>
      <c r="H21" s="512"/>
      <c r="I21" s="512"/>
      <c r="J21" s="512"/>
    </row>
    <row r="22" spans="1:10" ht="15" customHeight="1">
      <c r="A22" s="512"/>
      <c r="B22" s="512"/>
      <c r="C22" s="512"/>
      <c r="D22" s="512"/>
      <c r="E22" s="512"/>
      <c r="F22" s="512"/>
      <c r="G22" s="512"/>
      <c r="H22" s="512"/>
      <c r="I22" s="512"/>
      <c r="J22" s="512"/>
    </row>
    <row r="23" spans="1:10" ht="15" customHeight="1">
      <c r="A23" s="512"/>
      <c r="B23" s="512"/>
      <c r="C23" s="512"/>
      <c r="D23" s="512"/>
      <c r="E23" s="512"/>
      <c r="F23" s="512"/>
      <c r="G23" s="512"/>
      <c r="H23" s="512"/>
      <c r="I23" s="512"/>
      <c r="J23" s="512"/>
    </row>
    <row r="24" spans="1:10" ht="15" customHeight="1">
      <c r="A24" s="512"/>
      <c r="B24" s="512"/>
      <c r="C24" s="512"/>
      <c r="D24" s="512"/>
      <c r="E24" s="512"/>
      <c r="F24" s="512"/>
      <c r="G24" s="512"/>
      <c r="H24" s="512"/>
      <c r="I24" s="512"/>
      <c r="J24" s="512"/>
    </row>
    <row r="25" spans="1:10" ht="15" customHeight="1">
      <c r="A25" s="512"/>
      <c r="B25" s="512"/>
      <c r="C25" s="512"/>
      <c r="D25" s="512"/>
      <c r="E25" s="512"/>
      <c r="F25" s="512"/>
      <c r="G25" s="512"/>
      <c r="H25" s="512"/>
      <c r="I25" s="512"/>
      <c r="J25" s="512"/>
    </row>
    <row r="26" spans="1:10" ht="15" customHeight="1">
      <c r="A26" s="512"/>
      <c r="B26" s="512"/>
      <c r="C26" s="512"/>
      <c r="D26" s="512"/>
      <c r="E26" s="512"/>
      <c r="F26" s="512"/>
      <c r="G26" s="512"/>
      <c r="H26" s="512"/>
      <c r="I26" s="512"/>
      <c r="J26" s="512"/>
    </row>
    <row r="27" spans="1:10" ht="15" customHeight="1">
      <c r="A27" s="512"/>
      <c r="B27" s="512"/>
      <c r="C27" s="512"/>
      <c r="D27" s="512"/>
      <c r="E27" s="512"/>
      <c r="F27" s="512"/>
      <c r="G27" s="512"/>
      <c r="H27" s="512"/>
      <c r="I27" s="512"/>
      <c r="J27" s="512"/>
    </row>
    <row r="28" spans="1:10" ht="15" customHeight="1">
      <c r="A28" s="512"/>
      <c r="B28" s="512"/>
      <c r="C28" s="512"/>
      <c r="D28" s="512"/>
      <c r="E28" s="512"/>
      <c r="F28" s="512"/>
      <c r="G28" s="512"/>
      <c r="H28" s="512"/>
      <c r="I28" s="512"/>
      <c r="J28" s="512"/>
    </row>
    <row r="29" spans="1:10" ht="15" customHeight="1">
      <c r="A29" s="512"/>
      <c r="B29" s="512"/>
      <c r="C29" s="512"/>
      <c r="D29" s="512"/>
      <c r="E29" s="512"/>
      <c r="F29" s="512"/>
      <c r="G29" s="512"/>
      <c r="H29" s="512"/>
      <c r="I29" s="512"/>
      <c r="J29" s="512"/>
    </row>
    <row r="30" spans="1:10" ht="15" customHeight="1">
      <c r="A30" s="512"/>
      <c r="B30" s="512"/>
      <c r="C30" s="512"/>
      <c r="D30" s="512"/>
      <c r="E30" s="512"/>
      <c r="F30" s="512"/>
      <c r="G30" s="512"/>
      <c r="H30" s="512"/>
      <c r="I30" s="512"/>
      <c r="J30" s="512"/>
    </row>
    <row r="31" spans="1:10" ht="15" customHeight="1">
      <c r="A31" s="512"/>
      <c r="B31" s="512"/>
      <c r="C31" s="512"/>
      <c r="D31" s="512"/>
      <c r="E31" s="512"/>
      <c r="F31" s="512"/>
      <c r="G31" s="512"/>
      <c r="H31" s="512"/>
      <c r="I31" s="512"/>
      <c r="J31" s="512"/>
    </row>
    <row r="32" spans="1:10" ht="15" customHeight="1">
      <c r="A32" s="512"/>
      <c r="B32" s="512"/>
      <c r="C32" s="512"/>
      <c r="D32" s="512"/>
      <c r="E32" s="512"/>
      <c r="F32" s="512"/>
      <c r="G32" s="512"/>
      <c r="H32" s="512"/>
      <c r="I32" s="512"/>
      <c r="J32" s="512"/>
    </row>
    <row r="33" spans="1:10" ht="15" customHeight="1">
      <c r="A33" s="512"/>
      <c r="B33" s="512"/>
      <c r="C33" s="512"/>
      <c r="D33" s="512"/>
      <c r="E33" s="512"/>
      <c r="F33" s="512"/>
      <c r="G33" s="512"/>
      <c r="H33" s="512"/>
      <c r="I33" s="512"/>
      <c r="J33" s="512"/>
    </row>
    <row r="34" spans="1:10" ht="15" customHeight="1">
      <c r="A34" s="512"/>
      <c r="B34" s="512"/>
      <c r="C34" s="512"/>
      <c r="D34" s="512"/>
      <c r="E34" s="512"/>
      <c r="F34" s="512"/>
      <c r="G34" s="512"/>
      <c r="H34" s="512"/>
      <c r="I34" s="512"/>
      <c r="J34" s="512"/>
    </row>
    <row r="35" spans="1:10" ht="15" customHeight="1">
      <c r="A35" s="512"/>
      <c r="B35" s="512"/>
      <c r="C35" s="512"/>
      <c r="D35" s="512"/>
      <c r="E35" s="512"/>
      <c r="F35" s="512"/>
      <c r="G35" s="512"/>
      <c r="H35" s="512"/>
      <c r="I35" s="512"/>
      <c r="J35" s="512"/>
    </row>
    <row r="36" spans="1:10" ht="15" customHeight="1">
      <c r="A36" s="512"/>
      <c r="B36" s="512"/>
      <c r="C36" s="512"/>
      <c r="D36" s="512"/>
      <c r="E36" s="512"/>
      <c r="F36" s="512"/>
      <c r="G36" s="512"/>
      <c r="H36" s="512"/>
      <c r="I36" s="512"/>
      <c r="J36" s="512"/>
    </row>
    <row r="37" spans="1:10" ht="15" customHeight="1">
      <c r="A37" s="512"/>
      <c r="B37" s="512"/>
      <c r="C37" s="512"/>
      <c r="D37" s="512"/>
      <c r="E37" s="512"/>
      <c r="F37" s="512"/>
      <c r="G37" s="512"/>
      <c r="H37" s="512"/>
      <c r="I37" s="512"/>
      <c r="J37" s="512"/>
    </row>
    <row r="38" spans="1:10" ht="15" customHeight="1">
      <c r="A38" s="512"/>
      <c r="B38" s="512"/>
      <c r="C38" s="512"/>
      <c r="D38" s="512"/>
      <c r="E38" s="512"/>
      <c r="F38" s="512"/>
      <c r="G38" s="512"/>
      <c r="H38" s="512"/>
      <c r="I38" s="512"/>
      <c r="J38" s="512"/>
    </row>
    <row r="39" spans="1:10" ht="15" customHeight="1">
      <c r="A39" s="512"/>
      <c r="B39" s="512"/>
      <c r="C39" s="512"/>
      <c r="D39" s="512"/>
      <c r="E39" s="512"/>
      <c r="F39" s="512"/>
      <c r="G39" s="512"/>
      <c r="H39" s="512"/>
      <c r="I39" s="512"/>
      <c r="J39" s="512"/>
    </row>
    <row r="40" spans="1:10" ht="15" customHeight="1">
      <c r="A40" s="512"/>
      <c r="B40" s="512"/>
      <c r="C40" s="512"/>
      <c r="D40" s="512"/>
      <c r="E40" s="512"/>
      <c r="F40" s="512"/>
      <c r="G40" s="512"/>
      <c r="H40" s="512"/>
      <c r="I40" s="512"/>
      <c r="J40" s="512"/>
    </row>
    <row r="41" spans="1:10" ht="15" customHeight="1">
      <c r="A41" s="512"/>
      <c r="B41" s="512"/>
      <c r="C41" s="512"/>
      <c r="D41" s="512"/>
      <c r="E41" s="512"/>
      <c r="F41" s="512"/>
      <c r="G41" s="512"/>
      <c r="H41" s="512"/>
      <c r="I41" s="512"/>
      <c r="J41" s="512"/>
    </row>
  </sheetData>
  <mergeCells count="2">
    <mergeCell ref="C9:D9"/>
    <mergeCell ref="H9:I9"/>
  </mergeCells>
  <phoneticPr fontId="6"/>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C35"/>
  <sheetViews>
    <sheetView view="pageBreakPreview" zoomScaleNormal="70" zoomScaleSheetLayoutView="100" workbookViewId="0"/>
  </sheetViews>
  <sheetFormatPr defaultRowHeight="13.5"/>
  <cols>
    <col min="1" max="41" width="3.42578125" style="512" customWidth="1"/>
    <col min="42" max="16384" width="9.140625" style="512"/>
  </cols>
  <sheetData>
    <row r="35" spans="3:3" ht="18.75">
      <c r="C35" s="265" t="s">
        <v>445</v>
      </c>
    </row>
  </sheetData>
  <phoneticPr fontId="6"/>
  <pageMargins left="0.78740157480314965" right="0.31496062992125984" top="1.0236220472440944" bottom="0.43307086614173229" header="0.51181102362204722" footer="0.23622047244094491"/>
  <pageSetup paperSize="9" scale="86" orientation="portrait" r:id="rId1"/>
  <headerFooter alignWithMargins="0">
    <oddHeader>&amp;L&amp;"メイリオ,レギュラー"&amp;18○参考：市税の収納状況について</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14</vt:i4>
      </vt:variant>
      <vt:variant>
        <vt:lpstr>グラフ</vt:lpstr>
      </vt:variant>
      <vt:variant>
        <vt:i4>3</vt:i4>
      </vt:variant>
      <vt:variant>
        <vt:lpstr>名前付き一覧</vt:lpstr>
      </vt:variant>
      <vt:variant>
        <vt:i4>12</vt:i4>
      </vt:variant>
    </vt:vector>
  </HeadingPairs>
  <TitlesOfParts>
    <vt:vector size="29" baseType="lpstr">
      <vt:lpstr>表紙</vt:lpstr>
      <vt:lpstr>頁１</vt:lpstr>
      <vt:lpstr>頁２・３・５・７</vt:lpstr>
      <vt:lpstr>頁４データ</vt:lpstr>
      <vt:lpstr>頁６データ</vt:lpstr>
      <vt:lpstr>頁6データ (カメラ)</vt:lpstr>
      <vt:lpstr>頁8</vt:lpstr>
      <vt:lpstr>8 グラフ用</vt:lpstr>
      <vt:lpstr>頁9</vt:lpstr>
      <vt:lpstr>税BD</vt:lpstr>
      <vt:lpstr>頁10</vt:lpstr>
      <vt:lpstr>頁11データ</vt:lpstr>
      <vt:lpstr>頁12</vt:lpstr>
      <vt:lpstr>最新年度</vt:lpstr>
      <vt:lpstr>頁４</vt:lpstr>
      <vt:lpstr>頁６</vt:lpstr>
      <vt:lpstr>頁11</vt:lpstr>
      <vt:lpstr>最新年度!Print_Area</vt:lpstr>
      <vt:lpstr>表紙!Print_Area</vt:lpstr>
      <vt:lpstr>頁１!Print_Area</vt:lpstr>
      <vt:lpstr>頁10!Print_Area</vt:lpstr>
      <vt:lpstr>頁11データ!Print_Area</vt:lpstr>
      <vt:lpstr>頁12!Print_Area</vt:lpstr>
      <vt:lpstr>頁２・３・５・７!Print_Area</vt:lpstr>
      <vt:lpstr>頁４データ!Print_Area</vt:lpstr>
      <vt:lpstr>頁６データ!Print_Area</vt:lpstr>
      <vt:lpstr>'頁6データ (カメラ)'!Print_Area</vt:lpstr>
      <vt:lpstr>頁8!Print_Area</vt:lpstr>
      <vt:lpstr>頁9!Print_Area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2022-08-31T07:14:47Z</dcterms:created>
  <dcterms:modified xsi:type="dcterms:W3CDTF">2025-04-03T02:14:45Z</dcterms:modified>
</cp:coreProperties>
</file>